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LG&amp;E/2020 Rate Case/Rebuttal Testimony/COS for Net Metering/"/>
    </mc:Choice>
  </mc:AlternateContent>
  <xr:revisionPtr revIDLastSave="17" documentId="8_{D47D6188-27DB-4B20-BA04-BD40815DC669}" xr6:coauthVersionLast="46" xr6:coauthVersionMax="46" xr10:uidLastSave="{5C695B99-8582-495E-8EC9-C7AFA93B2E9D}"/>
  <bookViews>
    <workbookView xWindow="57504" yWindow="-96" windowWidth="28992" windowHeight="15792" tabRatio="601" activeTab="2" xr2:uid="{00000000-000D-0000-FFFF-FFFF00000000}"/>
  </bookViews>
  <sheets>
    <sheet name="Functional Assignment" sheetId="1" r:id="rId1"/>
    <sheet name="Allocation Proforma" sheetId="2" r:id="rId2"/>
    <sheet name="Summary of Returns" sheetId="4" r:id="rId3"/>
    <sheet name="Billing Det" sheetId="5" r:id="rId4"/>
    <sheet name="GS" sheetId="24" state="hidden" r:id="rId5"/>
    <sheet name="PS Sec" sheetId="26" state="hidden" r:id="rId6"/>
    <sheet name="RS" sheetId="14" state="hidden" r:id="rId7"/>
    <sheet name="PS Pri" sheetId="34" state="hidden" r:id="rId8"/>
    <sheet name="TOD Sec" sheetId="28" state="hidden" r:id="rId9"/>
    <sheet name="TOD Pri" sheetId="32" state="hidden" r:id="rId10"/>
    <sheet name="RTS" sheetId="31" state="hidden" r:id="rId11"/>
    <sheet name="Special Contract" sheetId="27" state="hidden" r:id="rId12"/>
    <sheet name="Meters" sheetId="7" state="hidden" r:id="rId13"/>
    <sheet name="Services" sheetId="8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\" localSheetId="7" hidden="1">#REF!</definedName>
    <definedName name="\\" localSheetId="9" hidden="1">#REF!</definedName>
    <definedName name="\\" hidden="1">#REF!</definedName>
    <definedName name="\\\" localSheetId="7" hidden="1">#REF!</definedName>
    <definedName name="\\\" localSheetId="9" hidden="1">#REF!</definedName>
    <definedName name="\\\" hidden="1">#REF!</definedName>
    <definedName name="\\\\" localSheetId="7" hidden="1">#REF!</definedName>
    <definedName name="\\\\" localSheetId="9" hidden="1">#REF!</definedName>
    <definedName name="\\\\" hidden="1">#REF!</definedName>
    <definedName name="\C" localSheetId="7">#REF!</definedName>
    <definedName name="\C" localSheetId="6">#REF!</definedName>
    <definedName name="\C" localSheetId="9">#REF!</definedName>
    <definedName name="\C">#REF!</definedName>
    <definedName name="\D" localSheetId="7">#REF!</definedName>
    <definedName name="\D" localSheetId="9">#REF!</definedName>
    <definedName name="\D">#REF!</definedName>
    <definedName name="\E" localSheetId="7">#REF!</definedName>
    <definedName name="\E" localSheetId="6">#REF!</definedName>
    <definedName name="\E" localSheetId="9">#REF!</definedName>
    <definedName name="\E">#REF!</definedName>
    <definedName name="\M" localSheetId="7">#REF!</definedName>
    <definedName name="\M" localSheetId="9">#REF!</definedName>
    <definedName name="\M">#REF!</definedName>
    <definedName name="\P" localSheetId="7">[1]dbase!#REF!</definedName>
    <definedName name="\P" localSheetId="9">[1]dbase!#REF!</definedName>
    <definedName name="\P">[1]dbase!#REF!</definedName>
    <definedName name="\R" localSheetId="7">#REF!</definedName>
    <definedName name="\R" localSheetId="6">#REF!</definedName>
    <definedName name="\R" localSheetId="9">#REF!</definedName>
    <definedName name="\R">#REF!</definedName>
    <definedName name="\S" localSheetId="7">[1]dbase!#REF!</definedName>
    <definedName name="\S" localSheetId="9">[1]dbase!#REF!</definedName>
    <definedName name="\S">[1]dbase!#REF!</definedName>
    <definedName name="\T" localSheetId="7">#REF!</definedName>
    <definedName name="\T" localSheetId="9">#REF!</definedName>
    <definedName name="\T">#REF!</definedName>
    <definedName name="\Y" localSheetId="7">[2]d20!#REF!</definedName>
    <definedName name="\Y" localSheetId="9">[2]d20!#REF!</definedName>
    <definedName name="\Y">[2]d20!#REF!</definedName>
    <definedName name="__123Graph_A" localSheetId="7" hidden="1">#REF!</definedName>
    <definedName name="__123Graph_A" localSheetId="9" hidden="1">#REF!</definedName>
    <definedName name="__123Graph_A" hidden="1">#REF!</definedName>
    <definedName name="__123Graph_B" localSheetId="7" hidden="1">#REF!</definedName>
    <definedName name="__123Graph_B" localSheetId="9" hidden="1">#REF!</definedName>
    <definedName name="__123Graph_B" hidden="1">#REF!</definedName>
    <definedName name="__123Graph_C" localSheetId="7" hidden="1">#REF!</definedName>
    <definedName name="__123Graph_C" localSheetId="9" hidden="1">#REF!</definedName>
    <definedName name="__123Graph_C" hidden="1">#REF!</definedName>
    <definedName name="__123Graph_D" localSheetId="7" hidden="1">#REF!</definedName>
    <definedName name="__123Graph_D" localSheetId="9" hidden="1">#REF!</definedName>
    <definedName name="__123Graph_D" hidden="1">#REF!</definedName>
    <definedName name="__123Graph_E" localSheetId="7" hidden="1">#REF!</definedName>
    <definedName name="__123Graph_E" localSheetId="9" hidden="1">#REF!</definedName>
    <definedName name="__123Graph_E" hidden="1">#REF!</definedName>
    <definedName name="__123Graph_F" localSheetId="7" hidden="1">#REF!</definedName>
    <definedName name="__123Graph_F" localSheetId="9" hidden="1">#REF!</definedName>
    <definedName name="__123Graph_F" hidden="1">#REF!</definedName>
    <definedName name="__123Graph_X" localSheetId="7" hidden="1">#REF!</definedName>
    <definedName name="__123Graph_X" localSheetId="9" hidden="1">#REF!</definedName>
    <definedName name="__123Graph_X" hidden="1">#REF!</definedName>
    <definedName name="_10NON_UTILITY" localSheetId="7">#REF!</definedName>
    <definedName name="_10NON_UTILITY" localSheetId="9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7">#REF!</definedName>
    <definedName name="_1GAS_FINANCING" localSheetId="9">#REF!</definedName>
    <definedName name="_1GAS_FINANCING">#REF!</definedName>
    <definedName name="_xlnm._FilterDatabase" localSheetId="1" hidden="1">'Allocation Proforma'!$D$2:$E$1259</definedName>
    <definedName name="_xlnm._FilterDatabase" localSheetId="0" hidden="1">'Functional Assignment'!$C$2:$D$669</definedName>
    <definedName name="_may1" localSheetId="7">#REF!</definedName>
    <definedName name="_may1" localSheetId="9">#REF!</definedName>
    <definedName name="_may1">#REF!</definedName>
    <definedName name="_Order1" hidden="1">0</definedName>
    <definedName name="_Order2" hidden="1">0</definedName>
    <definedName name="_P" localSheetId="7">#REF!</definedName>
    <definedName name="_P" localSheetId="6">#REF!</definedName>
    <definedName name="_P" localSheetId="9">#REF!</definedName>
    <definedName name="_P">#REF!</definedName>
    <definedName name="_PG1" localSheetId="7">#REF!</definedName>
    <definedName name="_PG1" localSheetId="9">#REF!</definedName>
    <definedName name="_PG1">#REF!</definedName>
    <definedName name="_PG2" localSheetId="7">#REF!</definedName>
    <definedName name="_PG2" localSheetId="9">#REF!</definedName>
    <definedName name="_PG2">#REF!</definedName>
    <definedName name="A" localSheetId="7">#REF!</definedName>
    <definedName name="A" localSheetId="9">#REF!</definedName>
    <definedName name="A">#REF!</definedName>
    <definedName name="ACTUAL">"'Vol_Revs'!R5C3:R5C14"</definedName>
    <definedName name="ADJSUTW3" localSheetId="7">#REF!</definedName>
    <definedName name="ADJSUTW3" localSheetId="9">#REF!</definedName>
    <definedName name="ADJSUTW3">#REF!</definedName>
    <definedName name="ADJUSRN" localSheetId="7">#REF!</definedName>
    <definedName name="ADJUSRN" localSheetId="9">#REF!</definedName>
    <definedName name="ADJUSRN">#REF!</definedName>
    <definedName name="Adjust2" localSheetId="7">#REF!</definedName>
    <definedName name="Adjust2" localSheetId="9">#REF!</definedName>
    <definedName name="Adjust2">#REF!</definedName>
    <definedName name="ADJUSTA" localSheetId="7">#REF!</definedName>
    <definedName name="ADJUSTA" localSheetId="9">#REF!</definedName>
    <definedName name="ADJUSTA">#REF!</definedName>
    <definedName name="ADJUSTAA" localSheetId="7">#REF!</definedName>
    <definedName name="ADJUSTAA" localSheetId="6">#REF!</definedName>
    <definedName name="ADJUSTAA" localSheetId="9">#REF!</definedName>
    <definedName name="ADJUSTAA">#REF!</definedName>
    <definedName name="ADJUSTB" localSheetId="7">#REF!</definedName>
    <definedName name="ADJUSTB" localSheetId="9">#REF!</definedName>
    <definedName name="ADJUSTB">#REF!</definedName>
    <definedName name="ADJUSTC" localSheetId="7">#REF!</definedName>
    <definedName name="ADJUSTC" localSheetId="9">#REF!</definedName>
    <definedName name="ADJUSTC">#REF!</definedName>
    <definedName name="ADJUSTD1" localSheetId="7">#REF!</definedName>
    <definedName name="ADJUSTD1" localSheetId="9">#REF!</definedName>
    <definedName name="ADJUSTD1">#REF!</definedName>
    <definedName name="ADJUSTD2" localSheetId="7">#REF!</definedName>
    <definedName name="ADJUSTD2" localSheetId="9">#REF!</definedName>
    <definedName name="ADJUSTD2">#REF!</definedName>
    <definedName name="ADJUSTD3" localSheetId="7">#REF!</definedName>
    <definedName name="ADJUSTD3" localSheetId="9">#REF!</definedName>
    <definedName name="ADJUSTD3">#REF!</definedName>
    <definedName name="ADJUSTD4" localSheetId="7">#REF!</definedName>
    <definedName name="ADJUSTD4" localSheetId="9">#REF!</definedName>
    <definedName name="ADJUSTD4">#REF!</definedName>
    <definedName name="ADJUSTG1" localSheetId="7">#REF!</definedName>
    <definedName name="ADJUSTG1" localSheetId="9">#REF!</definedName>
    <definedName name="ADJUSTG1">#REF!</definedName>
    <definedName name="ADJUSTG2" localSheetId="7">#REF!</definedName>
    <definedName name="ADJUSTG2" localSheetId="9">#REF!</definedName>
    <definedName name="ADJUSTG2">#REF!</definedName>
    <definedName name="ADJUSTG3" localSheetId="7">#REF!</definedName>
    <definedName name="ADJUSTG3" localSheetId="9">#REF!</definedName>
    <definedName name="ADJUSTG3">#REF!</definedName>
    <definedName name="ADJUSTG4" localSheetId="7">#REF!</definedName>
    <definedName name="ADJUSTG4" localSheetId="9">#REF!</definedName>
    <definedName name="ADJUSTG4">#REF!</definedName>
    <definedName name="ADJUSTH" localSheetId="7">#REF!</definedName>
    <definedName name="ADJUSTH" localSheetId="9">#REF!</definedName>
    <definedName name="ADJUSTH">#REF!</definedName>
    <definedName name="ADJUSTI" localSheetId="7">#REF!</definedName>
    <definedName name="ADJUSTI" localSheetId="9">#REF!</definedName>
    <definedName name="ADJUSTI">#REF!</definedName>
    <definedName name="ADJUSTK" localSheetId="7">#REF!</definedName>
    <definedName name="ADJUSTK" localSheetId="9">#REF!</definedName>
    <definedName name="ADJUSTK">#REF!</definedName>
    <definedName name="ADJUSTM" localSheetId="7">#REF!</definedName>
    <definedName name="ADJUSTM" localSheetId="9">#REF!</definedName>
    <definedName name="ADJUSTM">#REF!</definedName>
    <definedName name="ADJUSTN" localSheetId="7">#REF!</definedName>
    <definedName name="ADJUSTN" localSheetId="9">#REF!</definedName>
    <definedName name="ADJUSTN">#REF!</definedName>
    <definedName name="ADJUSTO" localSheetId="7">#REF!</definedName>
    <definedName name="ADJUSTO" localSheetId="9">#REF!</definedName>
    <definedName name="ADJUSTO">#REF!</definedName>
    <definedName name="ADJUSTP" localSheetId="7">#REF!</definedName>
    <definedName name="ADJUSTP" localSheetId="9">#REF!</definedName>
    <definedName name="ADJUSTP">#REF!</definedName>
    <definedName name="ADJUSTQ" localSheetId="7">#REF!</definedName>
    <definedName name="ADJUSTQ" localSheetId="9">#REF!</definedName>
    <definedName name="ADJUSTQ">#REF!</definedName>
    <definedName name="ADJUSTR" localSheetId="7">#REF!</definedName>
    <definedName name="ADJUSTR" localSheetId="9">#REF!</definedName>
    <definedName name="ADJUSTR">#REF!</definedName>
    <definedName name="ADJUSTS" localSheetId="7">#REF!</definedName>
    <definedName name="ADJUSTS" localSheetId="6">#REF!</definedName>
    <definedName name="ADJUSTS" localSheetId="9">#REF!</definedName>
    <definedName name="ADJUSTS">#REF!</definedName>
    <definedName name="ADJUSTT" localSheetId="7">#REF!</definedName>
    <definedName name="ADJUSTT" localSheetId="9">#REF!</definedName>
    <definedName name="ADJUSTT">#REF!</definedName>
    <definedName name="ADJUSTW1" localSheetId="7">#REF!</definedName>
    <definedName name="ADJUSTW1" localSheetId="9">#REF!</definedName>
    <definedName name="ADJUSTW1">#REF!</definedName>
    <definedName name="ADJUSTW2" localSheetId="7">#REF!</definedName>
    <definedName name="ADJUSTW2" localSheetId="9">#REF!</definedName>
    <definedName name="ADJUSTW2">#REF!</definedName>
    <definedName name="ADJUSTX" localSheetId="7">#REF!</definedName>
    <definedName name="ADJUSTX" localSheetId="9">#REF!</definedName>
    <definedName name="ADJUSTX">#REF!</definedName>
    <definedName name="ADJUSTY" localSheetId="7">#REF!</definedName>
    <definedName name="ADJUSTY" localSheetId="9">#REF!</definedName>
    <definedName name="ADJUSTY">#REF!</definedName>
    <definedName name="ALERT2" localSheetId="7">#REF!</definedName>
    <definedName name="ALERT2" localSheetId="9">#REF!</definedName>
    <definedName name="ALERT2">#REF!</definedName>
    <definedName name="Annual_Sales_KU" localSheetId="7">'[4]LGE Sales'!#REF!</definedName>
    <definedName name="Annual_Sales_KU" localSheetId="9">'[4]LGE Sales'!#REF!</definedName>
    <definedName name="Annual_Sales_KU">'[4]LGE Sales'!#REF!</definedName>
    <definedName name="assets" localSheetId="7">#REF!</definedName>
    <definedName name="assets" localSheetId="6">#REF!</definedName>
    <definedName name="assets" localSheetId="9">#REF!</definedName>
    <definedName name="assets">#REF!</definedName>
    <definedName name="B" localSheetId="7">#REF!</definedName>
    <definedName name="B" localSheetId="9">#REF!</definedName>
    <definedName name="B">#REF!</definedName>
    <definedName name="Billed_Revenues_Dollars" localSheetId="7">#REF!</definedName>
    <definedName name="Billed_Revenues_Dollars" localSheetId="9">#REF!</definedName>
    <definedName name="Billed_Revenues_Dollars">#REF!</definedName>
    <definedName name="Billed_Sales__KWh" localSheetId="7">#REF!</definedName>
    <definedName name="Billed_Sales__KWh" localSheetId="9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7">#REF!</definedName>
    <definedName name="C_" localSheetId="9">#REF!</definedName>
    <definedName name="C_">#REF!</definedName>
    <definedName name="Choices_Wrapper" localSheetId="6">RS!Choices_Wrapper</definedName>
    <definedName name="Choices_Wrapper">[0]!Choices_Wrapper</definedName>
    <definedName name="CM" localSheetId="7">#REF!</definedName>
    <definedName name="CM" localSheetId="6">#REF!</definedName>
    <definedName name="CM" localSheetId="9">#REF!</definedName>
    <definedName name="CM">#REF!</definedName>
    <definedName name="Coal_Annual_KU" localSheetId="7">'[4]LGE Coal'!#REF!</definedName>
    <definedName name="Coal_Annual_KU" localSheetId="9">'[4]LGE Coal'!#REF!</definedName>
    <definedName name="Coal_Annual_KU">'[4]LGE Coal'!#REF!</definedName>
    <definedName name="coal_hide_ku_01" localSheetId="7">'[4]LGE Coal'!#REF!</definedName>
    <definedName name="coal_hide_ku_01" localSheetId="9">'[4]LGE Coal'!#REF!</definedName>
    <definedName name="coal_hide_ku_01">'[4]LGE Coal'!#REF!</definedName>
    <definedName name="coal_hide_lge_01" localSheetId="7">'[4]LGE Coal'!#REF!</definedName>
    <definedName name="coal_hide_lge_01" localSheetId="9">'[4]LGE Coal'!#REF!</definedName>
    <definedName name="coal_hide_lge_01">'[4]LGE Coal'!#REF!</definedName>
    <definedName name="coal_ku_01" localSheetId="7">'[4]LGE Coal'!#REF!</definedName>
    <definedName name="coal_ku_01" localSheetId="9">'[4]LGE Coal'!#REF!</definedName>
    <definedName name="coal_ku_01">'[4]LGE Coal'!#REF!</definedName>
    <definedName name="ColumnAttributes1" localSheetId="7">#REF!</definedName>
    <definedName name="ColumnAttributes1" localSheetId="9">#REF!</definedName>
    <definedName name="ColumnAttributes1">#REF!</definedName>
    <definedName name="ColumnHeadings1" localSheetId="7">#REF!</definedName>
    <definedName name="ColumnHeadings1" localSheetId="9">#REF!</definedName>
    <definedName name="ColumnHeadings1">#REF!</definedName>
    <definedName name="Comp" localSheetId="6">RS!Comp</definedName>
    <definedName name="Comp">[0]!Comp</definedName>
    <definedName name="ConsEarnings" localSheetId="7">#REF!</definedName>
    <definedName name="ConsEarnings" localSheetId="9">#REF!</definedName>
    <definedName name="ConsEarnings">#REF!</definedName>
    <definedName name="CONSOLIDATED" localSheetId="7">#REF!</definedName>
    <definedName name="CONSOLIDATED" localSheetId="9">#REF!</definedName>
    <definedName name="CONSOLIDATED">#REF!</definedName>
    <definedName name="CORPORATE" localSheetId="7">#REF!</definedName>
    <definedName name="CORPORATE" localSheetId="9">#REF!</definedName>
    <definedName name="CORPORATE">#REF!</definedName>
    <definedName name="counter" localSheetId="7">#REF!</definedName>
    <definedName name="counter" localSheetId="9">#REF!</definedName>
    <definedName name="counter">#REF!</definedName>
    <definedName name="CREDIT" localSheetId="7">#REF!</definedName>
    <definedName name="CREDIT" localSheetId="6">#REF!</definedName>
    <definedName name="CREDIT" localSheetId="9">#REF!</definedName>
    <definedName name="CREDIT">#REF!</definedName>
    <definedName name="CurReptgMo">[5]Input!$K$19</definedName>
    <definedName name="CurReptgYr">[5]Input!$K$21</definedName>
    <definedName name="D" localSheetId="7">#REF!</definedName>
    <definedName name="D" localSheetId="9">#REF!</definedName>
    <definedName name="D">#REF!</definedName>
    <definedName name="data" localSheetId="7">#REF!</definedName>
    <definedName name="data" localSheetId="9">#REF!</definedName>
    <definedName name="data">#REF!</definedName>
    <definedName name="data1" localSheetId="7">'[6]1'!#REF!</definedName>
    <definedName name="data1" localSheetId="9">'[6]1'!#REF!</definedName>
    <definedName name="data1">'[6]1'!#REF!</definedName>
    <definedName name="DateTimeNow">[5]Input!$AE$12</definedName>
    <definedName name="DEBIT" localSheetId="7">#REF!</definedName>
    <definedName name="DEBIT" localSheetId="6">#REF!</definedName>
    <definedName name="DEBIT" localSheetId="9">#REF!</definedName>
    <definedName name="DEBIT">#REF!</definedName>
    <definedName name="Detail" localSheetId="7">#REF!</definedName>
    <definedName name="Detail" localSheetId="9">#REF!</definedName>
    <definedName name="Detail">#REF!</definedName>
    <definedName name="ELEC_NET_OP_INC" localSheetId="7">#REF!</definedName>
    <definedName name="ELEC_NET_OP_INC" localSheetId="9">#REF!</definedName>
    <definedName name="ELEC_NET_OP_INC">#REF!</definedName>
    <definedName name="ELIMS" localSheetId="7">#REF!</definedName>
    <definedName name="ELIMS" localSheetId="9">#REF!</definedName>
    <definedName name="ELIMS">#REF!</definedName>
    <definedName name="EXHIB1A" localSheetId="7">'[7]#REF'!#REF!</definedName>
    <definedName name="EXHIB1A" localSheetId="9">'[7]#REF'!#REF!</definedName>
    <definedName name="EXHIB1A">'[7]#REF'!#REF!</definedName>
    <definedName name="EXHIB1B" localSheetId="7">#REF!</definedName>
    <definedName name="EXHIB1B" localSheetId="9">#REF!</definedName>
    <definedName name="EXHIB1B">#REF!</definedName>
    <definedName name="EXHIB1C" localSheetId="7">#REF!</definedName>
    <definedName name="EXHIB1C" localSheetId="9">#REF!</definedName>
    <definedName name="EXHIB1C">#REF!</definedName>
    <definedName name="EXHIB2B" localSheetId="7">'[8]Ex 2'!#REF!</definedName>
    <definedName name="EXHIB2B" localSheetId="9">'[8]Ex 2'!#REF!</definedName>
    <definedName name="EXHIB2B">'[8]Ex 2'!#REF!</definedName>
    <definedName name="EXHIB3" localSheetId="7">#REF!</definedName>
    <definedName name="EXHIB3" localSheetId="6">#REF!</definedName>
    <definedName name="EXHIB3" localSheetId="9">#REF!</definedName>
    <definedName name="EXHIB3">#REF!</definedName>
    <definedName name="EXHIB6" localSheetId="7">'[8]not used Ex 4'!#REF!</definedName>
    <definedName name="EXHIB6" localSheetId="9">'[8]not used Ex 4'!#REF!</definedName>
    <definedName name="EXHIB6">'[8]not used Ex 4'!#REF!</definedName>
    <definedName name="F" localSheetId="7">#REF!</definedName>
    <definedName name="F" localSheetId="9">#REF!</definedName>
    <definedName name="F">#REF!</definedName>
    <definedName name="Fac_2000" localSheetId="7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7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7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7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7">'[4]LGE Base Fuel &amp; FAC'!#REF!</definedName>
    <definedName name="fac_ku_01" localSheetId="9">'[4]LGE Base Fuel &amp; FAC'!#REF!</definedName>
    <definedName name="fac_ku_01">'[4]LGE Base Fuel &amp; FAC'!#REF!</definedName>
    <definedName name="FOOTER" localSheetId="7">#REF!</definedName>
    <definedName name="FOOTER" localSheetId="9">#REF!</definedName>
    <definedName name="FOOTER">#REF!</definedName>
    <definedName name="FORECAST">"'IFPSReport'!R5C3:R5C14"</definedName>
    <definedName name="fuelcost" localSheetId="7">#REF!</definedName>
    <definedName name="fuelcost" localSheetId="6">#REF!</definedName>
    <definedName name="fuelcost" localSheetId="9">#REF!</definedName>
    <definedName name="fuelcost">#REF!</definedName>
    <definedName name="Gas_Annual_NetRev" localSheetId="7">#REF!</definedName>
    <definedName name="Gas_Annual_NetRev" localSheetId="9">#REF!</definedName>
    <definedName name="Gas_Annual_NetRev">#REF!</definedName>
    <definedName name="Gas_Annual_Revenue" localSheetId="7">#REF!</definedName>
    <definedName name="Gas_Annual_Revenue" localSheetId="9">#REF!</definedName>
    <definedName name="Gas_Annual_Revenue">#REF!</definedName>
    <definedName name="gas_data" localSheetId="7">#REF!</definedName>
    <definedName name="gas_data" localSheetId="9">#REF!</definedName>
    <definedName name="gas_data">#REF!</definedName>
    <definedName name="Gas_Monthly_NetRevenue" localSheetId="7">#REF!</definedName>
    <definedName name="Gas_Monthly_NetRevenue" localSheetId="9">#REF!</definedName>
    <definedName name="Gas_Monthly_NetRevenue">#REF!</definedName>
    <definedName name="GAS_NET_OP_INC" localSheetId="7">#REF!</definedName>
    <definedName name="GAS_NET_OP_INC" localSheetId="9">#REF!</definedName>
    <definedName name="GAS_NET_OP_INC">#REF!</definedName>
    <definedName name="Gas_Sales_Revenues" localSheetId="7">#REF!</definedName>
    <definedName name="Gas_Sales_Revenues" localSheetId="9">#REF!</definedName>
    <definedName name="Gas_Sales_Revenues">#REF!</definedName>
    <definedName name="GenEx_Annual_KU" localSheetId="7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7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7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7">'[4]LGE Cost of Sales'!#REF!</definedName>
    <definedName name="genex_ku_01" localSheetId="9">'[4]LGE Cost of Sales'!#REF!</definedName>
    <definedName name="genex_ku_01">'[4]LGE Cost of Sales'!#REF!</definedName>
    <definedName name="H" localSheetId="7">#REF!</definedName>
    <definedName name="H" localSheetId="9">#REF!</definedName>
    <definedName name="H">#REF!</definedName>
    <definedName name="Home_KU" localSheetId="7">#REF!</definedName>
    <definedName name="Home_KU" localSheetId="9">#REF!</definedName>
    <definedName name="Home_KU">#REF!</definedName>
    <definedName name="INPUT1" localSheetId="7">#REF!</definedName>
    <definedName name="INPUT1" localSheetId="9">#REF!</definedName>
    <definedName name="INPUT1">#REF!</definedName>
    <definedName name="INPUT2" localSheetId="7">#REF!</definedName>
    <definedName name="INPUT2" localSheetId="9">#REF!</definedName>
    <definedName name="INPUT2">#REF!</definedName>
    <definedName name="INPUTCOL" localSheetId="7">#REF!</definedName>
    <definedName name="INPUTCOL" localSheetId="9">#REF!</definedName>
    <definedName name="INPUTCOL">#REF!</definedName>
    <definedName name="INPUTROW" localSheetId="7">#REF!</definedName>
    <definedName name="INPUTROW" localSheetId="9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7">#REF!</definedName>
    <definedName name="KUELIMBAL" localSheetId="9">#REF!</definedName>
    <definedName name="KUELIMBAL">#REF!</definedName>
    <definedName name="KUELIMCASH" localSheetId="7">#REF!</definedName>
    <definedName name="KUELIMCASH" localSheetId="9">#REF!</definedName>
    <definedName name="KUELIMCASH">#REF!</definedName>
    <definedName name="KUPWRGENIS" localSheetId="7">#REF!</definedName>
    <definedName name="KUPWRGENIS" localSheetId="9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7">#REF!</definedName>
    <definedName name="LEC" localSheetId="9">#REF!</definedName>
    <definedName name="LEC">#REF!</definedName>
    <definedName name="LECBAL" localSheetId="7">#REF!</definedName>
    <definedName name="LECBAL" localSheetId="9">#REF!</definedName>
    <definedName name="LECBAL">#REF!</definedName>
    <definedName name="LECCASH" localSheetId="7">#REF!</definedName>
    <definedName name="LECCASH" localSheetId="9">#REF!</definedName>
    <definedName name="LECCASH">#REF!</definedName>
    <definedName name="LES" localSheetId="7">#REF!</definedName>
    <definedName name="LES" localSheetId="9">#REF!</definedName>
    <definedName name="LES">#REF!</definedName>
    <definedName name="LGE" localSheetId="7">#REF!</definedName>
    <definedName name="LGE" localSheetId="9">#REF!</definedName>
    <definedName name="LGE">#REF!</definedName>
    <definedName name="LNGCL" localSheetId="7">#REF!</definedName>
    <definedName name="LNGCL" localSheetId="9">#REF!</definedName>
    <definedName name="LNGCL">#REF!</definedName>
    <definedName name="Losses_by_State" localSheetId="7">#REF!</definedName>
    <definedName name="Losses_by_State" localSheetId="9">#REF!</definedName>
    <definedName name="Losses_by_State">#REF!</definedName>
    <definedName name="LOUPHONECOBAL" localSheetId="7">#REF!</definedName>
    <definedName name="LOUPHONECOBAL" localSheetId="9">#REF!</definedName>
    <definedName name="LOUPHONECOBAL">#REF!</definedName>
    <definedName name="LOUPHONECOCASH" localSheetId="7">#REF!</definedName>
    <definedName name="LOUPHONECOCASH" localSheetId="9">#REF!</definedName>
    <definedName name="LOUPHONECOCASH">#REF!</definedName>
    <definedName name="LOUPHONECOIS" localSheetId="7">#REF!</definedName>
    <definedName name="LOUPHONECOIS" localSheetId="9">#REF!</definedName>
    <definedName name="LOUPHONECOIS">#REF!</definedName>
    <definedName name="LPI" localSheetId="7">#REF!</definedName>
    <definedName name="LPI" localSheetId="9">#REF!</definedName>
    <definedName name="LPI">#REF!</definedName>
    <definedName name="MAIN" localSheetId="7">#REF!</definedName>
    <definedName name="MAIN" localSheetId="9">#REF!</definedName>
    <definedName name="MAIN">#REF!</definedName>
    <definedName name="MESG1" localSheetId="7">#REF!</definedName>
    <definedName name="MESG1" localSheetId="9">#REF!</definedName>
    <definedName name="MESG1">#REF!</definedName>
    <definedName name="MESG2" localSheetId="7">#REF!</definedName>
    <definedName name="MESG2" localSheetId="9">#REF!</definedName>
    <definedName name="MESG2">#REF!</definedName>
    <definedName name="MONTH_NAME" localSheetId="7">#REF!</definedName>
    <definedName name="MONTH_NAME" localSheetId="9">#REF!</definedName>
    <definedName name="MONTH_NAME">#REF!</definedName>
    <definedName name="MONTHCOUNT" localSheetId="7">#REF!</definedName>
    <definedName name="MONTHCOUNT" localSheetId="9">#REF!</definedName>
    <definedName name="MONTHCOUNT">#REF!</definedName>
    <definedName name="NATURAL" localSheetId="7">#REF!</definedName>
    <definedName name="NATURAL" localSheetId="9">#REF!</definedName>
    <definedName name="NATURAL">#REF!</definedName>
    <definedName name="NET_OP_INC" localSheetId="7">#REF!</definedName>
    <definedName name="NET_OP_INC" localSheetId="9">#REF!</definedName>
    <definedName name="NET_OP_INC">#REF!</definedName>
    <definedName name="Net_Revenues" localSheetId="7">#REF!</definedName>
    <definedName name="Net_Revenues" localSheetId="9">#REF!</definedName>
    <definedName name="Net_Revenues">#REF!</definedName>
    <definedName name="Net_Unbilled_KWh" localSheetId="7">#REF!</definedName>
    <definedName name="Net_Unbilled_KWh" localSheetId="9">#REF!</definedName>
    <definedName name="Net_Unbilled_KWh">#REF!</definedName>
    <definedName name="Net_Unbilled_Revenue_Dollars" localSheetId="7">#REF!</definedName>
    <definedName name="Net_Unbilled_Revenue_Dollars" localSheetId="9">#REF!</definedName>
    <definedName name="Net_Unbilled_Revenue_Dollars">#REF!</definedName>
    <definedName name="netrev_hide_ku_01" localSheetId="7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7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7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7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 localSheetId="7">#REF!</definedName>
    <definedName name="NetRevenues" localSheetId="9">#REF!</definedName>
    <definedName name="NetRevenues">#REF!</definedName>
    <definedName name="NextReptgMo">[5]Input!$AE$19</definedName>
    <definedName name="NextReptgYr">[5]Input!$AE$21</definedName>
    <definedName name="Operating_Revenue_Dollars" localSheetId="7">#REF!</definedName>
    <definedName name="Operating_Revenue_Dollars" localSheetId="9">#REF!</definedName>
    <definedName name="Operating_Revenue_Dollars">#REF!</definedName>
    <definedName name="Operating_Sales__KWh" localSheetId="7">#REF!</definedName>
    <definedName name="Operating_Sales__KWh" localSheetId="9">#REF!</definedName>
    <definedName name="Operating_Sales__KWh">#REF!</definedName>
    <definedName name="PAGE" localSheetId="7">#REF!</definedName>
    <definedName name="PAGE" localSheetId="6">#REF!</definedName>
    <definedName name="PAGE" localSheetId="9">#REF!</definedName>
    <definedName name="PAGE">#REF!</definedName>
    <definedName name="PAGE10" localSheetId="7">#REF!</definedName>
    <definedName name="PAGE10" localSheetId="6">#REF!</definedName>
    <definedName name="PAGE10" localSheetId="9">#REF!</definedName>
    <definedName name="PAGE10">#REF!</definedName>
    <definedName name="PAGE1B" localSheetId="7">[2]d20!#REF!</definedName>
    <definedName name="PAGE1B" localSheetId="9">[2]d20!#REF!</definedName>
    <definedName name="PAGE1B">[2]d20!#REF!</definedName>
    <definedName name="PAGE7" localSheetId="7">#REF!</definedName>
    <definedName name="PAGE7" localSheetId="6">#REF!</definedName>
    <definedName name="PAGE7" localSheetId="9">#REF!</definedName>
    <definedName name="PAGE7">#REF!</definedName>
    <definedName name="page8" localSheetId="7">#REF!</definedName>
    <definedName name="page8" localSheetId="6">#REF!</definedName>
    <definedName name="page8" localSheetId="9">#REF!</definedName>
    <definedName name="page8">#REF!</definedName>
    <definedName name="PAGE9" localSheetId="7">#REF!</definedName>
    <definedName name="PAGE9" localSheetId="6">#REF!</definedName>
    <definedName name="PAGE9" localSheetId="9">#REF!</definedName>
    <definedName name="PAGE9">#REF!</definedName>
    <definedName name="PgFERC_449" localSheetId="7">#REF!</definedName>
    <definedName name="PgFERC_449" localSheetId="9">#REF!</definedName>
    <definedName name="PgFERC_449">#REF!</definedName>
    <definedName name="Plan" localSheetId="7">#REF!</definedName>
    <definedName name="Plan" localSheetId="9">#REF!</definedName>
    <definedName name="Plan">#REF!</definedName>
    <definedName name="_xlnm.Print_Area" localSheetId="1">'Allocation Proforma'!$A$1:$V$1121</definedName>
    <definedName name="_xlnm.Print_Area" localSheetId="3">'Billing Det'!$A$1:$C$40</definedName>
    <definedName name="_xlnm.Print_Area" localSheetId="0">'Functional Assignment'!$A$1:$AE$669</definedName>
    <definedName name="_xlnm.Print_Area" localSheetId="4">GS!$A$1:$K$63</definedName>
    <definedName name="_xlnm.Print_Area" localSheetId="7">'PS Pri'!$A$1:$K$57</definedName>
    <definedName name="_xlnm.Print_Area" localSheetId="5">'PS Sec'!$A$1:$K$57</definedName>
    <definedName name="_xlnm.Print_Area" localSheetId="6">RS!$A$1:$K$57</definedName>
    <definedName name="_xlnm.Print_Area" localSheetId="10">RTS!$A$1:$K$57</definedName>
    <definedName name="_xlnm.Print_Area" localSheetId="11">'Special Contract'!$A$1:$K$57</definedName>
    <definedName name="_xlnm.Print_Area" localSheetId="2">'Summary of Returns'!$A$1:$I$78</definedName>
    <definedName name="_xlnm.Print_Area" localSheetId="9">'TOD Pri'!$A$1:$K$57</definedName>
    <definedName name="_xlnm.Print_Area" localSheetId="8">'TOD Sec'!$A$1:$K$57</definedName>
    <definedName name="_xlnm.Print_Titles" localSheetId="1">'Allocation Proforma'!$A:$E,'Allocation Proforma'!$2:$4</definedName>
    <definedName name="_xlnm.Print_Titles" localSheetId="3">'Billing Det'!$A:$A,'Billing Det'!$39:$40</definedName>
    <definedName name="_xlnm.Print_Titles" localSheetId="0">'Functional Assignment'!$A:$E,'Functional Assignment'!$2:$4</definedName>
    <definedName name="PRINT1" localSheetId="7">#REF!</definedName>
    <definedName name="PRINT1" localSheetId="9">#REF!</definedName>
    <definedName name="PRINT1">#REF!</definedName>
    <definedName name="PWRGENBAL" localSheetId="7">#REF!</definedName>
    <definedName name="PWRGENBAL" localSheetId="9">#REF!</definedName>
    <definedName name="PWRGENBAL">#REF!</definedName>
    <definedName name="PWRGENCASH" localSheetId="7">#REF!</definedName>
    <definedName name="PWRGENCASH" localSheetId="9">#REF!</definedName>
    <definedName name="PWRGENCASH">#REF!</definedName>
    <definedName name="QtrbyMonth" localSheetId="7">#REF!</definedName>
    <definedName name="QtrbyMonth" localSheetId="9">#REF!</definedName>
    <definedName name="QtrbyMonth">#REF!</definedName>
    <definedName name="RangeRptgMo">[10]Main!$K$11</definedName>
    <definedName name="RangeRptgYr">[11]Main!$G$5</definedName>
    <definedName name="REPORT" localSheetId="7">#REF!</definedName>
    <definedName name="REPORT" localSheetId="6">#REF!</definedName>
    <definedName name="REPORT" localSheetId="9">#REF!</definedName>
    <definedName name="REPORT">#REF!</definedName>
    <definedName name="ReportTitle1" localSheetId="7">#REF!</definedName>
    <definedName name="ReportTitle1" localSheetId="9">#REF!</definedName>
    <definedName name="ReportTitle1">#REF!</definedName>
    <definedName name="require_hide_ku_01" localSheetId="7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7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7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7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7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7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 localSheetId="7">#REF!</definedName>
    <definedName name="RevCol01" localSheetId="9">#REF!</definedName>
    <definedName name="RevCol01">#REF!</definedName>
    <definedName name="RevCol01A" localSheetId="7">#REF!</definedName>
    <definedName name="RevCol01A" localSheetId="9">#REF!</definedName>
    <definedName name="RevCol01A">#REF!</definedName>
    <definedName name="RevCol01B" localSheetId="7">[12]RevDatabase!#REF!</definedName>
    <definedName name="RevCol01B" localSheetId="6">#REF!</definedName>
    <definedName name="RevCol01B" localSheetId="9">[12]RevDatabase!#REF!</definedName>
    <definedName name="RevCol01B">[12]RevDatabase!#REF!</definedName>
    <definedName name="RevCol02" localSheetId="7">#REF!</definedName>
    <definedName name="RevCol02" localSheetId="9">#REF!</definedName>
    <definedName name="RevCol02">#REF!</definedName>
    <definedName name="RevCol02A" localSheetId="7">#REF!</definedName>
    <definedName name="RevCol02A" localSheetId="9">#REF!</definedName>
    <definedName name="RevCol02A">#REF!</definedName>
    <definedName name="RevCol02B" localSheetId="7">[12]RevDatabase!#REF!</definedName>
    <definedName name="RevCol02B" localSheetId="6">#REF!</definedName>
    <definedName name="RevCol02B" localSheetId="9">[12]RevDatabase!#REF!</definedName>
    <definedName name="RevCol02B">[12]RevDatabase!#REF!</definedName>
    <definedName name="RevCol03" localSheetId="7">#REF!</definedName>
    <definedName name="RevCol03" localSheetId="9">#REF!</definedName>
    <definedName name="RevCol03">#REF!</definedName>
    <definedName name="RevCol04" localSheetId="7">#REF!</definedName>
    <definedName name="RevCol04" localSheetId="9">#REF!</definedName>
    <definedName name="RevCol04">#REF!</definedName>
    <definedName name="RevCol05" localSheetId="7">#REF!</definedName>
    <definedName name="RevCol05" localSheetId="9">#REF!</definedName>
    <definedName name="RevCol05">#REF!</definedName>
    <definedName name="RevCol06" localSheetId="7">#REF!</definedName>
    <definedName name="RevCol06" localSheetId="9">#REF!</definedName>
    <definedName name="RevCol06">#REF!</definedName>
    <definedName name="RevCol07" localSheetId="7">#REF!</definedName>
    <definedName name="RevCol07" localSheetId="9">#REF!</definedName>
    <definedName name="RevCol07">#REF!</definedName>
    <definedName name="RevCol08" localSheetId="7">#REF!</definedName>
    <definedName name="RevCol08" localSheetId="9">#REF!</definedName>
    <definedName name="RevCol08">#REF!</definedName>
    <definedName name="RevCol09" localSheetId="7">#REF!</definedName>
    <definedName name="RevCol09" localSheetId="9">#REF!</definedName>
    <definedName name="RevCol09">#REF!</definedName>
    <definedName name="RevCol10" localSheetId="7">#REF!</definedName>
    <definedName name="RevCol10" localSheetId="9">#REF!</definedName>
    <definedName name="RevCol10">#REF!</definedName>
    <definedName name="RevCol11" localSheetId="7">#REF!</definedName>
    <definedName name="RevCol11" localSheetId="9">#REF!</definedName>
    <definedName name="RevCol11">#REF!</definedName>
    <definedName name="RevCol12" localSheetId="7">#REF!</definedName>
    <definedName name="RevCol12" localSheetId="9">#REF!</definedName>
    <definedName name="RevCol12">#REF!</definedName>
    <definedName name="RevCol13" localSheetId="7">#REF!</definedName>
    <definedName name="RevCol13" localSheetId="9">#REF!</definedName>
    <definedName name="RevCol13">#REF!</definedName>
    <definedName name="RevCol14" localSheetId="7">#REF!</definedName>
    <definedName name="RevCol14" localSheetId="9">#REF!</definedName>
    <definedName name="RevCol14">#REF!</definedName>
    <definedName name="RevCol15" localSheetId="7">#REF!</definedName>
    <definedName name="RevCol15" localSheetId="9">#REF!</definedName>
    <definedName name="RevCol15">#REF!</definedName>
    <definedName name="RevCol16" localSheetId="7">#REF!</definedName>
    <definedName name="RevCol16" localSheetId="9">#REF!</definedName>
    <definedName name="RevCol16">#REF!</definedName>
    <definedName name="RevCol17" localSheetId="7">#REF!</definedName>
    <definedName name="RevCol17" localSheetId="9">#REF!</definedName>
    <definedName name="RevCol17">#REF!</definedName>
    <definedName name="RevCol18" localSheetId="7">#REF!</definedName>
    <definedName name="RevCol18" localSheetId="9">#REF!</definedName>
    <definedName name="RevCol18">#REF!</definedName>
    <definedName name="RevCol19" localSheetId="7">#REF!</definedName>
    <definedName name="RevCol19" localSheetId="9">#REF!</definedName>
    <definedName name="RevCol19">#REF!</definedName>
    <definedName name="RevCol20" localSheetId="7">#REF!</definedName>
    <definedName name="RevCol20" localSheetId="9">#REF!</definedName>
    <definedName name="RevCol20">#REF!</definedName>
    <definedName name="RevCol21" localSheetId="7">#REF!</definedName>
    <definedName name="RevCol21" localSheetId="9">#REF!</definedName>
    <definedName name="RevCol21">#REF!</definedName>
    <definedName name="RevCol22" localSheetId="7">#REF!</definedName>
    <definedName name="RevCol22" localSheetId="9">#REF!</definedName>
    <definedName name="RevCol22">#REF!</definedName>
    <definedName name="RevCol23" localSheetId="7">#REF!</definedName>
    <definedName name="RevCol23" localSheetId="9">#REF!</definedName>
    <definedName name="RevCol23">#REF!</definedName>
    <definedName name="RevCol24" localSheetId="7">#REF!</definedName>
    <definedName name="RevCol24" localSheetId="9">#REF!</definedName>
    <definedName name="RevCol24">#REF!</definedName>
    <definedName name="RevCol25" localSheetId="7">#REF!</definedName>
    <definedName name="RevCol25" localSheetId="9">#REF!</definedName>
    <definedName name="RevCol25">#REF!</definedName>
    <definedName name="RevCol26" localSheetId="7">#REF!</definedName>
    <definedName name="RevCol26" localSheetId="9">#REF!</definedName>
    <definedName name="RevCol26">#REF!</definedName>
    <definedName name="RevCol27" localSheetId="7">#REF!</definedName>
    <definedName name="RevCol27" localSheetId="9">#REF!</definedName>
    <definedName name="RevCol27">#REF!</definedName>
    <definedName name="RevCol28" localSheetId="7">#REF!</definedName>
    <definedName name="RevCol28" localSheetId="9">#REF!</definedName>
    <definedName name="RevCol28">#REF!</definedName>
    <definedName name="RevCol29" localSheetId="7">#REF!</definedName>
    <definedName name="RevCol29" localSheetId="9">#REF!</definedName>
    <definedName name="RevCol29">#REF!</definedName>
    <definedName name="RevCol30" localSheetId="7">#REF!</definedName>
    <definedName name="RevCol30" localSheetId="9">#REF!</definedName>
    <definedName name="RevCol30">#REF!</definedName>
    <definedName name="RevCol31" localSheetId="7">#REF!</definedName>
    <definedName name="RevCol31" localSheetId="9">#REF!</definedName>
    <definedName name="RevCol31">#REF!</definedName>
    <definedName name="RevCol32" localSheetId="7">#REF!</definedName>
    <definedName name="RevCol32" localSheetId="9">#REF!</definedName>
    <definedName name="RevCol32">#REF!</definedName>
    <definedName name="RevCol33" localSheetId="7">#REF!</definedName>
    <definedName name="RevCol33" localSheetId="9">#REF!</definedName>
    <definedName name="RevCol33">#REF!</definedName>
    <definedName name="RevCol34" localSheetId="7">#REF!</definedName>
    <definedName name="RevCol34" localSheetId="9">#REF!</definedName>
    <definedName name="RevCol34">#REF!</definedName>
    <definedName name="RevCol35" localSheetId="7">#REF!</definedName>
    <definedName name="RevCol35" localSheetId="9">#REF!</definedName>
    <definedName name="RevCol35">#REF!</definedName>
    <definedName name="RevCol36" localSheetId="7">#REF!</definedName>
    <definedName name="RevCol36" localSheetId="9">#REF!</definedName>
    <definedName name="RevCol36">#REF!</definedName>
    <definedName name="RevCol37" localSheetId="7">#REF!</definedName>
    <definedName name="RevCol37" localSheetId="9">#REF!</definedName>
    <definedName name="RevCol37">#REF!</definedName>
    <definedName name="RevColTmp" localSheetId="7">[12]RevDatabase!#REF!</definedName>
    <definedName name="RevColTmp" localSheetId="6">#REF!</definedName>
    <definedName name="RevColTmp" localSheetId="9">[12]RevDatabase!#REF!</definedName>
    <definedName name="RevColTmp">[12]RevDatabase!#REF!</definedName>
    <definedName name="RevColTmpA" localSheetId="7">[12]RevDatabase!#REF!</definedName>
    <definedName name="RevColTmpA" localSheetId="6">#REF!</definedName>
    <definedName name="RevColTmpA" localSheetId="9">[12]RevDatabase!#REF!</definedName>
    <definedName name="RevColTmpA">[12]RevDatabase!#REF!</definedName>
    <definedName name="RevColTmpB" localSheetId="7">[12]RevDatabase!#REF!</definedName>
    <definedName name="RevColTmpB" localSheetId="6">#REF!</definedName>
    <definedName name="RevColTmpB" localSheetId="9">[12]RevDatabase!#REF!</definedName>
    <definedName name="RevColTmpB">[12]RevDatabase!#REF!</definedName>
    <definedName name="revenues_hide_ku_01" localSheetId="7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7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 localSheetId="7">#REF!</definedName>
    <definedName name="RowDetails1" localSheetId="9">#REF!</definedName>
    <definedName name="RowDetails1">#REF!</definedName>
    <definedName name="RPTCOL" localSheetId="7">#REF!</definedName>
    <definedName name="RPTCOL" localSheetId="9">#REF!</definedName>
    <definedName name="RPTCOL">#REF!</definedName>
    <definedName name="RPTROW" localSheetId="7">#REF!</definedName>
    <definedName name="RPTROW" localSheetId="9">#REF!</definedName>
    <definedName name="RPTROW">#REF!</definedName>
    <definedName name="Sales" localSheetId="7">'[4]LGE Sales'!#REF!</definedName>
    <definedName name="Sales" localSheetId="9">'[4]LGE Sales'!#REF!</definedName>
    <definedName name="Sales">'[4]LGE Sales'!#REF!</definedName>
    <definedName name="sales_hide_ku_01" localSheetId="7">'[4]LGE Sales'!#REF!</definedName>
    <definedName name="sales_hide_ku_01" localSheetId="9">'[4]LGE Sales'!#REF!</definedName>
    <definedName name="sales_hide_ku_01">'[4]LGE Sales'!#REF!</definedName>
    <definedName name="sales_ku_01" localSheetId="7">'[4]LGE Sales'!#REF!</definedName>
    <definedName name="sales_ku_01" localSheetId="9">'[4]LGE Sales'!#REF!</definedName>
    <definedName name="sales_ku_01">'[4]LGE Sales'!#REF!</definedName>
    <definedName name="sales_title_ku" localSheetId="7">'[4]LGE Sales'!#REF!</definedName>
    <definedName name="sales_title_ku" localSheetId="9">'[4]LGE Sales'!#REF!</definedName>
    <definedName name="sales_title_ku">'[4]LGE Sales'!#REF!</definedName>
    <definedName name="SCHEDZ" localSheetId="7">#REF!</definedName>
    <definedName name="SCHEDZ" localSheetId="6">#REF!</definedName>
    <definedName name="SCHEDZ" localSheetId="9">#REF!</definedName>
    <definedName name="SCHEDZ">#REF!</definedName>
    <definedName name="shoot" localSheetId="7">#REF!</definedName>
    <definedName name="shoot" localSheetId="9">#REF!</definedName>
    <definedName name="shoot">#REF!</definedName>
    <definedName name="START" localSheetId="7">#REF!</definedName>
    <definedName name="START" localSheetId="9">#REF!</definedName>
    <definedName name="START">#REF!</definedName>
    <definedName name="START2" localSheetId="7">#REF!</definedName>
    <definedName name="START2" localSheetId="9">#REF!</definedName>
    <definedName name="START2">#REF!</definedName>
    <definedName name="START3" localSheetId="7">#REF!</definedName>
    <definedName name="START3" localSheetId="9">#REF!</definedName>
    <definedName name="START3">#REF!</definedName>
    <definedName name="Support" localSheetId="7">#REF!</definedName>
    <definedName name="Support" localSheetId="6">#REF!</definedName>
    <definedName name="Support" localSheetId="9">#REF!</definedName>
    <definedName name="Support">#REF!</definedName>
    <definedName name="SUPPORT5" localSheetId="7">#REF!</definedName>
    <definedName name="SUPPORT5" localSheetId="6">#REF!</definedName>
    <definedName name="SUPPORT5" localSheetId="9">#REF!</definedName>
    <definedName name="SUPPORT5">#REF!</definedName>
    <definedName name="SUPPORT6" localSheetId="7">#REF!</definedName>
    <definedName name="SUPPORT6" localSheetId="6">#REF!</definedName>
    <definedName name="SUPPORT6" localSheetId="9">#REF!</definedName>
    <definedName name="SUPPORT6">#REF!</definedName>
    <definedName name="TAX_RATE" localSheetId="7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 localSheetId="7">#REF!</definedName>
    <definedName name="TenyrNIAC" localSheetId="9">#REF!</definedName>
    <definedName name="TenyrNIAC">#REF!</definedName>
    <definedName name="TenyrRev" localSheetId="7">#REF!</definedName>
    <definedName name="TenyrRev" localSheetId="9">#REF!</definedName>
    <definedName name="TenyrRev">#REF!</definedName>
    <definedName name="test" localSheetId="6">RS!test</definedName>
    <definedName name="test">[0]!test</definedName>
    <definedName name="Title" localSheetId="7">#REF!</definedName>
    <definedName name="Title" localSheetId="9">#REF!</definedName>
    <definedName name="Title">#REF!</definedName>
    <definedName name="Title_Choice" localSheetId="7">#REF!</definedName>
    <definedName name="Title_Choice" localSheetId="9">#REF!</definedName>
    <definedName name="Title_Choice">#REF!</definedName>
    <definedName name="Titles" localSheetId="7">#REF!</definedName>
    <definedName name="Titles" localSheetId="9">#REF!</definedName>
    <definedName name="Titles">#REF!</definedName>
    <definedName name="Titles_KU" localSheetId="7">#REF!</definedName>
    <definedName name="Titles_KU" localSheetId="9">#REF!</definedName>
    <definedName name="Titles_KU">#REF!</definedName>
    <definedName name="ttt" localSheetId="7">#REF!</definedName>
    <definedName name="ttt" localSheetId="6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 localSheetId="7">#REF!</definedName>
    <definedName name="Variance" localSheetId="9">#REF!</definedName>
    <definedName name="Variance">#REF!</definedName>
    <definedName name="VIEW1" localSheetId="7">#REF!</definedName>
    <definedName name="VIEW1" localSheetId="9">#REF!</definedName>
    <definedName name="VIEW1">#REF!</definedName>
    <definedName name="vol_rev_annual_ku" localSheetId="7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7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7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7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7">'[4]LGE Retail Margin'!#REF!</definedName>
    <definedName name="volrev_data" localSheetId="9">'[4]LGE Retail Margin'!#REF!</definedName>
    <definedName name="volrev_data">'[4]LGE Retail Margin'!#REF!</definedName>
    <definedName name="YTD" localSheetId="7">#REF!</definedName>
    <definedName name="YTD" localSheetId="6">#REF!</definedName>
    <definedName name="YTD" localSheetId="9">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0" i="2" l="1"/>
  <c r="F770" i="2" s="1"/>
  <c r="V997" i="2"/>
  <c r="U997" i="2"/>
  <c r="F771" i="2" l="1"/>
  <c r="Z770" i="2"/>
  <c r="Y770" i="2"/>
  <c r="X770" i="2"/>
  <c r="W770" i="2"/>
  <c r="V770" i="2"/>
  <c r="U770" i="2"/>
  <c r="T770" i="2"/>
  <c r="S770" i="2"/>
  <c r="R770" i="2"/>
  <c r="Q770" i="2"/>
  <c r="O770" i="2"/>
  <c r="N770" i="2"/>
  <c r="M770" i="2"/>
  <c r="L770" i="2"/>
  <c r="K770" i="2"/>
  <c r="J770" i="2"/>
  <c r="I770" i="2"/>
  <c r="AA707" i="2"/>
  <c r="AB707" i="2" s="1"/>
  <c r="N768" i="2"/>
  <c r="L768" i="2"/>
  <c r="Z768" i="2"/>
  <c r="Y768" i="2"/>
  <c r="X768" i="2"/>
  <c r="W768" i="2"/>
  <c r="V768" i="2"/>
  <c r="U768" i="2"/>
  <c r="T768" i="2"/>
  <c r="S768" i="2"/>
  <c r="R768" i="2"/>
  <c r="Q768" i="2"/>
  <c r="O768" i="2"/>
  <c r="M768" i="2"/>
  <c r="K768" i="2"/>
  <c r="J768" i="2"/>
  <c r="I768" i="2"/>
  <c r="H768" i="2"/>
  <c r="G768" i="2"/>
  <c r="AA770" i="2" l="1"/>
  <c r="AB770" i="2" s="1"/>
  <c r="AA768" i="2"/>
  <c r="B10" i="5" l="1"/>
  <c r="D12" i="8" l="1"/>
  <c r="C12" i="8"/>
  <c r="E12" i="7"/>
  <c r="D12" i="7"/>
  <c r="C12" i="7"/>
  <c r="G12" i="7" l="1"/>
  <c r="H1052" i="2" s="1"/>
  <c r="E12" i="8"/>
  <c r="F1009" i="2" l="1"/>
  <c r="B8" i="5" l="1"/>
  <c r="C8" i="5"/>
  <c r="D10" i="5" l="1"/>
  <c r="D8" i="5" s="1"/>
  <c r="H919" i="2"/>
  <c r="G919" i="2" s="1"/>
  <c r="A63" i="4"/>
  <c r="S919" i="2"/>
  <c r="N701" i="2"/>
  <c r="N1119" i="2"/>
  <c r="L1120" i="2"/>
  <c r="T706" i="2"/>
  <c r="V988" i="2"/>
  <c r="V964" i="2"/>
  <c r="V965" i="2" s="1"/>
  <c r="U964" i="2"/>
  <c r="T964" i="2"/>
  <c r="S964" i="2"/>
  <c r="R964" i="2"/>
  <c r="Q964" i="2"/>
  <c r="P964" i="2"/>
  <c r="O964" i="2"/>
  <c r="O965" i="2" s="1"/>
  <c r="N964" i="2"/>
  <c r="N965" i="2" s="1"/>
  <c r="J964" i="2"/>
  <c r="J965" i="2" s="1"/>
  <c r="H964" i="2"/>
  <c r="V963" i="2"/>
  <c r="U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I1105" i="2"/>
  <c r="V1108" i="2"/>
  <c r="U1108" i="2"/>
  <c r="T1108" i="2"/>
  <c r="T1082" i="2"/>
  <c r="V1032" i="2"/>
  <c r="V1011" i="2"/>
  <c r="U1004" i="2"/>
  <c r="U1011" i="2" s="1"/>
  <c r="T1061" i="2"/>
  <c r="T1068" i="2" s="1"/>
  <c r="O981" i="2"/>
  <c r="O984" i="2" s="1"/>
  <c r="N980" i="2"/>
  <c r="M980" i="2"/>
  <c r="L980" i="2"/>
  <c r="I980" i="2"/>
  <c r="P983" i="2"/>
  <c r="K981" i="2"/>
  <c r="K982" i="2" s="1"/>
  <c r="V968" i="2"/>
  <c r="U968" i="2"/>
  <c r="T968" i="2"/>
  <c r="O968" i="2"/>
  <c r="H968" i="2"/>
  <c r="J986" i="2"/>
  <c r="V994" i="2"/>
  <c r="U994" i="2"/>
  <c r="V993" i="2"/>
  <c r="U993" i="2"/>
  <c r="V992" i="2"/>
  <c r="U992" i="2"/>
  <c r="T992" i="2"/>
  <c r="S992" i="2"/>
  <c r="R992" i="2"/>
  <c r="Q992" i="2"/>
  <c r="P992" i="2"/>
  <c r="O992" i="2"/>
  <c r="V991" i="2"/>
  <c r="U991" i="2"/>
  <c r="T991" i="2"/>
  <c r="S991" i="2"/>
  <c r="R991" i="2"/>
  <c r="Q991" i="2"/>
  <c r="P991" i="2"/>
  <c r="O991" i="2"/>
  <c r="N991" i="2"/>
  <c r="M993" i="2"/>
  <c r="M992" i="2"/>
  <c r="M991" i="2"/>
  <c r="L992" i="2"/>
  <c r="L991" i="2"/>
  <c r="K994" i="2"/>
  <c r="K993" i="2"/>
  <c r="K992" i="2"/>
  <c r="K991" i="2"/>
  <c r="J992" i="2"/>
  <c r="J991" i="2"/>
  <c r="I994" i="2"/>
  <c r="I993" i="2"/>
  <c r="U1046" i="2" l="1"/>
  <c r="V1046" i="2"/>
  <c r="V1018" i="2"/>
  <c r="O982" i="2"/>
  <c r="U1018" i="2"/>
  <c r="I992" i="2"/>
  <c r="I991" i="2"/>
  <c r="H994" i="2"/>
  <c r="H993" i="2"/>
  <c r="H992" i="2"/>
  <c r="H991" i="2"/>
  <c r="F924" i="2" l="1"/>
  <c r="AA1097" i="2" l="1"/>
  <c r="AB1097" i="2" s="1"/>
  <c r="D34" i="5" l="1"/>
  <c r="T963" i="2" s="1"/>
  <c r="F698" i="2" l="1"/>
  <c r="F104" i="1"/>
  <c r="F705" i="2" l="1"/>
  <c r="F704" i="2"/>
  <c r="T1046" i="2" l="1"/>
  <c r="F327" i="1"/>
  <c r="F577" i="1" l="1"/>
  <c r="F573" i="1"/>
  <c r="F101" i="1" l="1"/>
  <c r="F598" i="1"/>
  <c r="F296" i="1" l="1"/>
  <c r="F231" i="1"/>
  <c r="F219" i="1"/>
  <c r="F214" i="1"/>
  <c r="F161" i="1"/>
  <c r="F149" i="1"/>
  <c r="F148" i="1"/>
  <c r="F64" i="1" l="1"/>
  <c r="F77" i="1" l="1"/>
  <c r="D14" i="7" l="1"/>
  <c r="C14" i="7"/>
  <c r="B26" i="5"/>
  <c r="P968" i="2" s="1"/>
  <c r="B32" i="5"/>
  <c r="S968" i="2" s="1"/>
  <c r="B30" i="5"/>
  <c r="R968" i="2" s="1"/>
  <c r="B28" i="5"/>
  <c r="Q968" i="2" s="1"/>
  <c r="B22" i="5"/>
  <c r="N968" i="2" s="1"/>
  <c r="C18" i="5"/>
  <c r="L964" i="2" s="1"/>
  <c r="L965" i="2" s="1"/>
  <c r="B18" i="5"/>
  <c r="L968" i="2" s="1"/>
  <c r="C20" i="5"/>
  <c r="M964" i="2" s="1"/>
  <c r="M965" i="2" s="1"/>
  <c r="B20" i="5"/>
  <c r="M968" i="2" s="1"/>
  <c r="B14" i="5"/>
  <c r="J968" i="2" s="1"/>
  <c r="C16" i="5"/>
  <c r="K964" i="2" s="1"/>
  <c r="K965" i="2" s="1"/>
  <c r="B16" i="5"/>
  <c r="K968" i="2" s="1"/>
  <c r="C12" i="5"/>
  <c r="I964" i="2" s="1"/>
  <c r="I965" i="2" s="1"/>
  <c r="B12" i="5"/>
  <c r="I968" i="2" s="1"/>
  <c r="J1104" i="2" l="1"/>
  <c r="J1105" i="2"/>
  <c r="M1105" i="2"/>
  <c r="M1104" i="2"/>
  <c r="N1104" i="2"/>
  <c r="N1105" i="2"/>
  <c r="K1105" i="2"/>
  <c r="K1104" i="2"/>
  <c r="L1104" i="2"/>
  <c r="L1105" i="2"/>
  <c r="W617" i="1"/>
  <c r="V617" i="1"/>
  <c r="T617" i="1"/>
  <c r="U617" i="1"/>
  <c r="W619" i="1"/>
  <c r="V619" i="1"/>
  <c r="U619" i="1"/>
  <c r="T619" i="1"/>
  <c r="G34" i="5" l="1"/>
  <c r="G32" i="5"/>
  <c r="G30" i="5"/>
  <c r="G28" i="5"/>
  <c r="G26" i="5"/>
  <c r="G991" i="2"/>
  <c r="Q993" i="2" l="1"/>
  <c r="Q994" i="2"/>
  <c r="R994" i="2"/>
  <c r="R993" i="2"/>
  <c r="S994" i="2"/>
  <c r="S993" i="2"/>
  <c r="P994" i="2"/>
  <c r="P993" i="2"/>
  <c r="T993" i="2"/>
  <c r="T994" i="2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 l="1"/>
  <c r="H35" i="4"/>
  <c r="S922" i="2"/>
  <c r="AA922" i="2" s="1"/>
  <c r="AB922" i="2" s="1"/>
  <c r="F937" i="2"/>
  <c r="F934" i="2" l="1"/>
  <c r="F935" i="2"/>
  <c r="H51" i="34"/>
  <c r="G51" i="34"/>
  <c r="E37" i="34"/>
  <c r="K37" i="34" s="1"/>
  <c r="L37" i="34" s="1"/>
  <c r="G34" i="34"/>
  <c r="K34" i="34" s="1"/>
  <c r="L34" i="34" s="1"/>
  <c r="F33" i="34"/>
  <c r="K33" i="34" s="1"/>
  <c r="L33" i="34" s="1"/>
  <c r="E32" i="34"/>
  <c r="K32" i="34" s="1"/>
  <c r="L32" i="34" s="1"/>
  <c r="H51" i="31" l="1"/>
  <c r="G34" i="31"/>
  <c r="K34" i="31" s="1"/>
  <c r="L34" i="31" s="1"/>
  <c r="F33" i="31"/>
  <c r="K33" i="31" s="1"/>
  <c r="L33" i="31" s="1"/>
  <c r="E32" i="31"/>
  <c r="K32" i="31" s="1"/>
  <c r="L32" i="31" s="1"/>
  <c r="H51" i="32"/>
  <c r="G34" i="32"/>
  <c r="F33" i="32"/>
  <c r="K33" i="32" s="1"/>
  <c r="L33" i="32" s="1"/>
  <c r="E32" i="32"/>
  <c r="K32" i="32" s="1"/>
  <c r="L32" i="32" s="1"/>
  <c r="H51" i="28"/>
  <c r="E37" i="28"/>
  <c r="K37" i="28" s="1"/>
  <c r="L37" i="28" s="1"/>
  <c r="G34" i="28"/>
  <c r="F33" i="28"/>
  <c r="K33" i="28" s="1"/>
  <c r="L33" i="28" s="1"/>
  <c r="E32" i="28"/>
  <c r="K32" i="28" s="1"/>
  <c r="L32" i="28" s="1"/>
  <c r="H51" i="27"/>
  <c r="G51" i="27"/>
  <c r="E37" i="27"/>
  <c r="K37" i="27" s="1"/>
  <c r="L37" i="27" s="1"/>
  <c r="G34" i="27"/>
  <c r="K34" i="27" s="1"/>
  <c r="L34" i="27" s="1"/>
  <c r="F33" i="27"/>
  <c r="K33" i="27" s="1"/>
  <c r="L33" i="27" s="1"/>
  <c r="E32" i="27"/>
  <c r="K32" i="27" s="1"/>
  <c r="L32" i="27" s="1"/>
  <c r="H51" i="26"/>
  <c r="G51" i="26"/>
  <c r="K34" i="32" l="1"/>
  <c r="L34" i="32" s="1"/>
  <c r="K34" i="28"/>
  <c r="L34" i="28" s="1"/>
  <c r="E37" i="26" l="1"/>
  <c r="K37" i="26" s="1"/>
  <c r="L37" i="26" s="1"/>
  <c r="G34" i="26"/>
  <c r="K34" i="26" s="1"/>
  <c r="L34" i="26" s="1"/>
  <c r="F33" i="26"/>
  <c r="E32" i="26"/>
  <c r="K32" i="26" s="1"/>
  <c r="L32" i="26" s="1"/>
  <c r="K33" i="26" l="1"/>
  <c r="L33" i="26" s="1"/>
  <c r="F801" i="2" l="1"/>
  <c r="E823" i="2"/>
  <c r="M701" i="2" l="1"/>
  <c r="L701" i="2"/>
  <c r="K701" i="2"/>
  <c r="AA701" i="2" l="1"/>
  <c r="J51" i="32"/>
  <c r="I51" i="32"/>
  <c r="J51" i="26"/>
  <c r="I51" i="26"/>
  <c r="I51" i="28"/>
  <c r="J51" i="28"/>
  <c r="J51" i="34"/>
  <c r="I51" i="34"/>
  <c r="J51" i="31"/>
  <c r="I51" i="31"/>
  <c r="D40" i="8"/>
  <c r="D38" i="8"/>
  <c r="D36" i="8"/>
  <c r="D34" i="8"/>
  <c r="C34" i="8"/>
  <c r="AA1068" i="2" l="1"/>
  <c r="AB1068" i="2" s="1"/>
  <c r="A37" i="4" l="1"/>
  <c r="A64" i="4" s="1"/>
  <c r="A38" i="4"/>
  <c r="A65" i="4" s="1"/>
  <c r="A39" i="4"/>
  <c r="A66" i="4" s="1"/>
  <c r="A40" i="4"/>
  <c r="A67" i="4" s="1"/>
  <c r="A41" i="4"/>
  <c r="A68" i="4" s="1"/>
  <c r="A42" i="4"/>
  <c r="A69" i="4" s="1"/>
  <c r="A43" i="4"/>
  <c r="A70" i="4" s="1"/>
  <c r="A44" i="4"/>
  <c r="A71" i="4" s="1"/>
  <c r="A45" i="4"/>
  <c r="A72" i="4" s="1"/>
  <c r="A46" i="4"/>
  <c r="A73" i="4" s="1"/>
  <c r="A47" i="4"/>
  <c r="A74" i="4" s="1"/>
  <c r="A48" i="4"/>
  <c r="A75" i="4" s="1"/>
  <c r="A49" i="4"/>
  <c r="A76" i="4" s="1"/>
  <c r="A50" i="4"/>
  <c r="A77" i="4" s="1"/>
  <c r="AA920" i="2" l="1"/>
  <c r="AA1046" i="2" l="1"/>
  <c r="AB1046" i="2" s="1"/>
  <c r="Z1044" i="2"/>
  <c r="Y1044" i="2"/>
  <c r="X1044" i="2"/>
  <c r="W1044" i="2"/>
  <c r="V1044" i="2"/>
  <c r="D28" i="8" l="1"/>
  <c r="AA1018" i="2" l="1"/>
  <c r="AB1018" i="2" s="1"/>
  <c r="AA706" i="2"/>
  <c r="F1030" i="2"/>
  <c r="T1116" i="2" l="1"/>
  <c r="S1116" i="2"/>
  <c r="R1116" i="2"/>
  <c r="Q1116" i="2"/>
  <c r="P1116" i="2"/>
  <c r="O1116" i="2"/>
  <c r="N1116" i="2"/>
  <c r="M1116" i="2"/>
  <c r="L1116" i="2"/>
  <c r="K1116" i="2"/>
  <c r="J1116" i="2"/>
  <c r="I1116" i="2"/>
  <c r="D37" i="32" l="1"/>
  <c r="E37" i="32" s="1"/>
  <c r="K37" i="32" s="1"/>
  <c r="L37" i="32" s="1"/>
  <c r="E28" i="8" l="1"/>
  <c r="G964" i="2" l="1"/>
  <c r="D32" i="8"/>
  <c r="E32" i="8" s="1"/>
  <c r="R965" i="2" l="1"/>
  <c r="S965" i="2"/>
  <c r="F51" i="34"/>
  <c r="P965" i="2"/>
  <c r="Q965" i="2"/>
  <c r="F51" i="27"/>
  <c r="F51" i="31"/>
  <c r="F51" i="26"/>
  <c r="F51" i="32"/>
  <c r="F51" i="28"/>
  <c r="G968" i="2"/>
  <c r="F42" i="7"/>
  <c r="E40" i="7"/>
  <c r="G40" i="7" s="1"/>
  <c r="E38" i="7"/>
  <c r="G38" i="7" s="1"/>
  <c r="E36" i="7"/>
  <c r="G36" i="7" s="1"/>
  <c r="E34" i="7"/>
  <c r="E32" i="7"/>
  <c r="E28" i="7"/>
  <c r="G28" i="7" s="1"/>
  <c r="E26" i="7"/>
  <c r="E22" i="7"/>
  <c r="G22" i="7" s="1"/>
  <c r="D34" i="7"/>
  <c r="D26" i="7"/>
  <c r="D32" i="7"/>
  <c r="M1052" i="2" l="1"/>
  <c r="T1052" i="2"/>
  <c r="T1059" i="2" s="1"/>
  <c r="T1066" i="2" s="1"/>
  <c r="P1052" i="2"/>
  <c r="U1052" i="2"/>
  <c r="U1087" i="2" s="1"/>
  <c r="V1052" i="2"/>
  <c r="E10" i="7"/>
  <c r="G10" i="7" s="1"/>
  <c r="G1052" i="2" s="1"/>
  <c r="G1087" i="2" s="1"/>
  <c r="D20" i="8"/>
  <c r="E20" i="7"/>
  <c r="G20" i="7" s="1"/>
  <c r="L1052" i="2" s="1"/>
  <c r="L1087" i="2" s="1"/>
  <c r="D24" i="8"/>
  <c r="E16" i="7"/>
  <c r="G16" i="7" s="1"/>
  <c r="D16" i="8"/>
  <c r="D26" i="8"/>
  <c r="E26" i="8" s="1"/>
  <c r="E18" i="7"/>
  <c r="G18" i="7" s="1"/>
  <c r="D18" i="8"/>
  <c r="E24" i="7"/>
  <c r="G24" i="7" s="1"/>
  <c r="N1052" i="2" s="1"/>
  <c r="D22" i="8"/>
  <c r="E30" i="7"/>
  <c r="D30" i="8"/>
  <c r="E30" i="8" s="1"/>
  <c r="D30" i="7"/>
  <c r="U1073" i="2" l="1"/>
  <c r="U1080" i="2"/>
  <c r="T1073" i="2"/>
  <c r="U1059" i="2"/>
  <c r="U1066" i="2" s="1"/>
  <c r="T1080" i="2"/>
  <c r="K1052" i="2"/>
  <c r="K1087" i="2" s="1"/>
  <c r="L1073" i="2"/>
  <c r="T1087" i="2"/>
  <c r="L1059" i="2"/>
  <c r="L1066" i="2" s="1"/>
  <c r="J1052" i="2"/>
  <c r="J1059" i="2" s="1"/>
  <c r="J1066" i="2" s="1"/>
  <c r="L1080" i="2"/>
  <c r="G1080" i="2"/>
  <c r="G1059" i="2"/>
  <c r="G1066" i="2" s="1"/>
  <c r="M1087" i="2"/>
  <c r="M1073" i="2"/>
  <c r="M1080" i="2"/>
  <c r="M1059" i="2"/>
  <c r="M1066" i="2" s="1"/>
  <c r="G1073" i="2"/>
  <c r="C34" i="7"/>
  <c r="G34" i="7" s="1"/>
  <c r="S1052" i="2" s="1"/>
  <c r="C30" i="7"/>
  <c r="G30" i="7" s="1"/>
  <c r="Q1052" i="2" s="1"/>
  <c r="AA1089" i="2"/>
  <c r="AB1089" i="2" s="1"/>
  <c r="Z1087" i="2"/>
  <c r="Y1087" i="2"/>
  <c r="X1087" i="2"/>
  <c r="W1087" i="2"/>
  <c r="V1087" i="2"/>
  <c r="AA1082" i="2"/>
  <c r="AB1082" i="2" s="1"/>
  <c r="Z1080" i="2"/>
  <c r="Y1080" i="2"/>
  <c r="X1080" i="2"/>
  <c r="W1080" i="2"/>
  <c r="V1080" i="2"/>
  <c r="AA1075" i="2"/>
  <c r="AB1075" i="2" s="1"/>
  <c r="Z1073" i="2"/>
  <c r="Y1073" i="2"/>
  <c r="X1073" i="2"/>
  <c r="W1073" i="2"/>
  <c r="V1073" i="2"/>
  <c r="AA1061" i="2"/>
  <c r="AB1061" i="2" s="1"/>
  <c r="Z1059" i="2"/>
  <c r="Y1059" i="2"/>
  <c r="X1059" i="2"/>
  <c r="W1059" i="2"/>
  <c r="V1059" i="2"/>
  <c r="F1106" i="2"/>
  <c r="AA1109" i="2"/>
  <c r="AB1109" i="2" s="1"/>
  <c r="AA1110" i="2"/>
  <c r="AB1110" i="2" s="1"/>
  <c r="AA1054" i="2"/>
  <c r="AB1054" i="2" s="1"/>
  <c r="Z1052" i="2"/>
  <c r="Z1066" i="2" s="1"/>
  <c r="Y1052" i="2"/>
  <c r="Y1066" i="2" s="1"/>
  <c r="X1052" i="2"/>
  <c r="X1066" i="2" s="1"/>
  <c r="W1052" i="2"/>
  <c r="W1066" i="2" s="1"/>
  <c r="V1066" i="2"/>
  <c r="F1037" i="2"/>
  <c r="AA1039" i="2"/>
  <c r="AB1039" i="2" s="1"/>
  <c r="Z1037" i="2"/>
  <c r="Y1037" i="2"/>
  <c r="X1037" i="2"/>
  <c r="W1037" i="2"/>
  <c r="AA1025" i="2"/>
  <c r="AB1025" i="2" s="1"/>
  <c r="Z1023" i="2"/>
  <c r="Y1023" i="2"/>
  <c r="X1023" i="2"/>
  <c r="W1023" i="2"/>
  <c r="K1073" i="2" l="1"/>
  <c r="K1059" i="2"/>
  <c r="K1066" i="2" s="1"/>
  <c r="J1073" i="2"/>
  <c r="K1080" i="2"/>
  <c r="J1080" i="2"/>
  <c r="S1059" i="2"/>
  <c r="S1066" i="2" s="1"/>
  <c r="S1073" i="2"/>
  <c r="S1087" i="2"/>
  <c r="S1080" i="2"/>
  <c r="J1087" i="2"/>
  <c r="P1087" i="2"/>
  <c r="P1073" i="2"/>
  <c r="P1059" i="2"/>
  <c r="P1066" i="2" s="1"/>
  <c r="P1080" i="2"/>
  <c r="F1044" i="2"/>
  <c r="F1002" i="2"/>
  <c r="D14" i="8" l="1"/>
  <c r="E14" i="7"/>
  <c r="G14" i="7" s="1"/>
  <c r="I1052" i="2" s="1"/>
  <c r="G993" i="2"/>
  <c r="I1080" i="2" l="1"/>
  <c r="I1059" i="2"/>
  <c r="I1066" i="2" s="1"/>
  <c r="I1087" i="2"/>
  <c r="I1073" i="2"/>
  <c r="H1087" i="2"/>
  <c r="H1059" i="2"/>
  <c r="H1080" i="2"/>
  <c r="H1073" i="2"/>
  <c r="AA997" i="2"/>
  <c r="AB997" i="2" s="1"/>
  <c r="U996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AB996" i="2"/>
  <c r="AB995" i="2"/>
  <c r="H1066" i="2" l="1"/>
  <c r="F165" i="1" l="1"/>
  <c r="E848" i="2" l="1"/>
  <c r="H632" i="1" l="1"/>
  <c r="G994" i="2" l="1"/>
  <c r="C26" i="7"/>
  <c r="G26" i="7" s="1"/>
  <c r="O1052" i="2" s="1"/>
  <c r="O1080" i="2" l="1"/>
  <c r="O1059" i="2"/>
  <c r="O1066" i="2" s="1"/>
  <c r="O1073" i="2"/>
  <c r="O1087" i="2"/>
  <c r="N1087" i="2"/>
  <c r="N1080" i="2"/>
  <c r="N1073" i="2"/>
  <c r="N1059" i="2"/>
  <c r="E51" i="24"/>
  <c r="G51" i="24"/>
  <c r="H51" i="24"/>
  <c r="F51" i="24"/>
  <c r="H965" i="2"/>
  <c r="AA991" i="2"/>
  <c r="AB991" i="2" s="1"/>
  <c r="F465" i="1"/>
  <c r="N1066" i="2" l="1"/>
  <c r="F108" i="1"/>
  <c r="F48" i="1"/>
  <c r="F35" i="1"/>
  <c r="F29" i="1"/>
  <c r="F50" i="1" l="1"/>
  <c r="F117" i="1" l="1"/>
  <c r="N1009" i="2" l="1"/>
  <c r="N1016" i="2" s="1"/>
  <c r="E890" i="2"/>
  <c r="A35" i="4"/>
  <c r="A62" i="4" s="1"/>
  <c r="AA752" i="2"/>
  <c r="AB752" i="2" s="1"/>
  <c r="V618" i="1"/>
  <c r="U618" i="1"/>
  <c r="F1121" i="2"/>
  <c r="F768" i="2" s="1"/>
  <c r="S969" i="2"/>
  <c r="S980" i="2" s="1"/>
  <c r="E40" i="8"/>
  <c r="Q969" i="2"/>
  <c r="Q980" i="2" s="1"/>
  <c r="Q981" i="2" s="1"/>
  <c r="E24" i="8"/>
  <c r="E22" i="8"/>
  <c r="O1002" i="2"/>
  <c r="L969" i="2"/>
  <c r="I969" i="2"/>
  <c r="G969" i="2"/>
  <c r="T1002" i="2"/>
  <c r="N1002" i="2"/>
  <c r="L1002" i="2"/>
  <c r="T1009" i="2"/>
  <c r="T1016" i="2" s="1"/>
  <c r="I1009" i="2"/>
  <c r="I1016" i="2" s="1"/>
  <c r="H1009" i="2"/>
  <c r="H1016" i="2" s="1"/>
  <c r="G1002" i="2"/>
  <c r="G1009" i="2"/>
  <c r="G1016" i="2" s="1"/>
  <c r="G992" i="2"/>
  <c r="J1002" i="2"/>
  <c r="J1009" i="2"/>
  <c r="J1016" i="2" s="1"/>
  <c r="V909" i="2"/>
  <c r="Z821" i="2"/>
  <c r="Y821" i="2"/>
  <c r="X821" i="2"/>
  <c r="W821" i="2"/>
  <c r="V821" i="2"/>
  <c r="U821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D37" i="31"/>
  <c r="E37" i="31" s="1"/>
  <c r="K37" i="31" s="1"/>
  <c r="L37" i="31" s="1"/>
  <c r="V1030" i="2"/>
  <c r="W965" i="2"/>
  <c r="W1030" i="2" s="1"/>
  <c r="M1002" i="2"/>
  <c r="M1009" i="2"/>
  <c r="M1016" i="2" s="1"/>
  <c r="C32" i="7"/>
  <c r="G32" i="7" s="1"/>
  <c r="R1052" i="2" s="1"/>
  <c r="F131" i="1"/>
  <c r="U1002" i="2"/>
  <c r="S1002" i="2"/>
  <c r="R1002" i="2"/>
  <c r="Q1002" i="2"/>
  <c r="P1002" i="2"/>
  <c r="U1009" i="2"/>
  <c r="U1016" i="2" s="1"/>
  <c r="S1009" i="2"/>
  <c r="S1016" i="2" s="1"/>
  <c r="R1009" i="2"/>
  <c r="R1016" i="2" s="1"/>
  <c r="Q1009" i="2"/>
  <c r="Q1016" i="2" s="1"/>
  <c r="P1009" i="2"/>
  <c r="P1016" i="2" s="1"/>
  <c r="G45" i="7"/>
  <c r="E20" i="8"/>
  <c r="E18" i="8"/>
  <c r="D10" i="8"/>
  <c r="E10" i="8" s="1"/>
  <c r="E45" i="8"/>
  <c r="F767" i="2"/>
  <c r="I632" i="1"/>
  <c r="J632" i="1"/>
  <c r="F643" i="1"/>
  <c r="W618" i="1"/>
  <c r="AF617" i="1"/>
  <c r="AG617" i="1" s="1"/>
  <c r="O1009" i="2"/>
  <c r="O1016" i="2" s="1"/>
  <c r="E2" i="2"/>
  <c r="F2" i="2" s="1"/>
  <c r="G2" i="2" s="1"/>
  <c r="F762" i="2"/>
  <c r="F763" i="2"/>
  <c r="F776" i="2"/>
  <c r="F857" i="2" s="1"/>
  <c r="AA846" i="2"/>
  <c r="AB846" i="2" s="1"/>
  <c r="Z903" i="2"/>
  <c r="U965" i="2"/>
  <c r="V969" i="2"/>
  <c r="W969" i="2"/>
  <c r="W970" i="2" s="1"/>
  <c r="W973" i="2" s="1"/>
  <c r="X969" i="2"/>
  <c r="X970" i="2" s="1"/>
  <c r="X971" i="2" s="1"/>
  <c r="X973" i="2" s="1"/>
  <c r="Y969" i="2"/>
  <c r="Y970" i="2" s="1"/>
  <c r="Y971" i="2" s="1"/>
  <c r="Y973" i="2" s="1"/>
  <c r="Z969" i="2"/>
  <c r="Z970" i="2" s="1"/>
  <c r="Z971" i="2" s="1"/>
  <c r="Z973" i="2" s="1"/>
  <c r="X976" i="2"/>
  <c r="Y976" i="2"/>
  <c r="Z976" i="2"/>
  <c r="W981" i="2"/>
  <c r="W982" i="2" s="1"/>
  <c r="X981" i="2"/>
  <c r="X982" i="2" s="1"/>
  <c r="X984" i="2" s="1"/>
  <c r="Y981" i="2"/>
  <c r="Y982" i="2" s="1"/>
  <c r="Y984" i="2" s="1"/>
  <c r="Z981" i="2"/>
  <c r="Z982" i="2" s="1"/>
  <c r="Z984" i="2" s="1"/>
  <c r="W987" i="2"/>
  <c r="X987" i="2"/>
  <c r="Y987" i="2"/>
  <c r="Z987" i="2"/>
  <c r="V1002" i="2"/>
  <c r="V1016" i="2" s="1"/>
  <c r="W1002" i="2"/>
  <c r="W1016" i="2" s="1"/>
  <c r="X1002" i="2"/>
  <c r="X1016" i="2" s="1"/>
  <c r="Y1002" i="2"/>
  <c r="Y1016" i="2" s="1"/>
  <c r="Z1002" i="2"/>
  <c r="Z1016" i="2" s="1"/>
  <c r="AA1004" i="2"/>
  <c r="AB1004" i="2" s="1"/>
  <c r="V1009" i="2"/>
  <c r="W1009" i="2"/>
  <c r="X1009" i="2"/>
  <c r="Y1009" i="2"/>
  <c r="Z1009" i="2"/>
  <c r="AA1011" i="2"/>
  <c r="AB1011" i="2" s="1"/>
  <c r="X1030" i="2"/>
  <c r="Y1030" i="2"/>
  <c r="Z1030" i="2"/>
  <c r="AA1032" i="2"/>
  <c r="AB1032" i="2" s="1"/>
  <c r="H1116" i="2"/>
  <c r="U1116" i="2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39" i="5"/>
  <c r="G39" i="5"/>
  <c r="F15" i="1"/>
  <c r="B39" i="5"/>
  <c r="M969" i="2"/>
  <c r="T618" i="1"/>
  <c r="H969" i="2"/>
  <c r="E36" i="8"/>
  <c r="R969" i="2"/>
  <c r="R980" i="2" s="1"/>
  <c r="U969" i="2"/>
  <c r="U980" i="2" s="1"/>
  <c r="H1002" i="2"/>
  <c r="E38" i="8"/>
  <c r="G1116" i="2"/>
  <c r="T969" i="2"/>
  <c r="T980" i="2" s="1"/>
  <c r="T987" i="2" s="1"/>
  <c r="G963" i="2"/>
  <c r="L1009" i="2"/>
  <c r="L1016" i="2" s="1"/>
  <c r="I1002" i="2"/>
  <c r="G1105" i="2" l="1"/>
  <c r="G1104" i="2"/>
  <c r="AA1104" i="2" s="1"/>
  <c r="AB1104" i="2" s="1"/>
  <c r="H980" i="2"/>
  <c r="G980" i="2" s="1"/>
  <c r="G984" i="2" s="1"/>
  <c r="H1105" i="2"/>
  <c r="H1104" i="2"/>
  <c r="F769" i="2"/>
  <c r="AB768" i="2"/>
  <c r="R981" i="2"/>
  <c r="R984" i="2"/>
  <c r="V970" i="2"/>
  <c r="V971" i="2" s="1"/>
  <c r="V980" i="2"/>
  <c r="R1080" i="2"/>
  <c r="R1059" i="2"/>
  <c r="R1066" i="2" s="1"/>
  <c r="R1073" i="2"/>
  <c r="R1087" i="2"/>
  <c r="G921" i="2"/>
  <c r="H970" i="2"/>
  <c r="H974" i="2" s="1"/>
  <c r="S987" i="2"/>
  <c r="M970" i="2"/>
  <c r="M973" i="2" s="1"/>
  <c r="L970" i="2"/>
  <c r="L971" i="2" s="1"/>
  <c r="I987" i="2"/>
  <c r="I988" i="2" s="1"/>
  <c r="Q1087" i="2"/>
  <c r="Q1059" i="2"/>
  <c r="Q1080" i="2"/>
  <c r="Q1073" i="2"/>
  <c r="AA1052" i="2"/>
  <c r="F1023" i="2"/>
  <c r="F1016" i="2"/>
  <c r="F96" i="1"/>
  <c r="R1030" i="2"/>
  <c r="R1037" i="2" s="1"/>
  <c r="R1044" i="2" s="1"/>
  <c r="R1023" i="2"/>
  <c r="M1030" i="2"/>
  <c r="M1037" i="2" s="1"/>
  <c r="M1044" i="2" s="1"/>
  <c r="M1023" i="2"/>
  <c r="H1030" i="2"/>
  <c r="H1037" i="2" s="1"/>
  <c r="H1044" i="2" s="1"/>
  <c r="H1023" i="2"/>
  <c r="O1030" i="2"/>
  <c r="O1037" i="2" s="1"/>
  <c r="O1044" i="2" s="1"/>
  <c r="O1023" i="2"/>
  <c r="S1030" i="2"/>
  <c r="S1037" i="2" s="1"/>
  <c r="S1044" i="2" s="1"/>
  <c r="S1023" i="2"/>
  <c r="I1030" i="2"/>
  <c r="I1037" i="2" s="1"/>
  <c r="I1044" i="2" s="1"/>
  <c r="I1023" i="2"/>
  <c r="Q1030" i="2"/>
  <c r="Q1037" i="2" s="1"/>
  <c r="Q1044" i="2" s="1"/>
  <c r="Q1023" i="2"/>
  <c r="J1030" i="2"/>
  <c r="J1037" i="2" s="1"/>
  <c r="J1044" i="2" s="1"/>
  <c r="J1023" i="2"/>
  <c r="L1030" i="2"/>
  <c r="L1037" i="2" s="1"/>
  <c r="L1044" i="2" s="1"/>
  <c r="L1023" i="2"/>
  <c r="P1030" i="2"/>
  <c r="P1037" i="2" s="1"/>
  <c r="P1044" i="2" s="1"/>
  <c r="P1023" i="2"/>
  <c r="U1030" i="2"/>
  <c r="U1037" i="2" s="1"/>
  <c r="U1044" i="2" s="1"/>
  <c r="U1023" i="2"/>
  <c r="G1030" i="2"/>
  <c r="G1037" i="2" s="1"/>
  <c r="G1044" i="2" s="1"/>
  <c r="G1023" i="2"/>
  <c r="T1030" i="2"/>
  <c r="T1037" i="2" s="1"/>
  <c r="T1044" i="2" s="1"/>
  <c r="T1023" i="2"/>
  <c r="N1030" i="2"/>
  <c r="N1037" i="2" s="1"/>
  <c r="N1044" i="2" s="1"/>
  <c r="N1023" i="2"/>
  <c r="F425" i="1"/>
  <c r="T965" i="2"/>
  <c r="P969" i="2"/>
  <c r="P980" i="2" s="1"/>
  <c r="K969" i="2"/>
  <c r="O969" i="2"/>
  <c r="G959" i="2"/>
  <c r="W976" i="2"/>
  <c r="W974" i="2"/>
  <c r="W975" i="2" s="1"/>
  <c r="L981" i="2"/>
  <c r="L984" i="2" s="1"/>
  <c r="W984" i="2"/>
  <c r="W985" i="2" s="1"/>
  <c r="W986" i="2" s="1"/>
  <c r="F1119" i="2"/>
  <c r="W971" i="2"/>
  <c r="F608" i="1"/>
  <c r="G276" i="1"/>
  <c r="G278" i="1" s="1"/>
  <c r="G308" i="1" s="1"/>
  <c r="G703" i="2"/>
  <c r="AA821" i="2"/>
  <c r="AB821" i="2" s="1"/>
  <c r="G702" i="2"/>
  <c r="H2" i="2"/>
  <c r="G965" i="2"/>
  <c r="G51" i="14"/>
  <c r="AF632" i="1"/>
  <c r="AG632" i="1" s="1"/>
  <c r="AA994" i="2"/>
  <c r="AB994" i="2" s="1"/>
  <c r="I970" i="2"/>
  <c r="I971" i="2" s="1"/>
  <c r="AA992" i="2"/>
  <c r="AB992" i="2" s="1"/>
  <c r="S981" i="2"/>
  <c r="S982" i="2" s="1"/>
  <c r="E39" i="5"/>
  <c r="R970" i="2"/>
  <c r="R971" i="2" s="1"/>
  <c r="R974" i="2" s="1"/>
  <c r="R975" i="2" s="1"/>
  <c r="E51" i="14"/>
  <c r="S970" i="2"/>
  <c r="S971" i="2" s="1"/>
  <c r="AA964" i="2"/>
  <c r="G970" i="2"/>
  <c r="G971" i="2" s="1"/>
  <c r="G960" i="2" s="1"/>
  <c r="F51" i="14"/>
  <c r="H51" i="14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1009" i="2"/>
  <c r="F404" i="1"/>
  <c r="F888" i="2"/>
  <c r="T970" i="2"/>
  <c r="T971" i="2" s="1"/>
  <c r="I981" i="2"/>
  <c r="I982" i="2" s="1"/>
  <c r="F188" i="1"/>
  <c r="F167" i="1"/>
  <c r="Q970" i="2"/>
  <c r="D39" i="5"/>
  <c r="F383" i="1"/>
  <c r="F276" i="1"/>
  <c r="F278" i="1" s="1"/>
  <c r="E34" i="8"/>
  <c r="AF626" i="1"/>
  <c r="AG626" i="1" s="1"/>
  <c r="AF618" i="1"/>
  <c r="AG618" i="1" s="1"/>
  <c r="AF619" i="1"/>
  <c r="AG619" i="1" s="1"/>
  <c r="G486" i="1"/>
  <c r="G488" i="1" s="1"/>
  <c r="G490" i="1" s="1"/>
  <c r="F209" i="1"/>
  <c r="N969" i="2"/>
  <c r="K1002" i="2"/>
  <c r="AA1002" i="2" s="1"/>
  <c r="AB1002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C39" i="5"/>
  <c r="F964" i="2" s="1"/>
  <c r="E14" i="8"/>
  <c r="E16" i="8"/>
  <c r="AA993" i="2"/>
  <c r="AB993" i="2" s="1"/>
  <c r="U987" i="2"/>
  <c r="U981" i="2"/>
  <c r="U982" i="2" s="1"/>
  <c r="G981" i="2"/>
  <c r="G982" i="2" s="1"/>
  <c r="U970" i="2"/>
  <c r="AA1080" i="2" l="1"/>
  <c r="J51" i="14"/>
  <c r="I51" i="14"/>
  <c r="V973" i="2"/>
  <c r="V974" i="2" s="1"/>
  <c r="AA1073" i="2"/>
  <c r="AA1087" i="2"/>
  <c r="L973" i="2"/>
  <c r="V981" i="2"/>
  <c r="V987" i="2"/>
  <c r="Q974" i="2"/>
  <c r="Q1095" i="2" s="1"/>
  <c r="L974" i="2"/>
  <c r="L1095" i="2" s="1"/>
  <c r="R985" i="2"/>
  <c r="R986" i="2" s="1"/>
  <c r="R988" i="2"/>
  <c r="R982" i="2"/>
  <c r="R987" i="2"/>
  <c r="H973" i="2"/>
  <c r="H971" i="2"/>
  <c r="H960" i="2" s="1"/>
  <c r="M971" i="2"/>
  <c r="M974" i="2"/>
  <c r="H976" i="2"/>
  <c r="H977" i="2" s="1"/>
  <c r="H1095" i="2"/>
  <c r="P984" i="2"/>
  <c r="K970" i="2"/>
  <c r="K971" i="2" s="1"/>
  <c r="F963" i="2"/>
  <c r="F697" i="2"/>
  <c r="Q1066" i="2"/>
  <c r="AA1066" i="2" s="1"/>
  <c r="AA1059" i="2"/>
  <c r="H703" i="2"/>
  <c r="H921" i="2"/>
  <c r="F98" i="1"/>
  <c r="F110" i="1" s="1"/>
  <c r="F141" i="1" s="1"/>
  <c r="K1023" i="2"/>
  <c r="AA1023" i="2" s="1"/>
  <c r="AB1023" i="2" s="1"/>
  <c r="K1016" i="2"/>
  <c r="Q984" i="2"/>
  <c r="P981" i="2"/>
  <c r="AB964" i="2"/>
  <c r="O970" i="2"/>
  <c r="O971" i="2" s="1"/>
  <c r="R973" i="2"/>
  <c r="I974" i="2"/>
  <c r="I973" i="2"/>
  <c r="I975" i="2" s="1"/>
  <c r="U971" i="2"/>
  <c r="U973" i="2"/>
  <c r="U975" i="2" s="1"/>
  <c r="U974" i="2"/>
  <c r="U976" i="2" s="1"/>
  <c r="U977" i="2" s="1"/>
  <c r="Q971" i="2"/>
  <c r="Q973" i="2"/>
  <c r="T973" i="2"/>
  <c r="T975" i="2" s="1"/>
  <c r="T974" i="2"/>
  <c r="S974" i="2"/>
  <c r="S973" i="2"/>
  <c r="AA1105" i="2"/>
  <c r="AB1105" i="2" s="1"/>
  <c r="L985" i="2"/>
  <c r="L986" i="2" s="1"/>
  <c r="AA1009" i="2"/>
  <c r="AB1009" i="2" s="1"/>
  <c r="K1030" i="2"/>
  <c r="K1037" i="2" s="1"/>
  <c r="K1044" i="2" s="1"/>
  <c r="AA1044" i="2" s="1"/>
  <c r="AB1044" i="2" s="1"/>
  <c r="J51" i="24"/>
  <c r="I51" i="24"/>
  <c r="K987" i="2"/>
  <c r="K988" i="2" s="1"/>
  <c r="P970" i="2"/>
  <c r="P972" i="2" s="1"/>
  <c r="AA972" i="2" s="1"/>
  <c r="AB972" i="2" s="1"/>
  <c r="H987" i="2"/>
  <c r="H988" i="2" s="1"/>
  <c r="L982" i="2"/>
  <c r="L987" i="2"/>
  <c r="H959" i="2"/>
  <c r="I2" i="2"/>
  <c r="H702" i="2"/>
  <c r="F427" i="1"/>
  <c r="F490" i="1" s="1"/>
  <c r="F540" i="1" s="1"/>
  <c r="F542" i="1" s="1"/>
  <c r="H442" i="1"/>
  <c r="H480" i="1"/>
  <c r="S984" i="2"/>
  <c r="S985" i="2" s="1"/>
  <c r="G974" i="2"/>
  <c r="G1095" i="2" s="1"/>
  <c r="F33" i="24"/>
  <c r="H953" i="2"/>
  <c r="G973" i="2"/>
  <c r="H981" i="2"/>
  <c r="H982" i="2" s="1"/>
  <c r="G953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G42" i="7"/>
  <c r="E42" i="8"/>
  <c r="F12" i="8" s="1"/>
  <c r="H957" i="2" s="1"/>
  <c r="H640" i="1"/>
  <c r="H124" i="1" s="1"/>
  <c r="H267" i="1"/>
  <c r="I985" i="2"/>
  <c r="I986" i="2" s="1"/>
  <c r="I984" i="2"/>
  <c r="M981" i="2"/>
  <c r="M987" i="2"/>
  <c r="T981" i="2"/>
  <c r="T982" i="2" s="1"/>
  <c r="H233" i="1"/>
  <c r="H441" i="1"/>
  <c r="H575" i="1"/>
  <c r="AA963" i="2"/>
  <c r="AA965" i="2"/>
  <c r="J969" i="2"/>
  <c r="AA968" i="2"/>
  <c r="AB968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D42" i="8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970" i="2"/>
  <c r="N971" i="2" s="1"/>
  <c r="AA1116" i="2"/>
  <c r="AB1116" i="2" s="1"/>
  <c r="H102" i="1"/>
  <c r="H447" i="1"/>
  <c r="H584" i="1"/>
  <c r="H592" i="1"/>
  <c r="E42" i="7"/>
  <c r="G985" i="2"/>
  <c r="U984" i="2"/>
  <c r="H975" i="2"/>
  <c r="H961" i="2"/>
  <c r="L976" i="2" l="1"/>
  <c r="V976" i="2"/>
  <c r="K974" i="2"/>
  <c r="K1095" i="2" s="1"/>
  <c r="K973" i="2"/>
  <c r="Q975" i="2"/>
  <c r="Q976" i="2"/>
  <c r="Q977" i="2" s="1"/>
  <c r="H956" i="2"/>
  <c r="T976" i="2"/>
  <c r="T977" i="2" s="1"/>
  <c r="T988" i="2" s="1"/>
  <c r="T1095" i="2"/>
  <c r="M1095" i="2"/>
  <c r="M976" i="2"/>
  <c r="M977" i="2" s="1"/>
  <c r="M988" i="2" s="1"/>
  <c r="V982" i="2"/>
  <c r="V984" i="2"/>
  <c r="V985" i="2" s="1"/>
  <c r="F1052" i="2"/>
  <c r="F1073" i="2" s="1"/>
  <c r="AB1073" i="2" s="1"/>
  <c r="H12" i="7"/>
  <c r="H958" i="2" s="1"/>
  <c r="S976" i="2"/>
  <c r="S977" i="2" s="1"/>
  <c r="S988" i="2" s="1"/>
  <c r="S1095" i="2"/>
  <c r="R976" i="2"/>
  <c r="R977" i="2" s="1"/>
  <c r="R1095" i="2"/>
  <c r="H697" i="2"/>
  <c r="I976" i="2"/>
  <c r="I1095" i="2"/>
  <c r="I921" i="2"/>
  <c r="H751" i="2"/>
  <c r="G751" i="2"/>
  <c r="J51" i="27"/>
  <c r="I51" i="27"/>
  <c r="M55" i="24"/>
  <c r="M56" i="24" s="1"/>
  <c r="M59" i="24" s="1"/>
  <c r="L56" i="24"/>
  <c r="L59" i="24" s="1"/>
  <c r="AA1016" i="2"/>
  <c r="AB1016" i="2" s="1"/>
  <c r="O973" i="2"/>
  <c r="O974" i="2" s="1"/>
  <c r="P974" i="2"/>
  <c r="P1095" i="2" s="1"/>
  <c r="P973" i="2"/>
  <c r="P988" i="2"/>
  <c r="P987" i="2"/>
  <c r="P985" i="2"/>
  <c r="P986" i="2" s="1"/>
  <c r="P982" i="2"/>
  <c r="Q987" i="2"/>
  <c r="Q985" i="2"/>
  <c r="Q986" i="2" s="1"/>
  <c r="Q988" i="2"/>
  <c r="Q982" i="2"/>
  <c r="N973" i="2"/>
  <c r="G961" i="2"/>
  <c r="G976" i="2"/>
  <c r="G977" i="2" s="1"/>
  <c r="P971" i="2"/>
  <c r="F16" i="8"/>
  <c r="J957" i="2" s="1"/>
  <c r="F26" i="8"/>
  <c r="O957" i="2" s="1"/>
  <c r="F32" i="8"/>
  <c r="R957" i="2" s="1"/>
  <c r="F30" i="8"/>
  <c r="Q957" i="2" s="1"/>
  <c r="F28" i="8"/>
  <c r="P957" i="2" s="1"/>
  <c r="H36" i="7"/>
  <c r="T958" i="2" s="1"/>
  <c r="H38" i="7"/>
  <c r="U958" i="2" s="1"/>
  <c r="H20" i="7"/>
  <c r="L958" i="2" s="1"/>
  <c r="H34" i="7"/>
  <c r="S958" i="2" s="1"/>
  <c r="AA1037" i="2"/>
  <c r="AB1037" i="2" s="1"/>
  <c r="I584" i="1"/>
  <c r="I250" i="1"/>
  <c r="K33" i="24"/>
  <c r="L33" i="24" s="1"/>
  <c r="I959" i="2"/>
  <c r="I703" i="2"/>
  <c r="I702" i="2"/>
  <c r="J2" i="2"/>
  <c r="I953" i="2"/>
  <c r="I751" i="2"/>
  <c r="I960" i="2"/>
  <c r="I961" i="2"/>
  <c r="F516" i="1"/>
  <c r="F308" i="1"/>
  <c r="H50" i="1"/>
  <c r="I653" i="1"/>
  <c r="H14" i="7"/>
  <c r="I958" i="2" s="1"/>
  <c r="H28" i="7"/>
  <c r="P958" i="2" s="1"/>
  <c r="G975" i="2"/>
  <c r="H16" i="7"/>
  <c r="J958" i="2" s="1"/>
  <c r="H40" i="7"/>
  <c r="V958" i="2" s="1"/>
  <c r="F33" i="14"/>
  <c r="H30" i="7"/>
  <c r="Q958" i="2" s="1"/>
  <c r="H24" i="7"/>
  <c r="N958" i="2" s="1"/>
  <c r="H985" i="2"/>
  <c r="H986" i="2" s="1"/>
  <c r="H984" i="2"/>
  <c r="H26" i="7"/>
  <c r="O958" i="2" s="1"/>
  <c r="F20" i="8"/>
  <c r="L957" i="2" s="1"/>
  <c r="H10" i="7"/>
  <c r="H22" i="7"/>
  <c r="M958" i="2" s="1"/>
  <c r="H32" i="7"/>
  <c r="R958" i="2" s="1"/>
  <c r="H18" i="7"/>
  <c r="K958" i="2" s="1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F14" i="8"/>
  <c r="F22" i="8"/>
  <c r="M957" i="2" s="1"/>
  <c r="F34" i="8"/>
  <c r="S957" i="2" s="1"/>
  <c r="I268" i="1"/>
  <c r="I455" i="1"/>
  <c r="I643" i="1"/>
  <c r="F18" i="8"/>
  <c r="K957" i="2" s="1"/>
  <c r="I457" i="1"/>
  <c r="I265" i="1"/>
  <c r="F10" i="8"/>
  <c r="I249" i="1"/>
  <c r="I475" i="1"/>
  <c r="F40" i="8"/>
  <c r="V957" i="2" s="1"/>
  <c r="F36" i="8"/>
  <c r="T957" i="2" s="1"/>
  <c r="F24" i="8"/>
  <c r="N957" i="2" s="1"/>
  <c r="I266" i="1"/>
  <c r="I270" i="1"/>
  <c r="F38" i="8"/>
  <c r="U957" i="2" s="1"/>
  <c r="T984" i="2"/>
  <c r="M982" i="2"/>
  <c r="M985" i="2"/>
  <c r="M984" i="2"/>
  <c r="I633" i="1"/>
  <c r="I375" i="1" s="1"/>
  <c r="I381" i="1" s="1"/>
  <c r="G697" i="2"/>
  <c r="F709" i="2"/>
  <c r="I697" i="2"/>
  <c r="I458" i="1"/>
  <c r="N974" i="2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965" i="2"/>
  <c r="AC965" i="2"/>
  <c r="I306" i="1"/>
  <c r="I48" i="1"/>
  <c r="H450" i="1"/>
  <c r="N987" i="2"/>
  <c r="N981" i="2"/>
  <c r="N982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970" i="2"/>
  <c r="J973" i="2" s="1"/>
  <c r="AA969" i="2"/>
  <c r="AB969" i="2" s="1"/>
  <c r="AC963" i="2"/>
  <c r="AB963" i="2"/>
  <c r="I480" i="1"/>
  <c r="I461" i="1"/>
  <c r="U985" i="2"/>
  <c r="U986" i="2"/>
  <c r="G986" i="2"/>
  <c r="G987" i="2"/>
  <c r="G988" i="2" s="1"/>
  <c r="K976" i="2" l="1"/>
  <c r="K977" i="2" s="1"/>
  <c r="F1080" i="2"/>
  <c r="AB1080" i="2" s="1"/>
  <c r="F1059" i="2"/>
  <c r="AB1059" i="2" s="1"/>
  <c r="F1087" i="2"/>
  <c r="AB1087" i="2" s="1"/>
  <c r="AB1052" i="2"/>
  <c r="T986" i="2"/>
  <c r="T985" i="2"/>
  <c r="I956" i="2"/>
  <c r="I977" i="2"/>
  <c r="I957" i="2"/>
  <c r="H774" i="2"/>
  <c r="O976" i="2"/>
  <c r="O1095" i="2"/>
  <c r="N1095" i="2"/>
  <c r="J921" i="2"/>
  <c r="K985" i="2"/>
  <c r="K984" i="2"/>
  <c r="P976" i="2"/>
  <c r="P977" i="2" s="1"/>
  <c r="P975" i="2"/>
  <c r="AA975" i="2" s="1"/>
  <c r="AB975" i="2" s="1"/>
  <c r="O987" i="2"/>
  <c r="O985" i="2"/>
  <c r="H105" i="1"/>
  <c r="H77" i="1"/>
  <c r="J697" i="2"/>
  <c r="K2" i="2"/>
  <c r="K961" i="2" s="1"/>
  <c r="K33" i="14"/>
  <c r="L33" i="14" s="1"/>
  <c r="J702" i="2"/>
  <c r="J751" i="2"/>
  <c r="J953" i="2"/>
  <c r="J703" i="2"/>
  <c r="J959" i="2"/>
  <c r="G956" i="2"/>
  <c r="K960" i="2"/>
  <c r="I573" i="1"/>
  <c r="I50" i="1"/>
  <c r="J574" i="1"/>
  <c r="H42" i="7"/>
  <c r="G958" i="2"/>
  <c r="AA958" i="2" s="1"/>
  <c r="AB958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F42" i="8"/>
  <c r="G957" i="2"/>
  <c r="AA957" i="2" s="1"/>
  <c r="AB957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I659" i="1"/>
  <c r="I159" i="1"/>
  <c r="I165" i="1" s="1"/>
  <c r="H636" i="1"/>
  <c r="H453" i="1" s="1"/>
  <c r="F748" i="2"/>
  <c r="F754" i="2" s="1"/>
  <c r="F734" i="2"/>
  <c r="I774" i="2"/>
  <c r="G774" i="2"/>
  <c r="J643" i="1"/>
  <c r="H474" i="1"/>
  <c r="AA1030" i="2"/>
  <c r="AB1030" i="2" s="1"/>
  <c r="J974" i="2"/>
  <c r="J1095" i="2" s="1"/>
  <c r="J971" i="2"/>
  <c r="AA970" i="2"/>
  <c r="AB970" i="2" s="1"/>
  <c r="N984" i="2"/>
  <c r="N985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987" i="2"/>
  <c r="J981" i="2"/>
  <c r="AA980" i="2"/>
  <c r="AB980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F1066" i="2" l="1"/>
  <c r="AB1066" i="2" s="1"/>
  <c r="AA1095" i="2"/>
  <c r="AB1095" i="2" s="1"/>
  <c r="K956" i="2"/>
  <c r="K959" i="2"/>
  <c r="K697" i="2"/>
  <c r="K774" i="2" s="1"/>
  <c r="K953" i="2"/>
  <c r="K921" i="2"/>
  <c r="K751" i="2"/>
  <c r="K702" i="2"/>
  <c r="J774" i="2"/>
  <c r="AA987" i="2"/>
  <c r="AB987" i="2" s="1"/>
  <c r="AA986" i="2"/>
  <c r="AB986" i="2" s="1"/>
  <c r="H79" i="1"/>
  <c r="H96" i="1" s="1"/>
  <c r="J961" i="2"/>
  <c r="J976" i="2"/>
  <c r="I105" i="1"/>
  <c r="I77" i="1"/>
  <c r="K703" i="2"/>
  <c r="L2" i="2"/>
  <c r="J668" i="1"/>
  <c r="J50" i="1"/>
  <c r="J77" i="1" s="1"/>
  <c r="K653" i="1"/>
  <c r="K479" i="1"/>
  <c r="AA974" i="2"/>
  <c r="AB974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843" i="2"/>
  <c r="F795" i="2"/>
  <c r="F810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960" i="2"/>
  <c r="AA971" i="2"/>
  <c r="AB971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982" i="2"/>
  <c r="AA982" i="2" s="1"/>
  <c r="AB982" i="2" s="1"/>
  <c r="J984" i="2"/>
  <c r="AA984" i="2" s="1"/>
  <c r="AB984" i="2" s="1"/>
  <c r="J985" i="2"/>
  <c r="AA985" i="2" s="1"/>
  <c r="AB985" i="2" s="1"/>
  <c r="AA981" i="2"/>
  <c r="AB981" i="2" s="1"/>
  <c r="J396" i="1"/>
  <c r="AA973" i="2"/>
  <c r="AB973" i="2" s="1"/>
  <c r="K574" i="1"/>
  <c r="K584" i="1"/>
  <c r="K232" i="1"/>
  <c r="K443" i="1"/>
  <c r="K499" i="1"/>
  <c r="K455" i="1"/>
  <c r="H139" i="1"/>
  <c r="H108" i="1"/>
  <c r="U988" i="2"/>
  <c r="L921" i="2" l="1"/>
  <c r="I79" i="1"/>
  <c r="I96" i="1" s="1"/>
  <c r="AA977" i="2"/>
  <c r="AB977" i="2" s="1"/>
  <c r="J13" i="1"/>
  <c r="J105" i="1"/>
  <c r="L956" i="2"/>
  <c r="L960" i="2"/>
  <c r="L953" i="2"/>
  <c r="L751" i="2"/>
  <c r="L703" i="2"/>
  <c r="L702" i="2"/>
  <c r="L959" i="2"/>
  <c r="M2" i="2"/>
  <c r="L697" i="2"/>
  <c r="L961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F916" i="2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956" i="2"/>
  <c r="AA976" i="2"/>
  <c r="AB976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988" i="2"/>
  <c r="AB988" i="2" s="1"/>
  <c r="M921" i="2" l="1"/>
  <c r="L774" i="2"/>
  <c r="K105" i="1"/>
  <c r="K77" i="1"/>
  <c r="K79" i="1" s="1"/>
  <c r="M959" i="2"/>
  <c r="M697" i="2"/>
  <c r="M703" i="2"/>
  <c r="M961" i="2"/>
  <c r="N2" i="2"/>
  <c r="M953" i="2"/>
  <c r="M751" i="2"/>
  <c r="M956" i="2"/>
  <c r="M702" i="2"/>
  <c r="M960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921" i="2" l="1"/>
  <c r="M774" i="2"/>
  <c r="L105" i="1"/>
  <c r="L77" i="1"/>
  <c r="L79" i="1" s="1"/>
  <c r="N956" i="2"/>
  <c r="N953" i="2"/>
  <c r="N697" i="2"/>
  <c r="O2" i="2"/>
  <c r="N959" i="2"/>
  <c r="N961" i="2"/>
  <c r="N960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1003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921" i="2" l="1"/>
  <c r="N774" i="2"/>
  <c r="M105" i="1"/>
  <c r="M77" i="1"/>
  <c r="M79" i="1" s="1"/>
  <c r="M96" i="1" s="1"/>
  <c r="O961" i="2"/>
  <c r="O956" i="2"/>
  <c r="O953" i="2"/>
  <c r="O697" i="2"/>
  <c r="O703" i="2"/>
  <c r="O751" i="2"/>
  <c r="O702" i="2"/>
  <c r="O959" i="2"/>
  <c r="P2" i="2"/>
  <c r="O960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1045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921" i="2" l="1"/>
  <c r="O774" i="2"/>
  <c r="AA1045" i="2"/>
  <c r="AB1045" i="2" s="1"/>
  <c r="F1047" i="2"/>
  <c r="P1047" i="2" s="1"/>
  <c r="P1048" i="2" s="1"/>
  <c r="N105" i="1"/>
  <c r="N77" i="1"/>
  <c r="N137" i="1"/>
  <c r="N139" i="1" s="1"/>
  <c r="F11" i="2"/>
  <c r="P697" i="2"/>
  <c r="P960" i="2"/>
  <c r="P703" i="2"/>
  <c r="P959" i="2"/>
  <c r="P956" i="2"/>
  <c r="P751" i="2"/>
  <c r="P953" i="2"/>
  <c r="P702" i="2"/>
  <c r="P961" i="2"/>
  <c r="Q2" i="2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1038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1010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P774" i="2" l="1"/>
  <c r="Q1047" i="2"/>
  <c r="Q1048" i="2" s="1"/>
  <c r="Q921" i="2"/>
  <c r="N79" i="1"/>
  <c r="N96" i="1" s="1"/>
  <c r="F1048" i="2"/>
  <c r="G1047" i="2"/>
  <c r="G1048" i="2" s="1"/>
  <c r="H1047" i="2"/>
  <c r="H1048" i="2" s="1"/>
  <c r="I1047" i="2"/>
  <c r="I1048" i="2" s="1"/>
  <c r="J1047" i="2"/>
  <c r="J1048" i="2" s="1"/>
  <c r="K1047" i="2"/>
  <c r="K1048" i="2" s="1"/>
  <c r="L1047" i="2"/>
  <c r="L1048" i="2" s="1"/>
  <c r="M1047" i="2"/>
  <c r="M1048" i="2" s="1"/>
  <c r="N1047" i="2"/>
  <c r="N1048" i="2" s="1"/>
  <c r="O1047" i="2"/>
  <c r="O1048" i="2" s="1"/>
  <c r="P415" i="2"/>
  <c r="O105" i="1"/>
  <c r="O77" i="1"/>
  <c r="F1040" i="2"/>
  <c r="AA1038" i="2"/>
  <c r="AB1038" i="2" s="1"/>
  <c r="P357" i="2"/>
  <c r="Q703" i="2"/>
  <c r="R2" i="2"/>
  <c r="Q751" i="2"/>
  <c r="Q959" i="2"/>
  <c r="Q953" i="2"/>
  <c r="Q299" i="2" s="1"/>
  <c r="Q702" i="2"/>
  <c r="Q961" i="2"/>
  <c r="Q960" i="2"/>
  <c r="Q956" i="2"/>
  <c r="Q697" i="2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Q774" i="2" l="1"/>
  <c r="R1047" i="2"/>
  <c r="R1048" i="2" s="1"/>
  <c r="R921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1041" i="2"/>
  <c r="O1040" i="2"/>
  <c r="O1041" i="2" s="1"/>
  <c r="O1049" i="2" s="1"/>
  <c r="P1040" i="2"/>
  <c r="P1041" i="2" s="1"/>
  <c r="P1049" i="2" s="1"/>
  <c r="M1040" i="2"/>
  <c r="M1041" i="2" s="1"/>
  <c r="M1049" i="2" s="1"/>
  <c r="H1040" i="2"/>
  <c r="H1041" i="2" s="1"/>
  <c r="H1049" i="2" s="1"/>
  <c r="G1040" i="2"/>
  <c r="Q1040" i="2"/>
  <c r="Q1041" i="2" s="1"/>
  <c r="Q1049" i="2" s="1"/>
  <c r="N1040" i="2"/>
  <c r="N1041" i="2" s="1"/>
  <c r="N1049" i="2" s="1"/>
  <c r="J1040" i="2"/>
  <c r="J1041" i="2" s="1"/>
  <c r="J1049" i="2" s="1"/>
  <c r="L1040" i="2"/>
  <c r="L1041" i="2" s="1"/>
  <c r="L1049" i="2" s="1"/>
  <c r="R1040" i="2"/>
  <c r="R1041" i="2" s="1"/>
  <c r="I1040" i="2"/>
  <c r="I1041" i="2" s="1"/>
  <c r="I1049" i="2" s="1"/>
  <c r="K1040" i="2"/>
  <c r="K1041" i="2" s="1"/>
  <c r="K1049" i="2" s="1"/>
  <c r="Q12" i="2"/>
  <c r="P60" i="1"/>
  <c r="P667" i="1" s="1"/>
  <c r="P105" i="1"/>
  <c r="Q357" i="2"/>
  <c r="Q415" i="2"/>
  <c r="R961" i="2"/>
  <c r="R751" i="2"/>
  <c r="R960" i="2"/>
  <c r="S2" i="2"/>
  <c r="R697" i="2"/>
  <c r="R959" i="2"/>
  <c r="R956" i="2"/>
  <c r="R953" i="2"/>
  <c r="R13" i="2" s="1"/>
  <c r="R703" i="2"/>
  <c r="R702" i="2"/>
  <c r="Q13" i="2"/>
  <c r="F15" i="2"/>
  <c r="F1005" i="2" s="1"/>
  <c r="F1006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1003" i="2"/>
  <c r="AB1003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P586" i="1" l="1"/>
  <c r="P588" i="1" s="1"/>
  <c r="F364" i="2" s="1"/>
  <c r="R774" i="2"/>
  <c r="R1049" i="2"/>
  <c r="S921" i="2"/>
  <c r="S1040" i="2"/>
  <c r="S1041" i="2" s="1"/>
  <c r="S1047" i="2"/>
  <c r="S1048" i="2" s="1"/>
  <c r="P594" i="1"/>
  <c r="P596" i="1" s="1"/>
  <c r="F422" i="2" s="1"/>
  <c r="P536" i="1"/>
  <c r="P328" i="1"/>
  <c r="P329" i="1"/>
  <c r="P535" i="1"/>
  <c r="P577" i="1"/>
  <c r="Q105" i="1"/>
  <c r="Q77" i="1"/>
  <c r="G1041" i="2"/>
  <c r="G1049" i="2" s="1"/>
  <c r="R14" i="2"/>
  <c r="R415" i="2"/>
  <c r="R358" i="2"/>
  <c r="R414" i="2"/>
  <c r="R300" i="2"/>
  <c r="R299" i="2"/>
  <c r="R357" i="2"/>
  <c r="R12" i="2"/>
  <c r="R356" i="2"/>
  <c r="S953" i="2"/>
  <c r="S72" i="2" s="1"/>
  <c r="S702" i="2"/>
  <c r="S956" i="2"/>
  <c r="S960" i="2"/>
  <c r="S703" i="2"/>
  <c r="S751" i="2"/>
  <c r="T2" i="2"/>
  <c r="T769" i="2" s="1"/>
  <c r="S961" i="2"/>
  <c r="S697" i="2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1031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1024" i="2" s="1"/>
  <c r="R396" i="1"/>
  <c r="R393" i="1"/>
  <c r="I1005" i="2"/>
  <c r="I1006" i="2" s="1"/>
  <c r="M1005" i="2"/>
  <c r="M1006" i="2" s="1"/>
  <c r="O1005" i="2"/>
  <c r="O1006" i="2" s="1"/>
  <c r="S1005" i="2"/>
  <c r="S1006" i="2" s="1"/>
  <c r="R1005" i="2"/>
  <c r="R1006" i="2" s="1"/>
  <c r="G1005" i="2"/>
  <c r="J1005" i="2"/>
  <c r="J1006" i="2" s="1"/>
  <c r="H1005" i="2"/>
  <c r="H1006" i="2" s="1"/>
  <c r="L1005" i="2"/>
  <c r="L1006" i="2" s="1"/>
  <c r="N1005" i="2"/>
  <c r="N1006" i="2" s="1"/>
  <c r="Q1005" i="2"/>
  <c r="Q1006" i="2" s="1"/>
  <c r="P1005" i="2"/>
  <c r="P1006" i="2" s="1"/>
  <c r="K1005" i="2"/>
  <c r="K1006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T1005" i="2" l="1"/>
  <c r="T1006" i="2" s="1"/>
  <c r="T1007" i="2" s="1"/>
  <c r="S774" i="2"/>
  <c r="T923" i="2"/>
  <c r="T921" i="2"/>
  <c r="P580" i="1"/>
  <c r="F307" i="2" s="1"/>
  <c r="Q79" i="1"/>
  <c r="Q96" i="1" s="1"/>
  <c r="S1049" i="2"/>
  <c r="T1040" i="2"/>
  <c r="T1041" i="2" s="1"/>
  <c r="T1047" i="2"/>
  <c r="T1048" i="2" s="1"/>
  <c r="S73" i="2"/>
  <c r="S588" i="2"/>
  <c r="S530" i="2"/>
  <c r="S416" i="2"/>
  <c r="S645" i="2"/>
  <c r="S301" i="2"/>
  <c r="S529" i="2"/>
  <c r="S473" i="2"/>
  <c r="S472" i="2"/>
  <c r="S644" i="2"/>
  <c r="AA1024" i="2"/>
  <c r="AB1024" i="2" s="1"/>
  <c r="F1026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961" i="2"/>
  <c r="T960" i="2"/>
  <c r="U2" i="2"/>
  <c r="U769" i="2" s="1"/>
  <c r="T703" i="2"/>
  <c r="T953" i="2"/>
  <c r="T471" i="2" s="1"/>
  <c r="T697" i="2"/>
  <c r="T774" i="2" s="1"/>
  <c r="T956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458" i="1"/>
  <c r="P1007" i="2"/>
  <c r="R1007" i="2"/>
  <c r="T445" i="1"/>
  <c r="T444" i="1"/>
  <c r="J1007" i="2"/>
  <c r="P278" i="1"/>
  <c r="Q1007" i="2"/>
  <c r="S1007" i="2"/>
  <c r="T239" i="1"/>
  <c r="T232" i="1"/>
  <c r="S660" i="1"/>
  <c r="N1007" i="2"/>
  <c r="O1007" i="2"/>
  <c r="T575" i="1"/>
  <c r="T480" i="1"/>
  <c r="T135" i="1"/>
  <c r="L1007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1007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1006" i="2"/>
  <c r="K1007" i="2"/>
  <c r="H1007" i="2"/>
  <c r="I1007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923" i="2" l="1"/>
  <c r="U921" i="2"/>
  <c r="F30" i="34"/>
  <c r="F30" i="27"/>
  <c r="F30" i="31"/>
  <c r="F30" i="26"/>
  <c r="F30" i="28"/>
  <c r="F30" i="32"/>
  <c r="T1049" i="2"/>
  <c r="U1040" i="2"/>
  <c r="U1041" i="2" s="1"/>
  <c r="U1047" i="2"/>
  <c r="U1048" i="2" s="1"/>
  <c r="T71" i="2"/>
  <c r="G1007" i="2"/>
  <c r="F1027" i="2"/>
  <c r="J1026" i="2"/>
  <c r="J1027" i="2" s="1"/>
  <c r="T1026" i="2"/>
  <c r="T1027" i="2" s="1"/>
  <c r="S1026" i="2"/>
  <c r="S1027" i="2" s="1"/>
  <c r="O1026" i="2"/>
  <c r="O1027" i="2" s="1"/>
  <c r="K1026" i="2"/>
  <c r="K1027" i="2" s="1"/>
  <c r="M1026" i="2"/>
  <c r="M1027" i="2" s="1"/>
  <c r="U1026" i="2"/>
  <c r="U1027" i="2" s="1"/>
  <c r="H1026" i="2"/>
  <c r="H1027" i="2" s="1"/>
  <c r="G1026" i="2"/>
  <c r="Q1026" i="2"/>
  <c r="Q1027" i="2" s="1"/>
  <c r="P1026" i="2"/>
  <c r="P1027" i="2" s="1"/>
  <c r="L1026" i="2"/>
  <c r="L1027" i="2" s="1"/>
  <c r="R1026" i="2"/>
  <c r="R1027" i="2" s="1"/>
  <c r="I1026" i="2"/>
  <c r="I1027" i="2" s="1"/>
  <c r="N1026" i="2"/>
  <c r="N1027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956" i="2"/>
  <c r="U703" i="2"/>
  <c r="U961" i="2"/>
  <c r="U702" i="2"/>
  <c r="U960" i="2"/>
  <c r="U697" i="2"/>
  <c r="U774" i="2" s="1"/>
  <c r="U1005" i="2"/>
  <c r="U1006" i="2" s="1"/>
  <c r="U953" i="2"/>
  <c r="U242" i="2" s="1"/>
  <c r="V2" i="2"/>
  <c r="U751" i="2"/>
  <c r="F30" i="24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F28" i="26" s="1"/>
  <c r="K185" i="2"/>
  <c r="F28" i="32" s="1"/>
  <c r="L185" i="2"/>
  <c r="F28" i="28" s="1"/>
  <c r="R185" i="2"/>
  <c r="Q185" i="2"/>
  <c r="H185" i="2"/>
  <c r="F28" i="24" s="1"/>
  <c r="P185" i="2"/>
  <c r="T185" i="2"/>
  <c r="S185" i="2"/>
  <c r="O185" i="2"/>
  <c r="N185" i="2"/>
  <c r="F28" i="27" s="1"/>
  <c r="R306" i="2"/>
  <c r="I185" i="2"/>
  <c r="F28" i="34" s="1"/>
  <c r="M185" i="2"/>
  <c r="F28" i="31" s="1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1031" i="2"/>
  <c r="AB1031" i="2" s="1"/>
  <c r="F1033" i="2"/>
  <c r="F28" i="14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F14" i="24" s="1"/>
  <c r="L128" i="2"/>
  <c r="F14" i="28" s="1"/>
  <c r="G128" i="2"/>
  <c r="K128" i="2"/>
  <c r="F14" i="32" s="1"/>
  <c r="S128" i="2"/>
  <c r="M128" i="2"/>
  <c r="F14" i="31" s="1"/>
  <c r="R128" i="2"/>
  <c r="I128" i="2"/>
  <c r="F14" i="34" s="1"/>
  <c r="N128" i="2"/>
  <c r="F14" i="27" s="1"/>
  <c r="Q128" i="2"/>
  <c r="T128" i="2"/>
  <c r="J128" i="2"/>
  <c r="F14" i="26" s="1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30" i="14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923" i="2"/>
  <c r="V921" i="2"/>
  <c r="U1049" i="2"/>
  <c r="V1040" i="2"/>
  <c r="V1041" i="2" s="1"/>
  <c r="V1047" i="2"/>
  <c r="V1048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1026" i="2"/>
  <c r="V1027" i="2" s="1"/>
  <c r="U1007" i="2"/>
  <c r="G1027" i="2"/>
  <c r="U128" i="2"/>
  <c r="U185" i="2"/>
  <c r="U19" i="2"/>
  <c r="V953" i="2"/>
  <c r="V697" i="2"/>
  <c r="V774" i="2" s="1"/>
  <c r="V959" i="2"/>
  <c r="V960" i="2"/>
  <c r="V961" i="2"/>
  <c r="V751" i="2"/>
  <c r="V1005" i="2"/>
  <c r="V1006" i="2" s="1"/>
  <c r="V956" i="2"/>
  <c r="W2" i="2"/>
  <c r="W429" i="2" s="1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1033" i="2"/>
  <c r="K1033" i="2"/>
  <c r="G1033" i="2"/>
  <c r="M1033" i="2"/>
  <c r="T1033" i="2"/>
  <c r="S1033" i="2"/>
  <c r="F1034" i="2"/>
  <c r="N1033" i="2"/>
  <c r="L1033" i="2"/>
  <c r="Q1033" i="2"/>
  <c r="V1033" i="2"/>
  <c r="R1033" i="2"/>
  <c r="U1033" i="2"/>
  <c r="W1033" i="2"/>
  <c r="I1033" i="2"/>
  <c r="O1033" i="2"/>
  <c r="P1033" i="2"/>
  <c r="J1033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F14" i="14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1047" i="2" l="1"/>
  <c r="W1048" i="2" s="1"/>
  <c r="W921" i="2"/>
  <c r="W923" i="2"/>
  <c r="V1049" i="2"/>
  <c r="U105" i="1"/>
  <c r="U77" i="1"/>
  <c r="W1040" i="2"/>
  <c r="W1026" i="2"/>
  <c r="V1007" i="2"/>
  <c r="J1034" i="2"/>
  <c r="J1042" i="2" s="1"/>
  <c r="I1034" i="2"/>
  <c r="I1042" i="2" s="1"/>
  <c r="V1034" i="2"/>
  <c r="V1042" i="2" s="1"/>
  <c r="S1034" i="2"/>
  <c r="S1042" i="2" s="1"/>
  <c r="Q1034" i="2"/>
  <c r="Q1042" i="2" s="1"/>
  <c r="P1034" i="2"/>
  <c r="P1042" i="2" s="1"/>
  <c r="U1034" i="2"/>
  <c r="U1042" i="2" s="1"/>
  <c r="L1034" i="2"/>
  <c r="L1042" i="2" s="1"/>
  <c r="T1034" i="2"/>
  <c r="T1042" i="2" s="1"/>
  <c r="H1034" i="2"/>
  <c r="H1042" i="2" s="1"/>
  <c r="W1034" i="2"/>
  <c r="K1034" i="2"/>
  <c r="K1042" i="2" s="1"/>
  <c r="O1034" i="2"/>
  <c r="O1042" i="2" s="1"/>
  <c r="R1034" i="2"/>
  <c r="R1042" i="2" s="1"/>
  <c r="N1034" i="2"/>
  <c r="N1042" i="2" s="1"/>
  <c r="M1034" i="2"/>
  <c r="M1042" i="2" s="1"/>
  <c r="V19" i="2"/>
  <c r="V421" i="2"/>
  <c r="V363" i="2"/>
  <c r="V306" i="2"/>
  <c r="W703" i="2"/>
  <c r="W697" i="2"/>
  <c r="W774" i="2" s="1"/>
  <c r="W956" i="2"/>
  <c r="W751" i="2"/>
  <c r="W961" i="2"/>
  <c r="W426" i="2"/>
  <c r="W959" i="2"/>
  <c r="W960" i="2"/>
  <c r="X2" i="2"/>
  <c r="W368" i="2"/>
  <c r="W702" i="2"/>
  <c r="W953" i="2"/>
  <c r="W244" i="2" s="1"/>
  <c r="W1005" i="2"/>
  <c r="W1006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1017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1034" i="2"/>
  <c r="G1042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1047" i="2" l="1"/>
  <c r="X1048" i="2" s="1"/>
  <c r="X923" i="2"/>
  <c r="X921" i="2"/>
  <c r="AA1017" i="2"/>
  <c r="AB1017" i="2" s="1"/>
  <c r="F1019" i="2"/>
  <c r="X1040" i="2"/>
  <c r="X1041" i="2" s="1"/>
  <c r="X1026" i="2"/>
  <c r="X1027" i="2" s="1"/>
  <c r="W1027" i="2"/>
  <c r="W1041" i="2"/>
  <c r="W1007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959" i="2"/>
  <c r="X371" i="2"/>
  <c r="X961" i="2"/>
  <c r="X703" i="2"/>
  <c r="X429" i="2"/>
  <c r="X960" i="2"/>
  <c r="Y2" i="2"/>
  <c r="Y362" i="2" s="1"/>
  <c r="X1033" i="2"/>
  <c r="X953" i="2"/>
  <c r="X187" i="2" s="1"/>
  <c r="X1005" i="2"/>
  <c r="X1006" i="2" s="1"/>
  <c r="X426" i="2"/>
  <c r="X751" i="2"/>
  <c r="X368" i="2"/>
  <c r="X697" i="2"/>
  <c r="X774" i="2" s="1"/>
  <c r="X956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1114" i="2" s="1"/>
  <c r="N769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1114" i="2" s="1"/>
  <c r="R769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1114" i="2" s="1"/>
  <c r="Q769" i="2" s="1"/>
  <c r="V104" i="1"/>
  <c r="V60" i="1"/>
  <c r="V586" i="1" s="1"/>
  <c r="V588" i="1" s="1"/>
  <c r="F377" i="2" s="1"/>
  <c r="Q649" i="2"/>
  <c r="V11" i="1"/>
  <c r="X270" i="1"/>
  <c r="W662" i="1"/>
  <c r="L9" i="2"/>
  <c r="L1114" i="2" s="1"/>
  <c r="L769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W585" i="1"/>
  <c r="L305" i="2"/>
  <c r="L468" i="2"/>
  <c r="V420" i="2"/>
  <c r="V534" i="2"/>
  <c r="V411" i="2"/>
  <c r="W272" i="1"/>
  <c r="X252" i="1"/>
  <c r="X250" i="1"/>
  <c r="X635" i="1"/>
  <c r="X396" i="1" s="1"/>
  <c r="X402" i="1" s="1"/>
  <c r="X661" i="1" s="1"/>
  <c r="L534" i="2"/>
  <c r="L18" i="2"/>
  <c r="L420" i="2"/>
  <c r="V362" i="2"/>
  <c r="V525" i="2"/>
  <c r="V649" i="2"/>
  <c r="X267" i="1"/>
  <c r="W209" i="1"/>
  <c r="X102" i="1"/>
  <c r="X447" i="1"/>
  <c r="L649" i="2"/>
  <c r="V59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1114" i="2" s="1"/>
  <c r="H769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1114" i="2" s="1"/>
  <c r="K769" i="2" s="1"/>
  <c r="K353" i="2"/>
  <c r="K583" i="2"/>
  <c r="K18" i="2"/>
  <c r="K362" i="2"/>
  <c r="P77" i="2"/>
  <c r="P9" i="2"/>
  <c r="P1114" i="2" s="1"/>
  <c r="P769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H433" i="2"/>
  <c r="L433" i="2"/>
  <c r="N433" i="2"/>
  <c r="T433" i="2"/>
  <c r="V433" i="2"/>
  <c r="X433" i="2"/>
  <c r="I433" i="2"/>
  <c r="P433" i="2"/>
  <c r="R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1114" i="2" s="1"/>
  <c r="I769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1114" i="2" s="1"/>
  <c r="O769" i="2" s="1"/>
  <c r="O477" i="2"/>
  <c r="O525" i="2"/>
  <c r="O411" i="2"/>
  <c r="O534" i="2"/>
  <c r="O420" i="2"/>
  <c r="O640" i="2"/>
  <c r="O592" i="2"/>
  <c r="S305" i="2"/>
  <c r="S649" i="2"/>
  <c r="S525" i="2"/>
  <c r="S9" i="2"/>
  <c r="S1114" i="2" s="1"/>
  <c r="S769" i="2" s="1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1114" i="2" s="1"/>
  <c r="J769" i="2" s="1"/>
  <c r="J649" i="2"/>
  <c r="J592" i="2"/>
  <c r="M525" i="2"/>
  <c r="M305" i="2"/>
  <c r="M468" i="2"/>
  <c r="M477" i="2"/>
  <c r="M583" i="2"/>
  <c r="M640" i="2"/>
  <c r="M77" i="2"/>
  <c r="M9" i="2"/>
  <c r="M1114" i="2" s="1"/>
  <c r="M769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Y317" i="2" l="1"/>
  <c r="W584" i="2"/>
  <c r="Y658" i="2"/>
  <c r="Y77" i="2"/>
  <c r="Y375" i="2"/>
  <c r="W526" i="2"/>
  <c r="Y543" i="2"/>
  <c r="Y601" i="2"/>
  <c r="Y540" i="2"/>
  <c r="Y598" i="2"/>
  <c r="Y420" i="2"/>
  <c r="Y477" i="2"/>
  <c r="Y592" i="2"/>
  <c r="Y305" i="2"/>
  <c r="Y83" i="2"/>
  <c r="Y655" i="2"/>
  <c r="Y86" i="2"/>
  <c r="Y433" i="2"/>
  <c r="X1049" i="2"/>
  <c r="Y923" i="2"/>
  <c r="Y921" i="2"/>
  <c r="F1020" i="2"/>
  <c r="W1019" i="2"/>
  <c r="W1020" i="2" s="1"/>
  <c r="X1019" i="2"/>
  <c r="X1020" i="2" s="1"/>
  <c r="Y1019" i="2"/>
  <c r="Y1020" i="2" s="1"/>
  <c r="V1019" i="2"/>
  <c r="V1020" i="2" s="1"/>
  <c r="G1019" i="2"/>
  <c r="J1019" i="2"/>
  <c r="J1020" i="2" s="1"/>
  <c r="R1019" i="2"/>
  <c r="R1020" i="2" s="1"/>
  <c r="N1019" i="2"/>
  <c r="N1020" i="2" s="1"/>
  <c r="S1019" i="2"/>
  <c r="S1020" i="2" s="1"/>
  <c r="O1019" i="2"/>
  <c r="O1020" i="2" s="1"/>
  <c r="Q1019" i="2"/>
  <c r="Q1020" i="2" s="1"/>
  <c r="H1019" i="2"/>
  <c r="H1020" i="2" s="1"/>
  <c r="P1019" i="2"/>
  <c r="P1020" i="2" s="1"/>
  <c r="I1019" i="2"/>
  <c r="I1020" i="2" s="1"/>
  <c r="U1019" i="2"/>
  <c r="U1020" i="2" s="1"/>
  <c r="L1019" i="2"/>
  <c r="L1020" i="2" s="1"/>
  <c r="T1019" i="2"/>
  <c r="T1020" i="2" s="1"/>
  <c r="M1019" i="2"/>
  <c r="M1020" i="2" s="1"/>
  <c r="K1019" i="2"/>
  <c r="K1020" i="2" s="1"/>
  <c r="Y534" i="2"/>
  <c r="Y1047" i="2"/>
  <c r="Y1048" i="2" s="1"/>
  <c r="W1042" i="2"/>
  <c r="W468" i="2" s="1"/>
  <c r="W1049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1040" i="2"/>
  <c r="Y1026" i="2"/>
  <c r="Y1027" i="2" s="1"/>
  <c r="X1007" i="2"/>
  <c r="X478" i="2" s="1"/>
  <c r="G469" i="2"/>
  <c r="G641" i="2"/>
  <c r="G526" i="2"/>
  <c r="G412" i="2"/>
  <c r="G354" i="2"/>
  <c r="G10" i="2"/>
  <c r="G584" i="2"/>
  <c r="X1034" i="2"/>
  <c r="X1042" i="2" s="1"/>
  <c r="X535" i="2"/>
  <c r="X650" i="2"/>
  <c r="W60" i="1"/>
  <c r="W536" i="1" s="1"/>
  <c r="W105" i="1"/>
  <c r="Y374" i="2"/>
  <c r="Y1033" i="2"/>
  <c r="Y703" i="2"/>
  <c r="Y314" i="2"/>
  <c r="Y953" i="2"/>
  <c r="Y186" i="2" s="1"/>
  <c r="Y960" i="2"/>
  <c r="Y1005" i="2"/>
  <c r="Y1006" i="2" s="1"/>
  <c r="Y751" i="2"/>
  <c r="Y371" i="2"/>
  <c r="Y432" i="2"/>
  <c r="Y959" i="2"/>
  <c r="Y697" i="2"/>
  <c r="Y774" i="2" s="1"/>
  <c r="Y426" i="2"/>
  <c r="Y24" i="2"/>
  <c r="Y311" i="2"/>
  <c r="Y961" i="2"/>
  <c r="Y956" i="2"/>
  <c r="Z2" i="2"/>
  <c r="Y429" i="2"/>
  <c r="Y702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X430" i="1"/>
  <c r="X434" i="1" s="1"/>
  <c r="X50" i="1"/>
  <c r="Y653" i="1"/>
  <c r="S602" i="1"/>
  <c r="F604" i="2" s="1"/>
  <c r="V108" i="1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1114" i="2" s="1"/>
  <c r="G769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W586" i="1" l="1"/>
  <c r="W588" i="1" s="1"/>
  <c r="F378" i="2" s="1"/>
  <c r="Z30" i="2"/>
  <c r="T30" i="2"/>
  <c r="L30" i="2"/>
  <c r="Q30" i="2"/>
  <c r="W30" i="2"/>
  <c r="X30" i="2"/>
  <c r="H30" i="2"/>
  <c r="J30" i="2"/>
  <c r="N30" i="2"/>
  <c r="R30" i="2"/>
  <c r="U30" i="2"/>
  <c r="K30" i="2"/>
  <c r="O30" i="2"/>
  <c r="G30" i="2"/>
  <c r="V30" i="2"/>
  <c r="S30" i="2"/>
  <c r="I30" i="2"/>
  <c r="P30" i="2"/>
  <c r="Y30" i="2"/>
  <c r="Z1047" i="2"/>
  <c r="Z1048" i="2" s="1"/>
  <c r="AA1048" i="2" s="1"/>
  <c r="AB1048" i="2" s="1"/>
  <c r="Z921" i="2"/>
  <c r="AA921" i="2" s="1"/>
  <c r="AB921" i="2" s="1"/>
  <c r="Z923" i="2"/>
  <c r="W667" i="1"/>
  <c r="Z1019" i="2"/>
  <c r="Z1020" i="2" s="1"/>
  <c r="Y243" i="2"/>
  <c r="W329" i="1"/>
  <c r="W577" i="1"/>
  <c r="W594" i="1"/>
  <c r="W596" i="1" s="1"/>
  <c r="F436" i="2" s="1"/>
  <c r="F437" i="2" s="1"/>
  <c r="W328" i="1"/>
  <c r="W535" i="1"/>
  <c r="Y130" i="2"/>
  <c r="G1020" i="2"/>
  <c r="X105" i="1"/>
  <c r="X77" i="1"/>
  <c r="X79" i="1" s="1"/>
  <c r="X96" i="1" s="1"/>
  <c r="F31" i="2"/>
  <c r="H31" i="2" s="1"/>
  <c r="Z1040" i="2"/>
  <c r="Z1041" i="2" s="1"/>
  <c r="Z1026" i="2"/>
  <c r="Z1027" i="2" s="1"/>
  <c r="AA1027" i="2" s="1"/>
  <c r="AB1027" i="2" s="1"/>
  <c r="Y1041" i="2"/>
  <c r="Y1049" i="2" s="1"/>
  <c r="Y1007" i="2"/>
  <c r="V239" i="2"/>
  <c r="O1035" i="2"/>
  <c r="O1028" i="2"/>
  <c r="H1035" i="2"/>
  <c r="H1028" i="2"/>
  <c r="Q1035" i="2"/>
  <c r="Q1028" i="2"/>
  <c r="N1035" i="2"/>
  <c r="N1028" i="2"/>
  <c r="P1035" i="2"/>
  <c r="P1028" i="2"/>
  <c r="T1035" i="2"/>
  <c r="T1028" i="2"/>
  <c r="J1035" i="2"/>
  <c r="J1028" i="2"/>
  <c r="U1035" i="2"/>
  <c r="U1028" i="2"/>
  <c r="M1035" i="2"/>
  <c r="M1028" i="2"/>
  <c r="R1035" i="2"/>
  <c r="R1028" i="2"/>
  <c r="K1035" i="2"/>
  <c r="K1028" i="2"/>
  <c r="S1035" i="2"/>
  <c r="S1028" i="2"/>
  <c r="I1035" i="2"/>
  <c r="I1028" i="2"/>
  <c r="W1035" i="2"/>
  <c r="W297" i="2" s="1"/>
  <c r="W1028" i="2"/>
  <c r="L1035" i="2"/>
  <c r="L1028" i="2"/>
  <c r="V1035" i="2"/>
  <c r="V297" i="2" s="1"/>
  <c r="V20" i="2"/>
  <c r="V21" i="2" s="1"/>
  <c r="V698" i="2" s="1"/>
  <c r="Y1034" i="2"/>
  <c r="X1035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956" i="2"/>
  <c r="AA956" i="2" s="1"/>
  <c r="AB956" i="2" s="1"/>
  <c r="Z1033" i="2"/>
  <c r="Z375" i="2"/>
  <c r="AA375" i="2" s="1"/>
  <c r="AB375" i="2" s="1"/>
  <c r="Z702" i="2"/>
  <c r="AA702" i="2" s="1"/>
  <c r="AB702" i="2" s="1"/>
  <c r="Z1005" i="2"/>
  <c r="Z86" i="2"/>
  <c r="AA86" i="2" s="1"/>
  <c r="AB86" i="2" s="1"/>
  <c r="Z655" i="2"/>
  <c r="AA655" i="2" s="1"/>
  <c r="AB655" i="2" s="1"/>
  <c r="Z601" i="2"/>
  <c r="AA601" i="2" s="1"/>
  <c r="AB601" i="2" s="1"/>
  <c r="Z960" i="2"/>
  <c r="AA960" i="2" s="1"/>
  <c r="AB960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961" i="2"/>
  <c r="AA961" i="2" s="1"/>
  <c r="AB961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959" i="2"/>
  <c r="AA959" i="2" s="1"/>
  <c r="AB959" i="2" s="1"/>
  <c r="Z953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N436" i="2" l="1"/>
  <c r="N437" i="2" s="1"/>
  <c r="AA1019" i="2"/>
  <c r="AB1019" i="2" s="1"/>
  <c r="H436" i="2"/>
  <c r="H437" i="2" s="1"/>
  <c r="J31" i="2"/>
  <c r="K436" i="2"/>
  <c r="K437" i="2" s="1"/>
  <c r="W436" i="2"/>
  <c r="W437" i="2" s="1"/>
  <c r="T31" i="2"/>
  <c r="Q31" i="2"/>
  <c r="J436" i="2"/>
  <c r="J437" i="2" s="1"/>
  <c r="K31" i="2"/>
  <c r="Z31" i="2"/>
  <c r="AA30" i="2"/>
  <c r="AB30" i="2" s="1"/>
  <c r="AA1047" i="2"/>
  <c r="AB1047" i="2" s="1"/>
  <c r="AA1020" i="2"/>
  <c r="AB1020" i="2" s="1"/>
  <c r="S436" i="2"/>
  <c r="S437" i="2" s="1"/>
  <c r="V436" i="2"/>
  <c r="V437" i="2" s="1"/>
  <c r="G436" i="2"/>
  <c r="G437" i="2" s="1"/>
  <c r="P436" i="2"/>
  <c r="P437" i="2" s="1"/>
  <c r="Z436" i="2"/>
  <c r="Z437" i="2" s="1"/>
  <c r="M436" i="2"/>
  <c r="M437" i="2" s="1"/>
  <c r="R436" i="2"/>
  <c r="R437" i="2" s="1"/>
  <c r="Y436" i="2"/>
  <c r="Y437" i="2" s="1"/>
  <c r="I436" i="2"/>
  <c r="I437" i="2" s="1"/>
  <c r="O436" i="2"/>
  <c r="O437" i="2" s="1"/>
  <c r="U436" i="2"/>
  <c r="X436" i="2"/>
  <c r="X437" i="2" s="1"/>
  <c r="L436" i="2"/>
  <c r="L437" i="2" s="1"/>
  <c r="Q436" i="2"/>
  <c r="Q437" i="2" s="1"/>
  <c r="T436" i="2"/>
  <c r="T437" i="2" s="1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1049" i="2"/>
  <c r="AA1049" i="2" s="1"/>
  <c r="AB1049" i="2" s="1"/>
  <c r="Y105" i="1"/>
  <c r="Y77" i="1"/>
  <c r="Y79" i="1" s="1"/>
  <c r="Y96" i="1" s="1"/>
  <c r="V298" i="2"/>
  <c r="Z379" i="2"/>
  <c r="Y1042" i="2"/>
  <c r="F32" i="2"/>
  <c r="X32" i="2" s="1"/>
  <c r="AA1026" i="2"/>
  <c r="AB1026" i="2" s="1"/>
  <c r="AA1040" i="2"/>
  <c r="AB1040" i="2" s="1"/>
  <c r="AA1041" i="2"/>
  <c r="AB1041" i="2" s="1"/>
  <c r="Z1028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1035" i="2"/>
  <c r="G1028" i="2"/>
  <c r="G240" i="2" s="1"/>
  <c r="W20" i="2"/>
  <c r="W21" i="2" s="1"/>
  <c r="W698" i="2" s="1"/>
  <c r="J20" i="2"/>
  <c r="J21" i="2" s="1"/>
  <c r="J698" i="2" s="1"/>
  <c r="D44" i="26" s="1"/>
  <c r="F44" i="26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D44" i="28" s="1"/>
  <c r="F44" i="28" s="1"/>
  <c r="T20" i="2"/>
  <c r="T21" i="2" s="1"/>
  <c r="T698" i="2" s="1"/>
  <c r="N20" i="2"/>
  <c r="N21" i="2" s="1"/>
  <c r="N698" i="2" s="1"/>
  <c r="D44" i="27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1035" i="2"/>
  <c r="Y298" i="2" s="1"/>
  <c r="Z1034" i="2"/>
  <c r="Z1042" i="2" s="1"/>
  <c r="AA1033" i="2"/>
  <c r="AB1033" i="2" s="1"/>
  <c r="Z774" i="2"/>
  <c r="AA774" i="2" s="1"/>
  <c r="AB774" i="2" s="1"/>
  <c r="AA697" i="2"/>
  <c r="AB697" i="2" s="1"/>
  <c r="Z1006" i="2"/>
  <c r="AA1005" i="2"/>
  <c r="AB1005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953" i="2"/>
  <c r="AB953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I662" i="2"/>
  <c r="Q140" i="2"/>
  <c r="R90" i="2"/>
  <c r="Z90" i="2"/>
  <c r="L140" i="2"/>
  <c r="Y662" i="2"/>
  <c r="Y228" i="1"/>
  <c r="Z307" i="2"/>
  <c r="V547" i="2"/>
  <c r="S547" i="2"/>
  <c r="Y605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G29" i="3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S184" i="2"/>
  <c r="G605" i="2"/>
  <c r="U325" i="1"/>
  <c r="U324" i="1"/>
  <c r="X605" i="2"/>
  <c r="T331" i="1"/>
  <c r="T333" i="1" s="1"/>
  <c r="T335" i="1" s="1"/>
  <c r="P605" i="2"/>
  <c r="J605" i="2"/>
  <c r="H479" i="2"/>
  <c r="H480" i="2" s="1"/>
  <c r="U598" i="1"/>
  <c r="F491" i="2" s="1"/>
  <c r="O605" i="2"/>
  <c r="R605" i="2"/>
  <c r="N605" i="2"/>
  <c r="U529" i="1"/>
  <c r="T605" i="2"/>
  <c r="U604" i="1"/>
  <c r="F663" i="2" s="1"/>
  <c r="O663" i="2" s="1"/>
  <c r="K605" i="2"/>
  <c r="W605" i="2"/>
  <c r="H605" i="2"/>
  <c r="I605" i="2"/>
  <c r="Z605" i="2"/>
  <c r="U606" i="1"/>
  <c r="T608" i="1"/>
  <c r="U131" i="1"/>
  <c r="V605" i="2"/>
  <c r="S605" i="2"/>
  <c r="U605" i="2"/>
  <c r="U321" i="1"/>
  <c r="U532" i="1"/>
  <c r="Q605" i="2"/>
  <c r="M605" i="2"/>
  <c r="U602" i="1"/>
  <c r="F606" i="2" s="1"/>
  <c r="W606" i="2" s="1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I184" i="2"/>
  <c r="W140" i="2"/>
  <c r="G140" i="2"/>
  <c r="N140" i="2"/>
  <c r="R662" i="2"/>
  <c r="M662" i="2"/>
  <c r="L662" i="2"/>
  <c r="I136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U437" i="2"/>
  <c r="I642" i="2"/>
  <c r="I646" i="2" s="1"/>
  <c r="O140" i="2"/>
  <c r="P662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K422" i="2"/>
  <c r="K423" i="2" s="1"/>
  <c r="I413" i="2"/>
  <c r="I417" i="2" s="1"/>
  <c r="Y188" i="1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W280" i="1"/>
  <c r="W308" i="1" s="1"/>
  <c r="H355" i="2"/>
  <c r="H359" i="2" s="1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G29" i="34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50" i="2"/>
  <c r="Y427" i="1"/>
  <c r="H527" i="2"/>
  <c r="H531" i="2" s="1"/>
  <c r="H11" i="2"/>
  <c r="H136" i="2"/>
  <c r="M307" i="2"/>
  <c r="M308" i="2" s="1"/>
  <c r="G29" i="31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G29" i="26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G29" i="28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G29" i="27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1114" i="2"/>
  <c r="V769" i="2" s="1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Y665" i="1"/>
  <c r="Y264" i="1"/>
  <c r="Y274" i="1" s="1"/>
  <c r="Y651" i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AA379" i="2" l="1"/>
  <c r="AB379" i="2" s="1"/>
  <c r="N245" i="2"/>
  <c r="J32" i="2"/>
  <c r="N302" i="2"/>
  <c r="E29" i="27" s="1"/>
  <c r="W302" i="2"/>
  <c r="S141" i="1"/>
  <c r="F146" i="2" s="1"/>
  <c r="J146" i="2" s="1"/>
  <c r="S654" i="1"/>
  <c r="S245" i="2"/>
  <c r="M245" i="2"/>
  <c r="H32" i="2"/>
  <c r="AA436" i="2"/>
  <c r="AB436" i="2" s="1"/>
  <c r="L32" i="2"/>
  <c r="AA31" i="2"/>
  <c r="AB31" i="2" s="1"/>
  <c r="G32" i="2"/>
  <c r="O32" i="2"/>
  <c r="U32" i="2"/>
  <c r="S32" i="2"/>
  <c r="K32" i="2"/>
  <c r="P32" i="2"/>
  <c r="Q32" i="2"/>
  <c r="N32" i="2"/>
  <c r="M32" i="2"/>
  <c r="W32" i="2"/>
  <c r="R32" i="2"/>
  <c r="Z32" i="2"/>
  <c r="V32" i="2"/>
  <c r="I32" i="2"/>
  <c r="Y32" i="2"/>
  <c r="T32" i="2"/>
  <c r="E28" i="27"/>
  <c r="E30" i="27"/>
  <c r="G30" i="34"/>
  <c r="E28" i="34"/>
  <c r="G30" i="27"/>
  <c r="E30" i="34"/>
  <c r="G30" i="26"/>
  <c r="K44" i="28"/>
  <c r="L44" i="28" s="1"/>
  <c r="K44" i="26"/>
  <c r="L44" i="26" s="1"/>
  <c r="E30" i="28"/>
  <c r="E30" i="26"/>
  <c r="G30" i="31"/>
  <c r="G30" i="32"/>
  <c r="E28" i="31"/>
  <c r="G30" i="28"/>
  <c r="E30" i="31"/>
  <c r="E30" i="32"/>
  <c r="E28" i="26"/>
  <c r="E28" i="32"/>
  <c r="E28" i="28"/>
  <c r="P700" i="2"/>
  <c r="Q245" i="2"/>
  <c r="H302" i="2"/>
  <c r="E29" i="24" s="1"/>
  <c r="M188" i="2"/>
  <c r="T245" i="2"/>
  <c r="Q302" i="2"/>
  <c r="R245" i="2"/>
  <c r="J302" i="2"/>
  <c r="E29" i="26" s="1"/>
  <c r="S698" i="2"/>
  <c r="X698" i="2"/>
  <c r="M698" i="2"/>
  <c r="D44" i="31" s="1"/>
  <c r="F44" i="31" s="1"/>
  <c r="O698" i="2"/>
  <c r="U698" i="2"/>
  <c r="K698" i="2"/>
  <c r="D44" i="32" s="1"/>
  <c r="F44" i="32" s="1"/>
  <c r="I698" i="2"/>
  <c r="P698" i="2"/>
  <c r="H698" i="2"/>
  <c r="D44" i="24" s="1"/>
  <c r="X417" i="2"/>
  <c r="X646" i="2"/>
  <c r="V302" i="2"/>
  <c r="J245" i="2"/>
  <c r="G34" i="24"/>
  <c r="K34" i="24" s="1"/>
  <c r="L34" i="24" s="1"/>
  <c r="U188" i="2"/>
  <c r="X531" i="2"/>
  <c r="S188" i="2"/>
  <c r="O245" i="2"/>
  <c r="P302" i="2"/>
  <c r="P245" i="2"/>
  <c r="E28" i="24"/>
  <c r="I245" i="2"/>
  <c r="I188" i="2"/>
  <c r="T302" i="2"/>
  <c r="W308" i="2"/>
  <c r="M302" i="2"/>
  <c r="E29" i="31" s="1"/>
  <c r="U245" i="2"/>
  <c r="X589" i="2"/>
  <c r="AA1042" i="2"/>
  <c r="AB1042" i="2" s="1"/>
  <c r="R302" i="2"/>
  <c r="W188" i="2"/>
  <c r="AA305" i="2"/>
  <c r="AB305" i="2" s="1"/>
  <c r="X302" i="2"/>
  <c r="O302" i="2"/>
  <c r="I302" i="2"/>
  <c r="E29" i="34" s="1"/>
  <c r="X359" i="2"/>
  <c r="L302" i="2"/>
  <c r="E29" i="28" s="1"/>
  <c r="U302" i="2"/>
  <c r="H245" i="2"/>
  <c r="X1114" i="2"/>
  <c r="X769" i="2" s="1"/>
  <c r="K302" i="2"/>
  <c r="E29" i="32" s="1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1114" i="2" s="1"/>
  <c r="Y769" i="2" s="1"/>
  <c r="Y584" i="2"/>
  <c r="Y297" i="2"/>
  <c r="Y469" i="2"/>
  <c r="Y354" i="2"/>
  <c r="Y641" i="2"/>
  <c r="Y412" i="2"/>
  <c r="Y526" i="2"/>
  <c r="Y239" i="2"/>
  <c r="Y296" i="2"/>
  <c r="Y411" i="2"/>
  <c r="Y468" i="2"/>
  <c r="Y525" i="2"/>
  <c r="Y583" i="2"/>
  <c r="Y640" i="2"/>
  <c r="Y353" i="2"/>
  <c r="Y9" i="2"/>
  <c r="Z62" i="1"/>
  <c r="Z105" i="1"/>
  <c r="Z1007" i="2"/>
  <c r="AA1006" i="2"/>
  <c r="AB1006" i="2" s="1"/>
  <c r="Z1035" i="2"/>
  <c r="AA1034" i="2"/>
  <c r="AB1034" i="2" s="1"/>
  <c r="K847" i="2"/>
  <c r="H847" i="2"/>
  <c r="O847" i="2"/>
  <c r="I847" i="2"/>
  <c r="V847" i="2"/>
  <c r="M847" i="2"/>
  <c r="S847" i="2"/>
  <c r="U847" i="2"/>
  <c r="E30" i="24"/>
  <c r="G30" i="24"/>
  <c r="O188" i="2"/>
  <c r="H188" i="2"/>
  <c r="Z137" i="1"/>
  <c r="Z139" i="1" s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M321" i="2"/>
  <c r="S321" i="2"/>
  <c r="S322" i="2" s="1"/>
  <c r="Z222" i="1"/>
  <c r="Z663" i="1"/>
  <c r="X280" i="1"/>
  <c r="X308" i="1" s="1"/>
  <c r="X657" i="1" s="1"/>
  <c r="M15" i="2"/>
  <c r="Z167" i="1"/>
  <c r="V324" i="1"/>
  <c r="V490" i="2"/>
  <c r="T490" i="2"/>
  <c r="AA547" i="2"/>
  <c r="AB547" i="2" s="1"/>
  <c r="Y242" i="1"/>
  <c r="Z229" i="1"/>
  <c r="Z240" i="1"/>
  <c r="Z235" i="1"/>
  <c r="Z227" i="1"/>
  <c r="W251" i="2"/>
  <c r="U331" i="1"/>
  <c r="U333" i="1" s="1"/>
  <c r="U335" i="1" s="1"/>
  <c r="U113" i="1" s="1"/>
  <c r="U117" i="1" s="1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G322" i="2" s="1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71" i="2"/>
  <c r="S771" i="2"/>
  <c r="AA191" i="2"/>
  <c r="AB191" i="2" s="1"/>
  <c r="J194" i="2"/>
  <c r="G28" i="26" s="1"/>
  <c r="O194" i="2"/>
  <c r="P194" i="2"/>
  <c r="M194" i="2"/>
  <c r="G28" i="31" s="1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71" i="2"/>
  <c r="D31" i="24" s="1"/>
  <c r="N15" i="2"/>
  <c r="N194" i="2"/>
  <c r="G28" i="27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71" i="2"/>
  <c r="D31" i="34" s="1"/>
  <c r="K771" i="2"/>
  <c r="D31" i="32" s="1"/>
  <c r="N117" i="1"/>
  <c r="W1114" i="2"/>
  <c r="W769" i="2" s="1"/>
  <c r="W15" i="2"/>
  <c r="W700" i="2" s="1"/>
  <c r="L188" i="2"/>
  <c r="L15" i="2"/>
  <c r="J188" i="2"/>
  <c r="J15" i="2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71" i="2"/>
  <c r="O771" i="2"/>
  <c r="M771" i="2"/>
  <c r="D31" i="31" s="1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G28" i="34" s="1"/>
  <c r="K194" i="2"/>
  <c r="G28" i="32" s="1"/>
  <c r="H194" i="2"/>
  <c r="G28" i="24" s="1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G28" i="28" s="1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Y474" i="2" l="1"/>
  <c r="H146" i="2"/>
  <c r="U146" i="2"/>
  <c r="R146" i="2"/>
  <c r="I146" i="2"/>
  <c r="Q146" i="2"/>
  <c r="Z594" i="1"/>
  <c r="Z596" i="1" s="1"/>
  <c r="F445" i="2" s="1"/>
  <c r="V445" i="2" s="1"/>
  <c r="K146" i="2"/>
  <c r="X146" i="2"/>
  <c r="S146" i="2"/>
  <c r="V146" i="2"/>
  <c r="P146" i="2"/>
  <c r="Z667" i="1"/>
  <c r="Y146" i="2"/>
  <c r="N146" i="2"/>
  <c r="M146" i="2"/>
  <c r="G146" i="2"/>
  <c r="O146" i="2"/>
  <c r="L146" i="2"/>
  <c r="T146" i="2"/>
  <c r="W146" i="2"/>
  <c r="Z146" i="2"/>
  <c r="M34" i="2"/>
  <c r="AA32" i="2"/>
  <c r="AB32" i="2" s="1"/>
  <c r="P33" i="2"/>
  <c r="Q33" i="2"/>
  <c r="I33" i="2"/>
  <c r="J33" i="2"/>
  <c r="S33" i="2"/>
  <c r="Z33" i="2"/>
  <c r="Z35" i="2" s="1"/>
  <c r="W33" i="2"/>
  <c r="O33" i="2"/>
  <c r="G33" i="2"/>
  <c r="R33" i="2"/>
  <c r="M33" i="2"/>
  <c r="K33" i="2"/>
  <c r="Y33" i="2"/>
  <c r="H33" i="2"/>
  <c r="N33" i="2"/>
  <c r="U33" i="2"/>
  <c r="T33" i="2"/>
  <c r="V33" i="2"/>
  <c r="X33" i="2"/>
  <c r="F44" i="27"/>
  <c r="K44" i="27" s="1"/>
  <c r="L44" i="27" s="1"/>
  <c r="D44" i="34"/>
  <c r="F44" i="34" s="1"/>
  <c r="G34" i="2"/>
  <c r="P34" i="2"/>
  <c r="F35" i="2"/>
  <c r="J34" i="2"/>
  <c r="L322" i="2"/>
  <c r="I322" i="2"/>
  <c r="M322" i="2"/>
  <c r="K44" i="31"/>
  <c r="L44" i="31" s="1"/>
  <c r="K44" i="32"/>
  <c r="L44" i="32" s="1"/>
  <c r="Q700" i="2"/>
  <c r="L700" i="2"/>
  <c r="D43" i="28" s="1"/>
  <c r="N700" i="2"/>
  <c r="D43" i="27" s="1"/>
  <c r="I700" i="2"/>
  <c r="D43" i="34" s="1"/>
  <c r="H700" i="2"/>
  <c r="D43" i="24" s="1"/>
  <c r="E43" i="24" s="1"/>
  <c r="K43" i="24" s="1"/>
  <c r="L43" i="24" s="1"/>
  <c r="M700" i="2"/>
  <c r="D43" i="31" s="1"/>
  <c r="J700" i="2"/>
  <c r="D43" i="26" s="1"/>
  <c r="R700" i="2"/>
  <c r="O700" i="2"/>
  <c r="K700" i="2"/>
  <c r="D43" i="32" s="1"/>
  <c r="X847" i="2"/>
  <c r="Y531" i="2"/>
  <c r="Y359" i="2"/>
  <c r="Q34" i="2"/>
  <c r="I34" i="2"/>
  <c r="N34" i="2"/>
  <c r="R34" i="2"/>
  <c r="W34" i="2"/>
  <c r="L34" i="2"/>
  <c r="L35" i="2" s="1"/>
  <c r="X34" i="2"/>
  <c r="S34" i="2"/>
  <c r="K34" i="2"/>
  <c r="H34" i="2"/>
  <c r="T34" i="2"/>
  <c r="U34" i="2"/>
  <c r="O34" i="2"/>
  <c r="O35" i="2" s="1"/>
  <c r="V34" i="2"/>
  <c r="Y34" i="2"/>
  <c r="X771" i="2"/>
  <c r="Y15" i="2"/>
  <c r="Y700" i="2" s="1"/>
  <c r="AA105" i="1"/>
  <c r="AA77" i="1"/>
  <c r="AA79" i="1" s="1"/>
  <c r="AA96" i="1" s="1"/>
  <c r="Y302" i="2"/>
  <c r="Y646" i="2"/>
  <c r="Y417" i="2"/>
  <c r="G21" i="2"/>
  <c r="G698" i="2" s="1"/>
  <c r="D44" i="14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1035" i="2"/>
  <c r="AB1035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1007" i="2"/>
  <c r="AB1007" i="2" s="1"/>
  <c r="P847" i="2"/>
  <c r="T847" i="2"/>
  <c r="R847" i="2"/>
  <c r="J847" i="2"/>
  <c r="N847" i="2"/>
  <c r="W847" i="2"/>
  <c r="Y847" i="2"/>
  <c r="L847" i="2"/>
  <c r="Q847" i="2"/>
  <c r="E32" i="24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71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G28" i="14"/>
  <c r="I445" i="2"/>
  <c r="L445" i="2"/>
  <c r="R445" i="2"/>
  <c r="T445" i="2"/>
  <c r="O445" i="2"/>
  <c r="AB658" i="1"/>
  <c r="AB383" i="1"/>
  <c r="AB147" i="1"/>
  <c r="AB156" i="1" s="1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71" i="2"/>
  <c r="X95" i="1"/>
  <c r="X98" i="1" s="1"/>
  <c r="F38" i="2" s="1"/>
  <c r="X655" i="1"/>
  <c r="X81" i="1"/>
  <c r="X114" i="1"/>
  <c r="X129" i="1"/>
  <c r="X126" i="1"/>
  <c r="X115" i="1"/>
  <c r="X127" i="1"/>
  <c r="X128" i="1"/>
  <c r="T771" i="2"/>
  <c r="G417" i="2"/>
  <c r="G589" i="2"/>
  <c r="G847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71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71" i="2"/>
  <c r="D31" i="26" s="1"/>
  <c r="AA440" i="2"/>
  <c r="AB440" i="2" s="1"/>
  <c r="AA382" i="2"/>
  <c r="AB382" i="2" s="1"/>
  <c r="T123" i="1"/>
  <c r="T141" i="1" s="1"/>
  <c r="F147" i="2" s="1"/>
  <c r="R771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E28" i="14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71" i="2"/>
  <c r="D31" i="28" s="1"/>
  <c r="W771" i="2"/>
  <c r="N141" i="1"/>
  <c r="N771" i="2"/>
  <c r="D31" i="27" s="1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K35" i="2" l="1"/>
  <c r="Y445" i="2"/>
  <c r="U445" i="2"/>
  <c r="S445" i="2"/>
  <c r="H445" i="2"/>
  <c r="K445" i="2"/>
  <c r="Q445" i="2"/>
  <c r="X445" i="2"/>
  <c r="W445" i="2"/>
  <c r="N445" i="2"/>
  <c r="P445" i="2"/>
  <c r="G445" i="2"/>
  <c r="M445" i="2"/>
  <c r="J445" i="2"/>
  <c r="Z445" i="2"/>
  <c r="Q387" i="2"/>
  <c r="AA146" i="2"/>
  <c r="AB146" i="2" s="1"/>
  <c r="M35" i="2"/>
  <c r="S35" i="2"/>
  <c r="P35" i="2"/>
  <c r="V35" i="2"/>
  <c r="H35" i="2"/>
  <c r="Q35" i="2"/>
  <c r="W35" i="2"/>
  <c r="N35" i="2"/>
  <c r="I35" i="2"/>
  <c r="Y35" i="2"/>
  <c r="T35" i="2"/>
  <c r="G35" i="2"/>
  <c r="AA33" i="2"/>
  <c r="AB33" i="2" s="1"/>
  <c r="J35" i="2"/>
  <c r="X35" i="2"/>
  <c r="U35" i="2"/>
  <c r="E43" i="34"/>
  <c r="K44" i="34"/>
  <c r="L44" i="34" s="1"/>
  <c r="E43" i="26"/>
  <c r="L384" i="2"/>
  <c r="E43" i="32"/>
  <c r="E43" i="27"/>
  <c r="E43" i="28"/>
  <c r="I384" i="2"/>
  <c r="E43" i="31"/>
  <c r="Z669" i="1"/>
  <c r="G700" i="2"/>
  <c r="D43" i="14" s="1"/>
  <c r="E43" i="14" s="1"/>
  <c r="K43" i="14" s="1"/>
  <c r="L43" i="14" s="1"/>
  <c r="AA1010" i="2"/>
  <c r="AB1010" i="2" s="1"/>
  <c r="F1012" i="2"/>
  <c r="P205" i="2"/>
  <c r="AA34" i="2"/>
  <c r="AB34" i="2" s="1"/>
  <c r="R35" i="2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1114" i="2"/>
  <c r="Z769" i="2" s="1"/>
  <c r="AA769" i="2" s="1"/>
  <c r="AB769" i="2" s="1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K32" i="24"/>
  <c r="L32" i="24" s="1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G30" i="14"/>
  <c r="G29" i="14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E29" i="14"/>
  <c r="G771" i="2"/>
  <c r="D31" i="14" s="1"/>
  <c r="E30" i="14"/>
  <c r="G494" i="2"/>
  <c r="AA493" i="2"/>
  <c r="AB493" i="2" s="1"/>
  <c r="H325" i="2"/>
  <c r="H29" i="24" s="1"/>
  <c r="O325" i="2"/>
  <c r="V325" i="2"/>
  <c r="I325" i="2"/>
  <c r="H29" i="34" s="1"/>
  <c r="R325" i="2"/>
  <c r="J325" i="2"/>
  <c r="H29" i="26" s="1"/>
  <c r="Q325" i="2"/>
  <c r="X325" i="2"/>
  <c r="K325" i="2"/>
  <c r="H29" i="32" s="1"/>
  <c r="U325" i="2"/>
  <c r="L325" i="2"/>
  <c r="H29" i="28" s="1"/>
  <c r="S325" i="2"/>
  <c r="Y325" i="2"/>
  <c r="M325" i="2"/>
  <c r="H29" i="31" s="1"/>
  <c r="W325" i="2"/>
  <c r="N325" i="2"/>
  <c r="H29" i="27" s="1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AA445" i="2" l="1"/>
  <c r="AB445" i="2" s="1"/>
  <c r="Z604" i="1"/>
  <c r="F674" i="2" s="1"/>
  <c r="Z674" i="2" s="1"/>
  <c r="Z321" i="1"/>
  <c r="Z324" i="1"/>
  <c r="Z598" i="1"/>
  <c r="F502" i="2" s="1"/>
  <c r="Z529" i="1"/>
  <c r="V330" i="2"/>
  <c r="Z602" i="1"/>
  <c r="F617" i="2" s="1"/>
  <c r="W617" i="2" s="1"/>
  <c r="Z606" i="1"/>
  <c r="Z532" i="1"/>
  <c r="Z600" i="1"/>
  <c r="F559" i="2" s="1"/>
  <c r="V559" i="2" s="1"/>
  <c r="Z325" i="1"/>
  <c r="Z110" i="1"/>
  <c r="F102" i="2" s="1"/>
  <c r="Y102" i="2" s="1"/>
  <c r="H330" i="2"/>
  <c r="AA35" i="2"/>
  <c r="AB35" i="2" s="1"/>
  <c r="U330" i="2"/>
  <c r="R330" i="2"/>
  <c r="X330" i="2"/>
  <c r="K43" i="34"/>
  <c r="L43" i="34" s="1"/>
  <c r="N330" i="2"/>
  <c r="M330" i="2"/>
  <c r="Z330" i="2"/>
  <c r="G330" i="2"/>
  <c r="P330" i="2"/>
  <c r="W330" i="2"/>
  <c r="K43" i="27"/>
  <c r="L43" i="27" s="1"/>
  <c r="K43" i="26"/>
  <c r="L43" i="26" s="1"/>
  <c r="K43" i="31"/>
  <c r="L43" i="31" s="1"/>
  <c r="K43" i="28"/>
  <c r="L43" i="28" s="1"/>
  <c r="K43" i="32"/>
  <c r="L43" i="32" s="1"/>
  <c r="N1012" i="2"/>
  <c r="N1013" i="2" s="1"/>
  <c r="N1021" i="2" s="1"/>
  <c r="Q1012" i="2"/>
  <c r="Q1013" i="2" s="1"/>
  <c r="Q1021" i="2" s="1"/>
  <c r="H1012" i="2"/>
  <c r="H1013" i="2" s="1"/>
  <c r="H1021" i="2" s="1"/>
  <c r="O1012" i="2"/>
  <c r="O1013" i="2" s="1"/>
  <c r="O1021" i="2" s="1"/>
  <c r="X1012" i="2"/>
  <c r="X1013" i="2" s="1"/>
  <c r="G1012" i="2"/>
  <c r="L1012" i="2"/>
  <c r="L1013" i="2" s="1"/>
  <c r="L1021" i="2" s="1"/>
  <c r="W1012" i="2"/>
  <c r="W1013" i="2" s="1"/>
  <c r="W1021" i="2" s="1"/>
  <c r="I1012" i="2"/>
  <c r="I1013" i="2" s="1"/>
  <c r="I1021" i="2" s="1"/>
  <c r="S1012" i="2"/>
  <c r="S1013" i="2" s="1"/>
  <c r="S1021" i="2" s="1"/>
  <c r="Z1012" i="2"/>
  <c r="Z1013" i="2" s="1"/>
  <c r="Z1021" i="2" s="1"/>
  <c r="K1012" i="2"/>
  <c r="K1013" i="2" s="1"/>
  <c r="K1021" i="2" s="1"/>
  <c r="R1012" i="2"/>
  <c r="R1013" i="2" s="1"/>
  <c r="R1021" i="2" s="1"/>
  <c r="Y1012" i="2"/>
  <c r="Y1013" i="2" s="1"/>
  <c r="M1012" i="2"/>
  <c r="M1013" i="2" s="1"/>
  <c r="M1021" i="2" s="1"/>
  <c r="U1012" i="2"/>
  <c r="U1013" i="2" s="1"/>
  <c r="U1021" i="2" s="1"/>
  <c r="J1012" i="2"/>
  <c r="J1013" i="2" s="1"/>
  <c r="J1021" i="2" s="1"/>
  <c r="T1012" i="2"/>
  <c r="T1013" i="2" s="1"/>
  <c r="T1021" i="2" s="1"/>
  <c r="F1013" i="2"/>
  <c r="P1012" i="2"/>
  <c r="P1013" i="2" s="1"/>
  <c r="P1021" i="2" s="1"/>
  <c r="V1012" i="2"/>
  <c r="V1013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AC79" i="1" s="1"/>
  <c r="AC96" i="1" s="1"/>
  <c r="Z131" i="1"/>
  <c r="Q330" i="2"/>
  <c r="T330" i="2"/>
  <c r="K330" i="2"/>
  <c r="L330" i="2"/>
  <c r="I330" i="2"/>
  <c r="J330" i="2"/>
  <c r="O330" i="2"/>
  <c r="S330" i="2"/>
  <c r="AB701" i="2"/>
  <c r="Z771" i="2"/>
  <c r="AA771" i="2" s="1"/>
  <c r="AB771" i="2" s="1"/>
  <c r="AB920" i="2"/>
  <c r="Z847" i="2"/>
  <c r="AA847" i="2" s="1"/>
  <c r="AB847" i="2" s="1"/>
  <c r="AA1114" i="2"/>
  <c r="AB1114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X674" i="2"/>
  <c r="M674" i="2"/>
  <c r="T674" i="2"/>
  <c r="P674" i="2"/>
  <c r="N674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G34" i="14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H29" i="14"/>
  <c r="S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O617" i="2" l="1"/>
  <c r="V617" i="2"/>
  <c r="S617" i="2"/>
  <c r="Q617" i="2"/>
  <c r="L617" i="2"/>
  <c r="U674" i="2"/>
  <c r="V674" i="2"/>
  <c r="G674" i="2"/>
  <c r="R674" i="2"/>
  <c r="Y674" i="2"/>
  <c r="O674" i="2"/>
  <c r="S674" i="2"/>
  <c r="K674" i="2"/>
  <c r="L674" i="2"/>
  <c r="I674" i="2"/>
  <c r="H674" i="2"/>
  <c r="J674" i="2"/>
  <c r="Q674" i="2"/>
  <c r="W674" i="2"/>
  <c r="N617" i="2"/>
  <c r="R617" i="2"/>
  <c r="P617" i="2"/>
  <c r="T617" i="2"/>
  <c r="I617" i="2"/>
  <c r="G617" i="2"/>
  <c r="K617" i="2"/>
  <c r="J617" i="2"/>
  <c r="Z617" i="2"/>
  <c r="X617" i="2"/>
  <c r="H617" i="2"/>
  <c r="M617" i="2"/>
  <c r="U617" i="2"/>
  <c r="Y617" i="2"/>
  <c r="X102" i="2"/>
  <c r="L102" i="2"/>
  <c r="R102" i="2"/>
  <c r="P102" i="2"/>
  <c r="U102" i="2"/>
  <c r="J102" i="2"/>
  <c r="V102" i="2"/>
  <c r="N102" i="2"/>
  <c r="T102" i="2"/>
  <c r="M102" i="2"/>
  <c r="I102" i="2"/>
  <c r="H102" i="2"/>
  <c r="O102" i="2"/>
  <c r="S102" i="2"/>
  <c r="W102" i="2"/>
  <c r="G102" i="2"/>
  <c r="K102" i="2"/>
  <c r="Q102" i="2"/>
  <c r="Z102" i="2"/>
  <c r="L559" i="2"/>
  <c r="I559" i="2"/>
  <c r="O559" i="2"/>
  <c r="Q559" i="2"/>
  <c r="N559" i="2"/>
  <c r="J559" i="2"/>
  <c r="R559" i="2"/>
  <c r="T559" i="2"/>
  <c r="Z559" i="2"/>
  <c r="G559" i="2"/>
  <c r="M559" i="2"/>
  <c r="U559" i="2"/>
  <c r="W559" i="2"/>
  <c r="Y559" i="2"/>
  <c r="Z608" i="1"/>
  <c r="H559" i="2"/>
  <c r="P559" i="2"/>
  <c r="K559" i="2"/>
  <c r="X559" i="2"/>
  <c r="I327" i="2"/>
  <c r="M327" i="2"/>
  <c r="Y1028" i="2"/>
  <c r="Y183" i="2" s="1"/>
  <c r="Y1021" i="2"/>
  <c r="V1028" i="2"/>
  <c r="V184" i="2" s="1"/>
  <c r="V1021" i="2"/>
  <c r="X1028" i="2"/>
  <c r="X1021" i="2"/>
  <c r="S1014" i="2"/>
  <c r="K1014" i="2"/>
  <c r="H1014" i="2"/>
  <c r="Q1014" i="2"/>
  <c r="T1014" i="2"/>
  <c r="V1014" i="2"/>
  <c r="P1014" i="2"/>
  <c r="R1014" i="2"/>
  <c r="L1014" i="2"/>
  <c r="I1014" i="2"/>
  <c r="X1014" i="2"/>
  <c r="O1014" i="2"/>
  <c r="N1014" i="2"/>
  <c r="J1014" i="2"/>
  <c r="U1014" i="2"/>
  <c r="M1014" i="2"/>
  <c r="Y1014" i="2"/>
  <c r="W1014" i="2"/>
  <c r="Z1014" i="2"/>
  <c r="AA1012" i="2"/>
  <c r="AB1012" i="2" s="1"/>
  <c r="G1013" i="2"/>
  <c r="AA43" i="2"/>
  <c r="AB43" i="2" s="1"/>
  <c r="AD105" i="1"/>
  <c r="AD77" i="1"/>
  <c r="AD79" i="1" s="1"/>
  <c r="AD96" i="1" s="1"/>
  <c r="AA330" i="2"/>
  <c r="AB330" i="2" s="1"/>
  <c r="K34" i="14"/>
  <c r="L34" i="14" s="1"/>
  <c r="E32" i="14"/>
  <c r="K32" i="14" s="1"/>
  <c r="L32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C486" i="1"/>
  <c r="AC488" i="1" s="1"/>
  <c r="AC490" i="1" s="1"/>
  <c r="AC516" i="1" s="1"/>
  <c r="T699" i="2"/>
  <c r="S699" i="2"/>
  <c r="H699" i="2"/>
  <c r="D45" i="24" s="1"/>
  <c r="G45" i="24" s="1"/>
  <c r="K45" i="24" s="1"/>
  <c r="L45" i="24" s="1"/>
  <c r="K699" i="2"/>
  <c r="D45" i="32" s="1"/>
  <c r="R699" i="2"/>
  <c r="U699" i="2"/>
  <c r="I699" i="2"/>
  <c r="D45" i="34" s="1"/>
  <c r="F333" i="2"/>
  <c r="F1081" i="2" s="1"/>
  <c r="J699" i="2"/>
  <c r="D45" i="26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H30" i="28" s="1"/>
  <c r="V497" i="2"/>
  <c r="G497" i="2"/>
  <c r="O497" i="2"/>
  <c r="X497" i="2"/>
  <c r="M497" i="2"/>
  <c r="H30" i="31" s="1"/>
  <c r="S497" i="2"/>
  <c r="H497" i="2"/>
  <c r="H30" i="24" s="1"/>
  <c r="R497" i="2"/>
  <c r="Z497" i="2"/>
  <c r="I497" i="2"/>
  <c r="H30" i="34" s="1"/>
  <c r="Q497" i="2"/>
  <c r="Y497" i="2"/>
  <c r="K497" i="2"/>
  <c r="H30" i="32" s="1"/>
  <c r="U497" i="2"/>
  <c r="J497" i="2"/>
  <c r="H30" i="26" s="1"/>
  <c r="T497" i="2"/>
  <c r="W497" i="2"/>
  <c r="N497" i="2"/>
  <c r="H30" i="27" s="1"/>
  <c r="P497" i="2"/>
  <c r="F150" i="2"/>
  <c r="AA655" i="1"/>
  <c r="AA95" i="1"/>
  <c r="AA98" i="1" s="1"/>
  <c r="F46" i="2" s="1"/>
  <c r="F1053" i="2" s="1"/>
  <c r="AA81" i="1"/>
  <c r="AA115" i="1"/>
  <c r="AA126" i="1"/>
  <c r="AA114" i="1"/>
  <c r="AA128" i="1"/>
  <c r="AA127" i="1"/>
  <c r="AA129" i="1"/>
  <c r="AD651" i="1"/>
  <c r="AD9" i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G14" i="31" s="1"/>
  <c r="S137" i="2"/>
  <c r="K137" i="2"/>
  <c r="G14" i="32" s="1"/>
  <c r="T137" i="2"/>
  <c r="U137" i="2"/>
  <c r="Q137" i="2"/>
  <c r="U327" i="2"/>
  <c r="AB280" i="1"/>
  <c r="Z538" i="1"/>
  <c r="Z540" i="1" s="1"/>
  <c r="AD636" i="1"/>
  <c r="AD453" i="1" s="1"/>
  <c r="AD465" i="1" s="1"/>
  <c r="AD486" i="1" s="1"/>
  <c r="AD488" i="1" s="1"/>
  <c r="AC224" i="1"/>
  <c r="Y331" i="1"/>
  <c r="Y333" i="1" s="1"/>
  <c r="F614" i="2"/>
  <c r="AD188" i="1"/>
  <c r="AB81" i="1"/>
  <c r="AA983" i="2" s="1"/>
  <c r="AB983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D45" i="27" s="1"/>
  <c r="X699" i="2"/>
  <c r="Z699" i="2"/>
  <c r="M699" i="2"/>
  <c r="D45" i="31" s="1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6" s="1"/>
  <c r="I137" i="2"/>
  <c r="G14" i="34" s="1"/>
  <c r="H137" i="2"/>
  <c r="G14" i="24" s="1"/>
  <c r="P137" i="2"/>
  <c r="L137" i="2"/>
  <c r="G14" i="28" s="1"/>
  <c r="N137" i="2"/>
  <c r="G14" i="27" s="1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AA674" i="2" l="1"/>
  <c r="AB674" i="2" s="1"/>
  <c r="AA617" i="2"/>
  <c r="AB617" i="2" s="1"/>
  <c r="AA102" i="2"/>
  <c r="AB102" i="2" s="1"/>
  <c r="AA559" i="2"/>
  <c r="AB559" i="2" s="1"/>
  <c r="V240" i="2"/>
  <c r="Y182" i="2"/>
  <c r="Y240" i="2"/>
  <c r="Y241" i="2"/>
  <c r="G45" i="34"/>
  <c r="K45" i="34" s="1"/>
  <c r="L45" i="34" s="1"/>
  <c r="G45" i="31"/>
  <c r="G45" i="26"/>
  <c r="G45" i="32"/>
  <c r="G45" i="27"/>
  <c r="AA1028" i="2"/>
  <c r="AB1028" i="2" s="1"/>
  <c r="Y184" i="2"/>
  <c r="X240" i="2"/>
  <c r="V182" i="2"/>
  <c r="X184" i="2"/>
  <c r="V241" i="2"/>
  <c r="X182" i="2"/>
  <c r="X241" i="2"/>
  <c r="V183" i="2"/>
  <c r="X183" i="2"/>
  <c r="AA1013" i="2"/>
  <c r="AB1013" i="2" s="1"/>
  <c r="G1021" i="2"/>
  <c r="AA1021" i="2" s="1"/>
  <c r="AB1021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G1014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AE105" i="1"/>
  <c r="AF105" i="1" s="1"/>
  <c r="AG105" i="1" s="1"/>
  <c r="AE77" i="1"/>
  <c r="AF77" i="1" s="1"/>
  <c r="AG77" i="1" s="1"/>
  <c r="F1083" i="2"/>
  <c r="AA1081" i="2"/>
  <c r="AB1081" i="2" s="1"/>
  <c r="AA1053" i="2"/>
  <c r="AB1053" i="2" s="1"/>
  <c r="F1055" i="2"/>
  <c r="F44" i="24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30" i="14"/>
  <c r="AA497" i="2"/>
  <c r="AB497" i="2" s="1"/>
  <c r="J211" i="2"/>
  <c r="H28" i="26" s="1"/>
  <c r="S211" i="2"/>
  <c r="Z211" i="2"/>
  <c r="M211" i="2"/>
  <c r="H28" i="31" s="1"/>
  <c r="T211" i="2"/>
  <c r="H211" i="2"/>
  <c r="H28" i="24" s="1"/>
  <c r="P211" i="2"/>
  <c r="Y211" i="2"/>
  <c r="K211" i="2"/>
  <c r="H28" i="32" s="1"/>
  <c r="U211" i="2"/>
  <c r="N211" i="2"/>
  <c r="H28" i="27" s="1"/>
  <c r="V211" i="2"/>
  <c r="I211" i="2"/>
  <c r="H28" i="34" s="1"/>
  <c r="Q211" i="2"/>
  <c r="W211" i="2"/>
  <c r="L211" i="2"/>
  <c r="H28" i="28" s="1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D45" i="28" s="1"/>
  <c r="G14" i="14"/>
  <c r="AA137" i="2"/>
  <c r="AB137" i="2" s="1"/>
  <c r="AA110" i="1"/>
  <c r="F105" i="2" s="1"/>
  <c r="F1060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5" i="14" s="1"/>
  <c r="G45" i="14" s="1"/>
  <c r="K45" i="14" s="1"/>
  <c r="L45" i="14" s="1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V245" i="2" l="1"/>
  <c r="Y188" i="2"/>
  <c r="Y245" i="2"/>
  <c r="AA241" i="2"/>
  <c r="AB241" i="2" s="1"/>
  <c r="AA240" i="2"/>
  <c r="AB240" i="2" s="1"/>
  <c r="AA184" i="2"/>
  <c r="AB184" i="2" s="1"/>
  <c r="AA183" i="2"/>
  <c r="AB183" i="2" s="1"/>
  <c r="E14" i="34"/>
  <c r="E14" i="27"/>
  <c r="E14" i="28"/>
  <c r="M499" i="2"/>
  <c r="L499" i="2"/>
  <c r="E14" i="32"/>
  <c r="E14" i="26"/>
  <c r="E14" i="31"/>
  <c r="K45" i="27"/>
  <c r="L45" i="27" s="1"/>
  <c r="K45" i="26"/>
  <c r="L45" i="26" s="1"/>
  <c r="K45" i="32"/>
  <c r="L45" i="32" s="1"/>
  <c r="G45" i="28"/>
  <c r="K45" i="31"/>
  <c r="L45" i="31" s="1"/>
  <c r="V188" i="2"/>
  <c r="X245" i="2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AA125" i="2" s="1"/>
  <c r="AB125" i="2" s="1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1014" i="2"/>
  <c r="AB1014" i="2" s="1"/>
  <c r="S131" i="2"/>
  <c r="W131" i="2"/>
  <c r="E14" i="24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1055" i="2"/>
  <c r="Q1056" i="2" s="1"/>
  <c r="T1055" i="2"/>
  <c r="T1056" i="2" s="1"/>
  <c r="J1055" i="2"/>
  <c r="J1056" i="2" s="1"/>
  <c r="K1055" i="2"/>
  <c r="K1056" i="2" s="1"/>
  <c r="R1055" i="2"/>
  <c r="R1056" i="2" s="1"/>
  <c r="H1055" i="2"/>
  <c r="H1056" i="2" s="1"/>
  <c r="V1055" i="2"/>
  <c r="V1056" i="2" s="1"/>
  <c r="M1055" i="2"/>
  <c r="M1056" i="2" s="1"/>
  <c r="P1055" i="2"/>
  <c r="P1056" i="2" s="1"/>
  <c r="W1055" i="2"/>
  <c r="W1056" i="2" s="1"/>
  <c r="G1055" i="2"/>
  <c r="N1055" i="2"/>
  <c r="N1056" i="2" s="1"/>
  <c r="X1055" i="2"/>
  <c r="X1056" i="2" s="1"/>
  <c r="Y1055" i="2"/>
  <c r="Y1056" i="2" s="1"/>
  <c r="I1055" i="2"/>
  <c r="I1056" i="2" s="1"/>
  <c r="L1055" i="2"/>
  <c r="L1056" i="2" s="1"/>
  <c r="S1055" i="2"/>
  <c r="S1056" i="2" s="1"/>
  <c r="Z1055" i="2"/>
  <c r="Z1056" i="2" s="1"/>
  <c r="U1055" i="2"/>
  <c r="U1056" i="2" s="1"/>
  <c r="O1055" i="2"/>
  <c r="O1056" i="2" s="1"/>
  <c r="Y1083" i="2"/>
  <c r="Y1084" i="2" s="1"/>
  <c r="U1083" i="2"/>
  <c r="U1084" i="2" s="1"/>
  <c r="Q1083" i="2"/>
  <c r="Q1084" i="2" s="1"/>
  <c r="M1083" i="2"/>
  <c r="M1084" i="2" s="1"/>
  <c r="I1083" i="2"/>
  <c r="I1084" i="2" s="1"/>
  <c r="G1083" i="2"/>
  <c r="Z1083" i="2"/>
  <c r="Z1084" i="2" s="1"/>
  <c r="N1083" i="2"/>
  <c r="N1084" i="2" s="1"/>
  <c r="X1083" i="2"/>
  <c r="X1084" i="2" s="1"/>
  <c r="T1083" i="2"/>
  <c r="T1084" i="2" s="1"/>
  <c r="P1083" i="2"/>
  <c r="P1084" i="2" s="1"/>
  <c r="L1083" i="2"/>
  <c r="L1084" i="2" s="1"/>
  <c r="H1083" i="2"/>
  <c r="H1084" i="2" s="1"/>
  <c r="K1083" i="2"/>
  <c r="K1084" i="2" s="1"/>
  <c r="R1083" i="2"/>
  <c r="R1084" i="2" s="1"/>
  <c r="W1083" i="2"/>
  <c r="W1084" i="2" s="1"/>
  <c r="S1083" i="2"/>
  <c r="S1084" i="2" s="1"/>
  <c r="O1083" i="2"/>
  <c r="O1084" i="2" s="1"/>
  <c r="V1083" i="2"/>
  <c r="V1084" i="2" s="1"/>
  <c r="J1083" i="2"/>
  <c r="J1084" i="2" s="1"/>
  <c r="F1084" i="2"/>
  <c r="AA1060" i="2"/>
  <c r="AB1060" i="2" s="1"/>
  <c r="F1062" i="2"/>
  <c r="F1056" i="2"/>
  <c r="K44" i="24"/>
  <c r="L44" i="24" s="1"/>
  <c r="F44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X154" i="2"/>
  <c r="L154" i="2"/>
  <c r="H14" i="28" s="1"/>
  <c r="S154" i="2"/>
  <c r="I154" i="2"/>
  <c r="H14" i="34" s="1"/>
  <c r="P154" i="2"/>
  <c r="W154" i="2"/>
  <c r="N154" i="2"/>
  <c r="H14" i="27" s="1"/>
  <c r="V154" i="2"/>
  <c r="K154" i="2"/>
  <c r="H14" i="32" s="1"/>
  <c r="R154" i="2"/>
  <c r="G154" i="2"/>
  <c r="T154" i="2"/>
  <c r="Y154" i="2"/>
  <c r="M154" i="2"/>
  <c r="H14" i="31" s="1"/>
  <c r="U154" i="2"/>
  <c r="J154" i="2"/>
  <c r="H14" i="26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1088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H28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245" i="2" l="1"/>
  <c r="AB245" i="2" s="1"/>
  <c r="L213" i="2"/>
  <c r="K45" i="28"/>
  <c r="L45" i="28" s="1"/>
  <c r="I213" i="2"/>
  <c r="M213" i="2"/>
  <c r="AA188" i="2"/>
  <c r="AB188" i="2" s="1"/>
  <c r="E14" i="14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I29" i="26" s="1"/>
  <c r="K29" i="26" s="1"/>
  <c r="V333" i="2"/>
  <c r="W333" i="2"/>
  <c r="L333" i="2"/>
  <c r="I29" i="28" s="1"/>
  <c r="K29" i="28" s="1"/>
  <c r="N333" i="2"/>
  <c r="I29" i="27" s="1"/>
  <c r="M333" i="2"/>
  <c r="I29" i="31" s="1"/>
  <c r="K29" i="31" s="1"/>
  <c r="Q1062" i="2"/>
  <c r="Q1063" i="2" s="1"/>
  <c r="J1062" i="2"/>
  <c r="J1063" i="2" s="1"/>
  <c r="L1062" i="2"/>
  <c r="L1063" i="2" s="1"/>
  <c r="W1062" i="2"/>
  <c r="W1063" i="2" s="1"/>
  <c r="G1062" i="2"/>
  <c r="M1062" i="2"/>
  <c r="M1063" i="2" s="1"/>
  <c r="X1062" i="2"/>
  <c r="X1063" i="2" s="1"/>
  <c r="H1062" i="2"/>
  <c r="H1063" i="2" s="1"/>
  <c r="S1062" i="2"/>
  <c r="S1063" i="2" s="1"/>
  <c r="R1062" i="2"/>
  <c r="R1063" i="2" s="1"/>
  <c r="K1062" i="2"/>
  <c r="K1063" i="2" s="1"/>
  <c r="Y1062" i="2"/>
  <c r="Y1063" i="2" s="1"/>
  <c r="I1062" i="2"/>
  <c r="I1063" i="2" s="1"/>
  <c r="T1062" i="2"/>
  <c r="T1063" i="2" s="1"/>
  <c r="Z1062" i="2"/>
  <c r="Z1063" i="2" s="1"/>
  <c r="O1062" i="2"/>
  <c r="O1063" i="2" s="1"/>
  <c r="U1062" i="2"/>
  <c r="U1063" i="2" s="1"/>
  <c r="V1062" i="2"/>
  <c r="V1063" i="2" s="1"/>
  <c r="P1062" i="2"/>
  <c r="P1063" i="2" s="1"/>
  <c r="N1062" i="2"/>
  <c r="N1063" i="2" s="1"/>
  <c r="R333" i="2"/>
  <c r="P333" i="2"/>
  <c r="Z333" i="2"/>
  <c r="Q333" i="2"/>
  <c r="AA1055" i="2"/>
  <c r="AB1055" i="2" s="1"/>
  <c r="G1056" i="2"/>
  <c r="AA1056" i="2" s="1"/>
  <c r="AB1056" i="2" s="1"/>
  <c r="O333" i="2"/>
  <c r="K333" i="2"/>
  <c r="I29" i="32" s="1"/>
  <c r="K29" i="32" s="1"/>
  <c r="T333" i="2"/>
  <c r="U333" i="2"/>
  <c r="S333" i="2"/>
  <c r="H333" i="2"/>
  <c r="I29" i="24" s="1"/>
  <c r="K29" i="24" s="1"/>
  <c r="X333" i="2"/>
  <c r="I333" i="2"/>
  <c r="Y333" i="2"/>
  <c r="AA1083" i="2"/>
  <c r="AB1083" i="2" s="1"/>
  <c r="G1084" i="2"/>
  <c r="F52" i="2"/>
  <c r="S52" i="2" s="1"/>
  <c r="F1063" i="2"/>
  <c r="T1057" i="2"/>
  <c r="T46" i="2" s="1"/>
  <c r="P1057" i="2"/>
  <c r="P46" i="2" s="1"/>
  <c r="J1057" i="2"/>
  <c r="J46" i="2" s="1"/>
  <c r="N1057" i="2"/>
  <c r="N46" i="2" s="1"/>
  <c r="L1057" i="2"/>
  <c r="L46" i="2" s="1"/>
  <c r="H1057" i="2"/>
  <c r="H46" i="2" s="1"/>
  <c r="O1057" i="2"/>
  <c r="O46" i="2" s="1"/>
  <c r="M1057" i="2"/>
  <c r="M46" i="2" s="1"/>
  <c r="R1057" i="2"/>
  <c r="R46" i="2" s="1"/>
  <c r="S1057" i="2"/>
  <c r="S46" i="2" s="1"/>
  <c r="I1057" i="2"/>
  <c r="I46" i="2" s="1"/>
  <c r="Q1057" i="2"/>
  <c r="Q46" i="2" s="1"/>
  <c r="K1057" i="2"/>
  <c r="K46" i="2" s="1"/>
  <c r="U1057" i="2"/>
  <c r="U46" i="2" s="1"/>
  <c r="V1057" i="2"/>
  <c r="V46" i="2" s="1"/>
  <c r="W1057" i="2"/>
  <c r="W46" i="2" s="1"/>
  <c r="X1057" i="2"/>
  <c r="X46" i="2" s="1"/>
  <c r="Y1057" i="2"/>
  <c r="Y46" i="2" s="1"/>
  <c r="Z1057" i="2"/>
  <c r="Z46" i="2" s="1"/>
  <c r="K44" i="14"/>
  <c r="L44" i="14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H14" i="14"/>
  <c r="AC657" i="1"/>
  <c r="AC121" i="1"/>
  <c r="AA108" i="2"/>
  <c r="AB108" i="2" s="1"/>
  <c r="AA680" i="2"/>
  <c r="AB680" i="2" s="1"/>
  <c r="AA400" i="2"/>
  <c r="AB400" i="2" s="1"/>
  <c r="AA270" i="2"/>
  <c r="AB270" i="2" s="1"/>
  <c r="M52" i="2" l="1"/>
  <c r="K29" i="27"/>
  <c r="I29" i="34"/>
  <c r="K29" i="34" s="1"/>
  <c r="M156" i="2"/>
  <c r="L156" i="2"/>
  <c r="J52" i="2"/>
  <c r="Z52" i="2"/>
  <c r="W52" i="2"/>
  <c r="G1057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1063" i="2"/>
  <c r="AA1063" i="2" s="1"/>
  <c r="AB1063" i="2" s="1"/>
  <c r="AA1062" i="2"/>
  <c r="AB1062" i="2" s="1"/>
  <c r="AA1084" i="2"/>
  <c r="AB1084" i="2" s="1"/>
  <c r="G333" i="2"/>
  <c r="F1074" i="2"/>
  <c r="N1064" i="2"/>
  <c r="N105" i="2" s="1"/>
  <c r="P1064" i="2"/>
  <c r="P105" i="2" s="1"/>
  <c r="R1064" i="2"/>
  <c r="R105" i="2" s="1"/>
  <c r="J1064" i="2"/>
  <c r="J105" i="2" s="1"/>
  <c r="Q1064" i="2"/>
  <c r="Q105" i="2" s="1"/>
  <c r="O1064" i="2"/>
  <c r="O105" i="2" s="1"/>
  <c r="X1064" i="2"/>
  <c r="X105" i="2" s="1"/>
  <c r="Z1064" i="2"/>
  <c r="Z105" i="2" s="1"/>
  <c r="L1064" i="2"/>
  <c r="L105" i="2" s="1"/>
  <c r="Y1064" i="2"/>
  <c r="Y105" i="2" s="1"/>
  <c r="W1064" i="2"/>
  <c r="W105" i="2" s="1"/>
  <c r="M1064" i="2"/>
  <c r="M105" i="2" s="1"/>
  <c r="K1064" i="2"/>
  <c r="K105" i="2" s="1"/>
  <c r="T1064" i="2"/>
  <c r="T105" i="2" s="1"/>
  <c r="V1064" i="2"/>
  <c r="V105" i="2" s="1"/>
  <c r="H1064" i="2"/>
  <c r="H105" i="2" s="1"/>
  <c r="U1064" i="2"/>
  <c r="U105" i="2" s="1"/>
  <c r="S1064" i="2"/>
  <c r="S105" i="2" s="1"/>
  <c r="I1064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1067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1067" i="2" l="1"/>
  <c r="AB1067" i="2" s="1"/>
  <c r="F1069" i="2"/>
  <c r="AA1057" i="2"/>
  <c r="AB1057" i="2" s="1"/>
  <c r="AA52" i="2"/>
  <c r="AB52" i="2" s="1"/>
  <c r="G1064" i="2"/>
  <c r="G105" i="2" s="1"/>
  <c r="AA105" i="2" s="1"/>
  <c r="AB105" i="2" s="1"/>
  <c r="AC610" i="1"/>
  <c r="AA333" i="2"/>
  <c r="AB333" i="2" s="1"/>
  <c r="I29" i="14"/>
  <c r="K29" i="14" s="1"/>
  <c r="F1076" i="2"/>
  <c r="AA1074" i="2"/>
  <c r="AB1074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1069" i="2" l="1"/>
  <c r="X1070" i="2" s="1"/>
  <c r="Y1069" i="2"/>
  <c r="Y1070" i="2" s="1"/>
  <c r="W1069" i="2"/>
  <c r="W1070" i="2" s="1"/>
  <c r="Z1069" i="2"/>
  <c r="Z1070" i="2" s="1"/>
  <c r="F1070" i="2"/>
  <c r="V1069" i="2"/>
  <c r="V1070" i="2" s="1"/>
  <c r="S1069" i="2"/>
  <c r="S1070" i="2" s="1"/>
  <c r="Q1069" i="2"/>
  <c r="Q1070" i="2" s="1"/>
  <c r="P1069" i="2"/>
  <c r="P1070" i="2" s="1"/>
  <c r="I1069" i="2"/>
  <c r="I1070" i="2" s="1"/>
  <c r="T1069" i="2"/>
  <c r="T1070" i="2" s="1"/>
  <c r="M1069" i="2"/>
  <c r="M1070" i="2" s="1"/>
  <c r="J1069" i="2"/>
  <c r="J1070" i="2" s="1"/>
  <c r="N1069" i="2"/>
  <c r="N1070" i="2" s="1"/>
  <c r="U1069" i="2"/>
  <c r="U1070" i="2" s="1"/>
  <c r="R1069" i="2"/>
  <c r="R1070" i="2" s="1"/>
  <c r="O1069" i="2"/>
  <c r="O1070" i="2" s="1"/>
  <c r="H1069" i="2"/>
  <c r="H1070" i="2" s="1"/>
  <c r="L1069" i="2"/>
  <c r="L1070" i="2" s="1"/>
  <c r="G1069" i="2"/>
  <c r="K1069" i="2"/>
  <c r="K1070" i="2" s="1"/>
  <c r="AA1064" i="2"/>
  <c r="AB1064" i="2" s="1"/>
  <c r="M1076" i="2"/>
  <c r="M1077" i="2" s="1"/>
  <c r="N1076" i="2"/>
  <c r="N1077" i="2" s="1"/>
  <c r="G1076" i="2"/>
  <c r="Y1076" i="2"/>
  <c r="Y1077" i="2" s="1"/>
  <c r="V1076" i="2"/>
  <c r="V1077" i="2" s="1"/>
  <c r="S1076" i="2"/>
  <c r="S1077" i="2" s="1"/>
  <c r="K1076" i="2"/>
  <c r="K1077" i="2" s="1"/>
  <c r="J1076" i="2"/>
  <c r="J1077" i="2" s="1"/>
  <c r="X1076" i="2"/>
  <c r="X1077" i="2" s="1"/>
  <c r="U1076" i="2"/>
  <c r="U1077" i="2" s="1"/>
  <c r="R1076" i="2"/>
  <c r="R1077" i="2" s="1"/>
  <c r="Z1076" i="2"/>
  <c r="Z1077" i="2" s="1"/>
  <c r="I1076" i="2"/>
  <c r="I1077" i="2" s="1"/>
  <c r="H1076" i="2"/>
  <c r="H1077" i="2" s="1"/>
  <c r="T1076" i="2"/>
  <c r="T1077" i="2" s="1"/>
  <c r="Q1076" i="2"/>
  <c r="Q1077" i="2" s="1"/>
  <c r="L1076" i="2"/>
  <c r="L1077" i="2" s="1"/>
  <c r="W1076" i="2"/>
  <c r="W1077" i="2" s="1"/>
  <c r="O1076" i="2"/>
  <c r="O1077" i="2" s="1"/>
  <c r="P1076" i="2"/>
  <c r="P1077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1077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D29" i="27" s="1"/>
  <c r="N713" i="2"/>
  <c r="K759" i="2"/>
  <c r="D29" i="32" s="1"/>
  <c r="L29" i="32" s="1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D29" i="14" s="1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D29" i="26" s="1"/>
  <c r="L29" i="26" s="1"/>
  <c r="J713" i="2"/>
  <c r="H713" i="2"/>
  <c r="H759" i="2"/>
  <c r="D29" i="24" s="1"/>
  <c r="L29" i="24" s="1"/>
  <c r="Q713" i="2"/>
  <c r="Q759" i="2"/>
  <c r="W713" i="2"/>
  <c r="W759" i="2"/>
  <c r="S759" i="2"/>
  <c r="S713" i="2"/>
  <c r="M759" i="2"/>
  <c r="D29" i="31" s="1"/>
  <c r="L29" i="31" s="1"/>
  <c r="M713" i="2"/>
  <c r="Z713" i="2"/>
  <c r="Z759" i="2"/>
  <c r="R713" i="2"/>
  <c r="R759" i="2"/>
  <c r="L713" i="2"/>
  <c r="L759" i="2"/>
  <c r="D29" i="28" s="1"/>
  <c r="L29" i="28" s="1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F1096" i="2" l="1"/>
  <c r="L29" i="27"/>
  <c r="D29" i="34"/>
  <c r="L29" i="34" s="1"/>
  <c r="G1070" i="2"/>
  <c r="AA1070" i="2" s="1"/>
  <c r="AB1070" i="2" s="1"/>
  <c r="AA1069" i="2"/>
  <c r="AB1069" i="2" s="1"/>
  <c r="P1071" i="2"/>
  <c r="P162" i="2" s="1"/>
  <c r="S1071" i="2"/>
  <c r="S162" i="2" s="1"/>
  <c r="Z1071" i="2"/>
  <c r="Z162" i="2" s="1"/>
  <c r="J1071" i="2"/>
  <c r="J162" i="2" s="1"/>
  <c r="I14" i="26" s="1"/>
  <c r="M1071" i="2"/>
  <c r="M162" i="2" s="1"/>
  <c r="I14" i="31" s="1"/>
  <c r="L1071" i="2"/>
  <c r="L162" i="2" s="1"/>
  <c r="I14" i="28" s="1"/>
  <c r="O1071" i="2"/>
  <c r="O162" i="2" s="1"/>
  <c r="V1071" i="2"/>
  <c r="V162" i="2" s="1"/>
  <c r="Y1071" i="2"/>
  <c r="Y162" i="2" s="1"/>
  <c r="I1071" i="2"/>
  <c r="I162" i="2" s="1"/>
  <c r="I14" i="34" s="1"/>
  <c r="X1071" i="2"/>
  <c r="X162" i="2" s="1"/>
  <c r="H1071" i="2"/>
  <c r="H162" i="2" s="1"/>
  <c r="I14" i="24" s="1"/>
  <c r="K1071" i="2"/>
  <c r="K162" i="2" s="1"/>
  <c r="I14" i="32" s="1"/>
  <c r="R1071" i="2"/>
  <c r="R162" i="2" s="1"/>
  <c r="U1071" i="2"/>
  <c r="U162" i="2" s="1"/>
  <c r="T1071" i="2"/>
  <c r="T162" i="2" s="1"/>
  <c r="W1071" i="2"/>
  <c r="W162" i="2" s="1"/>
  <c r="N1071" i="2"/>
  <c r="N162" i="2" s="1"/>
  <c r="I14" i="27" s="1"/>
  <c r="Q1071" i="2"/>
  <c r="Q162" i="2" s="1"/>
  <c r="G1077" i="2"/>
  <c r="AA1077" i="2" s="1"/>
  <c r="AB1077" i="2" s="1"/>
  <c r="AA1076" i="2"/>
  <c r="AB1076" i="2" s="1"/>
  <c r="AA60" i="2"/>
  <c r="AB60" i="2" s="1"/>
  <c r="AA58" i="2"/>
  <c r="AB58" i="2" s="1"/>
  <c r="T1078" i="2"/>
  <c r="T219" i="2" s="1"/>
  <c r="U1078" i="2"/>
  <c r="U219" i="2" s="1"/>
  <c r="N1078" i="2"/>
  <c r="N219" i="2" s="1"/>
  <c r="P1078" i="2"/>
  <c r="P219" i="2" s="1"/>
  <c r="R1078" i="2"/>
  <c r="R219" i="2" s="1"/>
  <c r="J1078" i="2"/>
  <c r="J219" i="2" s="1"/>
  <c r="Q1078" i="2"/>
  <c r="Q219" i="2" s="1"/>
  <c r="O1078" i="2"/>
  <c r="O219" i="2" s="1"/>
  <c r="X1078" i="2"/>
  <c r="X219" i="2" s="1"/>
  <c r="Z1078" i="2"/>
  <c r="Z219" i="2" s="1"/>
  <c r="L1078" i="2"/>
  <c r="L219" i="2" s="1"/>
  <c r="Y1078" i="2"/>
  <c r="Y219" i="2" s="1"/>
  <c r="M1078" i="2"/>
  <c r="M219" i="2" s="1"/>
  <c r="V1078" i="2"/>
  <c r="V219" i="2" s="1"/>
  <c r="S1078" i="2"/>
  <c r="S219" i="2" s="1"/>
  <c r="W1078" i="2"/>
  <c r="W219" i="2" s="1"/>
  <c r="K1078" i="2"/>
  <c r="K219" i="2" s="1"/>
  <c r="H1078" i="2"/>
  <c r="H219" i="2" s="1"/>
  <c r="I1078" i="2"/>
  <c r="I219" i="2" s="1"/>
  <c r="T762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9" i="14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AA1096" i="2" l="1"/>
  <c r="AB1096" i="2" s="1"/>
  <c r="F1098" i="2"/>
  <c r="I35" i="24"/>
  <c r="I28" i="32"/>
  <c r="I28" i="31"/>
  <c r="I28" i="34"/>
  <c r="I28" i="28"/>
  <c r="I28" i="27"/>
  <c r="I28" i="24"/>
  <c r="I28" i="26"/>
  <c r="H35" i="24"/>
  <c r="K35" i="24" s="1"/>
  <c r="L35" i="24" s="1"/>
  <c r="I35" i="34"/>
  <c r="H35" i="34"/>
  <c r="I35" i="32"/>
  <c r="H35" i="32"/>
  <c r="I35" i="31"/>
  <c r="H35" i="31"/>
  <c r="I35" i="26"/>
  <c r="H35" i="26"/>
  <c r="I35" i="27"/>
  <c r="H35" i="27"/>
  <c r="I35" i="28"/>
  <c r="H35" i="28"/>
  <c r="G1071" i="2"/>
  <c r="G162" i="2" s="1"/>
  <c r="G1078" i="2"/>
  <c r="G219" i="2" s="1"/>
  <c r="AA760" i="2"/>
  <c r="AB760" i="2" s="1"/>
  <c r="U171" i="2"/>
  <c r="V171" i="2"/>
  <c r="T171" i="2"/>
  <c r="J171" i="2"/>
  <c r="J14" i="26" s="1"/>
  <c r="S171" i="2"/>
  <c r="P171" i="2"/>
  <c r="N171" i="2"/>
  <c r="J14" i="27" s="1"/>
  <c r="R171" i="2"/>
  <c r="O171" i="2"/>
  <c r="K171" i="2"/>
  <c r="J14" i="32" s="1"/>
  <c r="M171" i="2"/>
  <c r="J14" i="31" s="1"/>
  <c r="K14" i="31" s="1"/>
  <c r="I171" i="2"/>
  <c r="H171" i="2"/>
  <c r="J14" i="24" s="1"/>
  <c r="L171" i="2"/>
  <c r="J14" i="28" s="1"/>
  <c r="Q171" i="2"/>
  <c r="G171" i="2"/>
  <c r="J14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Y1098" i="2" l="1"/>
  <c r="Y1099" i="2" s="1"/>
  <c r="F1099" i="2"/>
  <c r="G1098" i="2"/>
  <c r="G1099" i="2" s="1"/>
  <c r="H1098" i="2"/>
  <c r="H1099" i="2" s="1"/>
  <c r="I1098" i="2"/>
  <c r="I1099" i="2" s="1"/>
  <c r="J1098" i="2"/>
  <c r="J1099" i="2" s="1"/>
  <c r="J1100" i="2" s="1"/>
  <c r="J228" i="2" s="1"/>
  <c r="J28" i="26" s="1"/>
  <c r="K28" i="26" s="1"/>
  <c r="K1098" i="2"/>
  <c r="K1099" i="2" s="1"/>
  <c r="L1098" i="2"/>
  <c r="L1099" i="2" s="1"/>
  <c r="M1098" i="2"/>
  <c r="M1099" i="2" s="1"/>
  <c r="N1098" i="2"/>
  <c r="N1099" i="2" s="1"/>
  <c r="O1098" i="2"/>
  <c r="O1099" i="2" s="1"/>
  <c r="P1098" i="2"/>
  <c r="P1099" i="2" s="1"/>
  <c r="Q1098" i="2"/>
  <c r="Q1099" i="2" s="1"/>
  <c r="R1098" i="2"/>
  <c r="R1099" i="2" s="1"/>
  <c r="R1100" i="2" s="1"/>
  <c r="R228" i="2" s="1"/>
  <c r="S1098" i="2"/>
  <c r="S1099" i="2" s="1"/>
  <c r="T1098" i="2"/>
  <c r="T1099" i="2" s="1"/>
  <c r="U1098" i="2"/>
  <c r="U1099" i="2" s="1"/>
  <c r="V1098" i="2"/>
  <c r="V1099" i="2" s="1"/>
  <c r="V1100" i="2" s="1"/>
  <c r="V228" i="2" s="1"/>
  <c r="W1098" i="2"/>
  <c r="W1099" i="2" s="1"/>
  <c r="X1098" i="2"/>
  <c r="X1099" i="2" s="1"/>
  <c r="Z1098" i="2"/>
  <c r="AA219" i="2"/>
  <c r="AB219" i="2" s="1"/>
  <c r="K14" i="27"/>
  <c r="F31" i="27" s="1"/>
  <c r="J14" i="34"/>
  <c r="K35" i="34"/>
  <c r="L35" i="34" s="1"/>
  <c r="K35" i="32"/>
  <c r="L35" i="32" s="1"/>
  <c r="F31" i="31"/>
  <c r="G31" i="31"/>
  <c r="E31" i="31"/>
  <c r="H31" i="31"/>
  <c r="I31" i="31"/>
  <c r="K35" i="28"/>
  <c r="L35" i="28" s="1"/>
  <c r="K35" i="26"/>
  <c r="L35" i="26" s="1"/>
  <c r="K14" i="28"/>
  <c r="K35" i="31"/>
  <c r="L35" i="31" s="1"/>
  <c r="K35" i="27"/>
  <c r="L35" i="27" s="1"/>
  <c r="J31" i="31"/>
  <c r="K14" i="26"/>
  <c r="K14" i="32"/>
  <c r="AA1071" i="2"/>
  <c r="AB1071" i="2" s="1"/>
  <c r="AA162" i="2"/>
  <c r="AB162" i="2" s="1"/>
  <c r="I14" i="14"/>
  <c r="I28" i="14"/>
  <c r="AA1078" i="2"/>
  <c r="AB1078" i="2" s="1"/>
  <c r="K14" i="24"/>
  <c r="J31" i="24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9" i="2"/>
  <c r="J738" i="2"/>
  <c r="D22" i="26" s="1"/>
  <c r="N738" i="2"/>
  <c r="D22" i="27" s="1"/>
  <c r="N799" i="2"/>
  <c r="K799" i="2"/>
  <c r="K738" i="2"/>
  <c r="D22" i="32" s="1"/>
  <c r="V738" i="2"/>
  <c r="V799" i="2"/>
  <c r="W799" i="2"/>
  <c r="W738" i="2"/>
  <c r="P799" i="2"/>
  <c r="P738" i="2"/>
  <c r="M738" i="2"/>
  <c r="D22" i="31" s="1"/>
  <c r="M799" i="2"/>
  <c r="X799" i="2"/>
  <c r="X738" i="2"/>
  <c r="R799" i="2"/>
  <c r="R738" i="2"/>
  <c r="I738" i="2"/>
  <c r="D22" i="34" s="1"/>
  <c r="I799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9" i="2"/>
  <c r="AA689" i="2"/>
  <c r="AB689" i="2" s="1"/>
  <c r="U691" i="2"/>
  <c r="AA691" i="2" s="1"/>
  <c r="AB691" i="2" s="1"/>
  <c r="H799" i="2"/>
  <c r="H738" i="2"/>
  <c r="D22" i="24" s="1"/>
  <c r="Q799" i="2"/>
  <c r="Q738" i="2"/>
  <c r="Y738" i="2"/>
  <c r="Y801" i="2" s="1"/>
  <c r="Y799" i="2"/>
  <c r="S799" i="2"/>
  <c r="S738" i="2"/>
  <c r="O799" i="2"/>
  <c r="O738" i="2"/>
  <c r="Z738" i="2"/>
  <c r="Z799" i="2"/>
  <c r="T738" i="2"/>
  <c r="T799" i="2"/>
  <c r="L799" i="2"/>
  <c r="L738" i="2"/>
  <c r="D22" i="28" s="1"/>
  <c r="G799" i="2"/>
  <c r="G738" i="2"/>
  <c r="U1100" i="2" l="1"/>
  <c r="U228" i="2" s="1"/>
  <c r="Q1100" i="2"/>
  <c r="Q228" i="2" s="1"/>
  <c r="M1100" i="2"/>
  <c r="M228" i="2" s="1"/>
  <c r="J28" i="31" s="1"/>
  <c r="K28" i="31" s="1"/>
  <c r="Y1100" i="2"/>
  <c r="Y228" i="2" s="1"/>
  <c r="X1100" i="2"/>
  <c r="X228" i="2" s="1"/>
  <c r="T1100" i="2"/>
  <c r="T228" i="2" s="1"/>
  <c r="H1100" i="2"/>
  <c r="H228" i="2" s="1"/>
  <c r="J28" i="24" s="1"/>
  <c r="K28" i="24" s="1"/>
  <c r="W1100" i="2"/>
  <c r="W228" i="2" s="1"/>
  <c r="S1100" i="2"/>
  <c r="S228" i="2" s="1"/>
  <c r="O1100" i="2"/>
  <c r="O228" i="2" s="1"/>
  <c r="K1100" i="2"/>
  <c r="K228" i="2" s="1"/>
  <c r="J28" i="32" s="1"/>
  <c r="K28" i="32" s="1"/>
  <c r="AA1098" i="2"/>
  <c r="AB1098" i="2" s="1"/>
  <c r="Z1099" i="2"/>
  <c r="AA1099" i="2" s="1"/>
  <c r="AB1099" i="2" s="1"/>
  <c r="G1100" i="2"/>
  <c r="I1100" i="2"/>
  <c r="I228" i="2" s="1"/>
  <c r="J28" i="34" s="1"/>
  <c r="K28" i="34" s="1"/>
  <c r="L1100" i="2"/>
  <c r="L228" i="2" s="1"/>
  <c r="J28" i="28" s="1"/>
  <c r="K28" i="28" s="1"/>
  <c r="N1100" i="2"/>
  <c r="N228" i="2" s="1"/>
  <c r="J28" i="27" s="1"/>
  <c r="K28" i="27" s="1"/>
  <c r="P1100" i="2"/>
  <c r="P228" i="2" s="1"/>
  <c r="K14" i="14"/>
  <c r="J31" i="14" s="1"/>
  <c r="I31" i="27"/>
  <c r="E31" i="27"/>
  <c r="H31" i="27"/>
  <c r="J31" i="27"/>
  <c r="G31" i="27"/>
  <c r="K14" i="34"/>
  <c r="G31" i="32"/>
  <c r="F31" i="32"/>
  <c r="E31" i="32"/>
  <c r="H31" i="32"/>
  <c r="I31" i="32"/>
  <c r="J31" i="28"/>
  <c r="F31" i="28"/>
  <c r="G31" i="28"/>
  <c r="E31" i="28"/>
  <c r="H31" i="28"/>
  <c r="I31" i="28"/>
  <c r="J31" i="32"/>
  <c r="K31" i="31"/>
  <c r="L31" i="31" s="1"/>
  <c r="E31" i="26"/>
  <c r="F31" i="26"/>
  <c r="G31" i="26"/>
  <c r="H31" i="26"/>
  <c r="I31" i="26"/>
  <c r="J31" i="26"/>
  <c r="I35" i="14"/>
  <c r="H35" i="14"/>
  <c r="E31" i="24"/>
  <c r="H31" i="24"/>
  <c r="F31" i="24"/>
  <c r="I31" i="24"/>
  <c r="G31" i="24"/>
  <c r="T801" i="2"/>
  <c r="AA634" i="2"/>
  <c r="AB634" i="2" s="1"/>
  <c r="AA119" i="2"/>
  <c r="AB119" i="2" s="1"/>
  <c r="Z801" i="2"/>
  <c r="S801" i="2"/>
  <c r="D22" i="14"/>
  <c r="U738" i="2"/>
  <c r="U801" i="2" s="1"/>
  <c r="U799" i="2"/>
  <c r="AA799" i="2" s="1"/>
  <c r="AB799" i="2" s="1"/>
  <c r="AF331" i="1"/>
  <c r="AG331" i="1" s="1"/>
  <c r="AE333" i="1"/>
  <c r="AF538" i="1"/>
  <c r="AG538" i="1" s="1"/>
  <c r="AE540" i="1"/>
  <c r="R801" i="2"/>
  <c r="X801" i="2"/>
  <c r="W801" i="2"/>
  <c r="O801" i="2"/>
  <c r="L801" i="2"/>
  <c r="M801" i="2"/>
  <c r="J801" i="2"/>
  <c r="P801" i="2"/>
  <c r="N801" i="2"/>
  <c r="Q801" i="2"/>
  <c r="G801" i="2"/>
  <c r="H801" i="2"/>
  <c r="K801" i="2"/>
  <c r="I801" i="2"/>
  <c r="AA720" i="2"/>
  <c r="AA766" i="2" s="1"/>
  <c r="AB766" i="2" s="1"/>
  <c r="I31" i="14"/>
  <c r="U719" i="2"/>
  <c r="U765" i="2"/>
  <c r="AA765" i="2" s="1"/>
  <c r="AB765" i="2" s="1"/>
  <c r="V801" i="2"/>
  <c r="H31" i="14" l="1"/>
  <c r="Z1100" i="2"/>
  <c r="Z228" i="2" s="1"/>
  <c r="G228" i="2"/>
  <c r="F31" i="14"/>
  <c r="G31" i="14"/>
  <c r="E31" i="14"/>
  <c r="K31" i="27"/>
  <c r="L31" i="27" s="1"/>
  <c r="I31" i="34"/>
  <c r="F31" i="34"/>
  <c r="G31" i="34"/>
  <c r="H31" i="34"/>
  <c r="E31" i="34"/>
  <c r="J31" i="34"/>
  <c r="K31" i="32"/>
  <c r="L31" i="32" s="1"/>
  <c r="K31" i="26"/>
  <c r="L31" i="26" s="1"/>
  <c r="K31" i="28"/>
  <c r="L31" i="28" s="1"/>
  <c r="K35" i="14"/>
  <c r="L35" i="14" s="1"/>
  <c r="K31" i="24"/>
  <c r="L31" i="24" s="1"/>
  <c r="AA738" i="2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801" i="2"/>
  <c r="AB801" i="2" s="1"/>
  <c r="AA719" i="2"/>
  <c r="AB719" i="2" s="1"/>
  <c r="AA1100" i="2" l="1"/>
  <c r="AB1100" i="2" s="1"/>
  <c r="J28" i="14"/>
  <c r="K28" i="14" s="1"/>
  <c r="AA228" i="2"/>
  <c r="AB228" i="2" s="1"/>
  <c r="K31" i="14"/>
  <c r="L31" i="14" s="1"/>
  <c r="K31" i="34"/>
  <c r="L31" i="34" s="1"/>
  <c r="AE123" i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1090" i="2" l="1"/>
  <c r="AA1088" i="2"/>
  <c r="AB1088" i="2" s="1"/>
  <c r="F758" i="2"/>
  <c r="F797" i="2" s="1"/>
  <c r="F712" i="2"/>
  <c r="F725" i="2" s="1"/>
  <c r="F1115" i="2"/>
  <c r="J233" i="2"/>
  <c r="K233" i="2"/>
  <c r="Q233" i="2"/>
  <c r="V758" i="2"/>
  <c r="V1115" i="2"/>
  <c r="V712" i="2"/>
  <c r="R233" i="2"/>
  <c r="G233" i="2"/>
  <c r="X1115" i="2"/>
  <c r="X712" i="2"/>
  <c r="X758" i="2"/>
  <c r="S233" i="2"/>
  <c r="O712" i="2"/>
  <c r="O1115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1115" i="2" s="1"/>
  <c r="N233" i="2"/>
  <c r="H233" i="2"/>
  <c r="Y1115" i="2"/>
  <c r="Y758" i="2"/>
  <c r="Y712" i="2"/>
  <c r="T233" i="2"/>
  <c r="T1115" i="2" s="1"/>
  <c r="M233" i="2"/>
  <c r="Z758" i="2"/>
  <c r="Z712" i="2"/>
  <c r="Z1115" i="2"/>
  <c r="W712" i="2"/>
  <c r="W758" i="2"/>
  <c r="W1115" i="2"/>
  <c r="P233" i="2"/>
  <c r="L233" i="2"/>
  <c r="U788" i="2" l="1"/>
  <c r="Y788" i="2"/>
  <c r="T788" i="2"/>
  <c r="V788" i="2"/>
  <c r="Z788" i="2"/>
  <c r="O788" i="2"/>
  <c r="W788" i="2"/>
  <c r="X788" i="2"/>
  <c r="X1090" i="2"/>
  <c r="X1091" i="2" s="1"/>
  <c r="T1090" i="2"/>
  <c r="T1091" i="2" s="1"/>
  <c r="P1090" i="2"/>
  <c r="P1091" i="2" s="1"/>
  <c r="L1090" i="2"/>
  <c r="L1091" i="2" s="1"/>
  <c r="H1090" i="2"/>
  <c r="H1091" i="2" s="1"/>
  <c r="N1090" i="2"/>
  <c r="N1091" i="2" s="1"/>
  <c r="U1090" i="2"/>
  <c r="U1091" i="2" s="1"/>
  <c r="I1090" i="2"/>
  <c r="I1091" i="2" s="1"/>
  <c r="W1090" i="2"/>
  <c r="W1091" i="2" s="1"/>
  <c r="S1090" i="2"/>
  <c r="S1091" i="2" s="1"/>
  <c r="O1090" i="2"/>
  <c r="O1091" i="2" s="1"/>
  <c r="K1090" i="2"/>
  <c r="K1091" i="2" s="1"/>
  <c r="G1090" i="2"/>
  <c r="R1090" i="2"/>
  <c r="R1091" i="2" s="1"/>
  <c r="J1090" i="2"/>
  <c r="J1091" i="2" s="1"/>
  <c r="M1090" i="2"/>
  <c r="M1091" i="2" s="1"/>
  <c r="Z1090" i="2"/>
  <c r="Z1091" i="2" s="1"/>
  <c r="V1090" i="2"/>
  <c r="V1091" i="2" s="1"/>
  <c r="Y1090" i="2"/>
  <c r="Y1091" i="2" s="1"/>
  <c r="Q1090" i="2"/>
  <c r="Q1091" i="2" s="1"/>
  <c r="F1091" i="2"/>
  <c r="AA290" i="2"/>
  <c r="AB290" i="2" s="1"/>
  <c r="M712" i="2"/>
  <c r="M1115" i="2"/>
  <c r="M788" i="2" s="1"/>
  <c r="M758" i="2"/>
  <c r="T712" i="2"/>
  <c r="T758" i="2"/>
  <c r="H758" i="2"/>
  <c r="H1115" i="2"/>
  <c r="H788" i="2" s="1"/>
  <c r="H712" i="2"/>
  <c r="U758" i="2"/>
  <c r="U712" i="2"/>
  <c r="AF117" i="1"/>
  <c r="AG117" i="1" s="1"/>
  <c r="AE141" i="1"/>
  <c r="S1115" i="2"/>
  <c r="S788" i="2" s="1"/>
  <c r="S712" i="2"/>
  <c r="S758" i="2"/>
  <c r="G712" i="2"/>
  <c r="G758" i="2"/>
  <c r="G1115" i="2"/>
  <c r="G788" i="2" s="1"/>
  <c r="AA233" i="2"/>
  <c r="K712" i="2"/>
  <c r="K1115" i="2"/>
  <c r="K788" i="2" s="1"/>
  <c r="K758" i="2"/>
  <c r="J758" i="2"/>
  <c r="J712" i="2"/>
  <c r="J1115" i="2"/>
  <c r="J788" i="2" s="1"/>
  <c r="F736" i="2"/>
  <c r="F740" i="2" s="1"/>
  <c r="P1115" i="2"/>
  <c r="P788" i="2" s="1"/>
  <c r="P712" i="2"/>
  <c r="P758" i="2"/>
  <c r="L1115" i="2"/>
  <c r="L788" i="2" s="1"/>
  <c r="L712" i="2"/>
  <c r="L758" i="2"/>
  <c r="N1115" i="2"/>
  <c r="N712" i="2"/>
  <c r="N758" i="2"/>
  <c r="I712" i="2"/>
  <c r="I1115" i="2"/>
  <c r="I788" i="2" s="1"/>
  <c r="I758" i="2"/>
  <c r="R712" i="2"/>
  <c r="R758" i="2"/>
  <c r="R1115" i="2"/>
  <c r="R788" i="2" s="1"/>
  <c r="Q758" i="2"/>
  <c r="Q712" i="2"/>
  <c r="Q1115" i="2"/>
  <c r="Q788" i="2" s="1"/>
  <c r="F778" i="2"/>
  <c r="F855" i="2" s="1"/>
  <c r="F803" i="2"/>
  <c r="D28" i="34" l="1"/>
  <c r="L28" i="34" s="1"/>
  <c r="D28" i="28"/>
  <c r="L28" i="28" s="1"/>
  <c r="D28" i="27"/>
  <c r="L28" i="27" s="1"/>
  <c r="D28" i="26"/>
  <c r="L28" i="26" s="1"/>
  <c r="D28" i="31"/>
  <c r="L28" i="31" s="1"/>
  <c r="D28" i="32"/>
  <c r="L28" i="32" s="1"/>
  <c r="D28" i="14"/>
  <c r="L28" i="14" s="1"/>
  <c r="D28" i="24"/>
  <c r="L28" i="24" s="1"/>
  <c r="N788" i="2"/>
  <c r="AA788" i="2" s="1"/>
  <c r="AB788" i="2" s="1"/>
  <c r="Q505" i="2"/>
  <c r="V505" i="2"/>
  <c r="V519" i="2" s="1"/>
  <c r="V718" i="2" s="1"/>
  <c r="V764" i="2" s="1"/>
  <c r="V797" i="2" s="1"/>
  <c r="Y505" i="2"/>
  <c r="Y519" i="2" s="1"/>
  <c r="Y718" i="2" s="1"/>
  <c r="Y764" i="2" s="1"/>
  <c r="Y797" i="2" s="1"/>
  <c r="M505" i="2"/>
  <c r="K505" i="2"/>
  <c r="I505" i="2"/>
  <c r="L505" i="2"/>
  <c r="J505" i="2"/>
  <c r="O505" i="2"/>
  <c r="U505" i="2"/>
  <c r="U519" i="2" s="1"/>
  <c r="U718" i="2" s="1"/>
  <c r="U764" i="2" s="1"/>
  <c r="U797" i="2" s="1"/>
  <c r="P505" i="2"/>
  <c r="R505" i="2"/>
  <c r="S505" i="2"/>
  <c r="N505" i="2"/>
  <c r="T505" i="2"/>
  <c r="Z505" i="2"/>
  <c r="Z519" i="2" s="1"/>
  <c r="Z718" i="2" s="1"/>
  <c r="Z764" i="2" s="1"/>
  <c r="Z797" i="2" s="1"/>
  <c r="W505" i="2"/>
  <c r="W519" i="2" s="1"/>
  <c r="W718" i="2" s="1"/>
  <c r="W764" i="2" s="1"/>
  <c r="W797" i="2" s="1"/>
  <c r="H505" i="2"/>
  <c r="X505" i="2"/>
  <c r="X519" i="2" s="1"/>
  <c r="X718" i="2" s="1"/>
  <c r="X764" i="2" s="1"/>
  <c r="X797" i="2" s="1"/>
  <c r="Q1085" i="2"/>
  <c r="Q1092" i="2"/>
  <c r="M1085" i="2"/>
  <c r="M1092" i="2"/>
  <c r="K1085" i="2"/>
  <c r="K1092" i="2"/>
  <c r="I1085" i="2"/>
  <c r="I1092" i="2"/>
  <c r="L1085" i="2"/>
  <c r="L1092" i="2"/>
  <c r="Y1092" i="2"/>
  <c r="Y1085" i="2"/>
  <c r="J1092" i="2"/>
  <c r="J1085" i="2"/>
  <c r="O1085" i="2"/>
  <c r="O1092" i="2"/>
  <c r="U1092" i="2"/>
  <c r="U1085" i="2"/>
  <c r="P1092" i="2"/>
  <c r="P1085" i="2"/>
  <c r="V1092" i="2"/>
  <c r="V1085" i="2"/>
  <c r="R1085" i="2"/>
  <c r="R1092" i="2"/>
  <c r="S1092" i="2"/>
  <c r="S1085" i="2"/>
  <c r="N1092" i="2"/>
  <c r="N1085" i="2"/>
  <c r="T1085" i="2"/>
  <c r="T1092" i="2"/>
  <c r="Z1085" i="2"/>
  <c r="Z1092" i="2"/>
  <c r="W1092" i="2"/>
  <c r="W1085" i="2"/>
  <c r="H1092" i="2"/>
  <c r="H1085" i="2"/>
  <c r="X1085" i="2"/>
  <c r="X1092" i="2"/>
  <c r="AA1090" i="2"/>
  <c r="AB1090" i="2" s="1"/>
  <c r="G1091" i="2"/>
  <c r="G505" i="2" s="1"/>
  <c r="F727" i="2"/>
  <c r="AA1115" i="2"/>
  <c r="AB1115" i="2" s="1"/>
  <c r="AA712" i="2"/>
  <c r="AB712" i="2" s="1"/>
  <c r="F819" i="2"/>
  <c r="F780" i="2"/>
  <c r="AA758" i="2"/>
  <c r="AB758" i="2" s="1"/>
  <c r="AB233" i="2"/>
  <c r="F174" i="2"/>
  <c r="AF141" i="1"/>
  <c r="AG141" i="1" s="1"/>
  <c r="R519" i="2" l="1"/>
  <c r="R718" i="2" s="1"/>
  <c r="R764" i="2" s="1"/>
  <c r="R797" i="2" s="1"/>
  <c r="H519" i="2"/>
  <c r="H718" i="2" s="1"/>
  <c r="H764" i="2" s="1"/>
  <c r="H797" i="2" s="1"/>
  <c r="I30" i="27"/>
  <c r="K30" i="27" s="1"/>
  <c r="I30" i="34"/>
  <c r="K30" i="34" s="1"/>
  <c r="S519" i="2"/>
  <c r="S718" i="2" s="1"/>
  <c r="S764" i="2" s="1"/>
  <c r="S797" i="2" s="1"/>
  <c r="O519" i="2"/>
  <c r="O718" i="2" s="1"/>
  <c r="O736" i="2" s="1"/>
  <c r="Q519" i="2"/>
  <c r="Q718" i="2" s="1"/>
  <c r="Q764" i="2" s="1"/>
  <c r="Q797" i="2" s="1"/>
  <c r="U736" i="2"/>
  <c r="V736" i="2"/>
  <c r="K519" i="2"/>
  <c r="K718" i="2" s="1"/>
  <c r="K764" i="2" s="1"/>
  <c r="I30" i="32"/>
  <c r="K30" i="32" s="1"/>
  <c r="J519" i="2"/>
  <c r="J718" i="2" s="1"/>
  <c r="J764" i="2" s="1"/>
  <c r="I30" i="26"/>
  <c r="K30" i="26" s="1"/>
  <c r="M519" i="2"/>
  <c r="M718" i="2" s="1"/>
  <c r="M764" i="2" s="1"/>
  <c r="I30" i="31"/>
  <c r="K30" i="31" s="1"/>
  <c r="L519" i="2"/>
  <c r="L718" i="2" s="1"/>
  <c r="L764" i="2" s="1"/>
  <c r="I30" i="28"/>
  <c r="K30" i="28" s="1"/>
  <c r="I519" i="2"/>
  <c r="I718" i="2" s="1"/>
  <c r="P519" i="2"/>
  <c r="P718" i="2" s="1"/>
  <c r="Y736" i="2"/>
  <c r="N519" i="2"/>
  <c r="N718" i="2" s="1"/>
  <c r="I30" i="24"/>
  <c r="K30" i="24" s="1"/>
  <c r="X736" i="2"/>
  <c r="W736" i="2"/>
  <c r="Z736" i="2"/>
  <c r="T519" i="2"/>
  <c r="T718" i="2" s="1"/>
  <c r="AA505" i="2"/>
  <c r="AB505" i="2" s="1"/>
  <c r="I30" i="14"/>
  <c r="K30" i="14" s="1"/>
  <c r="G519" i="2"/>
  <c r="AA1091" i="2"/>
  <c r="AB1091" i="2" s="1"/>
  <c r="G1092" i="2"/>
  <c r="AA1092" i="2" s="1"/>
  <c r="AB1092" i="2" s="1"/>
  <c r="G1085" i="2"/>
  <c r="AA1085" i="2" s="1"/>
  <c r="AB1085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1107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5" i="2"/>
  <c r="F931" i="2"/>
  <c r="D30" i="28" l="1"/>
  <c r="L30" i="28" s="1"/>
  <c r="L797" i="2"/>
  <c r="D30" i="31"/>
  <c r="L30" i="31" s="1"/>
  <c r="M797" i="2"/>
  <c r="D30" i="32"/>
  <c r="L30" i="32" s="1"/>
  <c r="K797" i="2"/>
  <c r="D30" i="26"/>
  <c r="L30" i="26" s="1"/>
  <c r="J797" i="2"/>
  <c r="O764" i="2"/>
  <c r="O797" i="2" s="1"/>
  <c r="R736" i="2"/>
  <c r="S736" i="2"/>
  <c r="Q736" i="2"/>
  <c r="H736" i="2"/>
  <c r="J736" i="2"/>
  <c r="K736" i="2"/>
  <c r="M736" i="2"/>
  <c r="O1108" i="2"/>
  <c r="O705" i="2" s="1"/>
  <c r="O923" i="2"/>
  <c r="L736" i="2"/>
  <c r="I764" i="2"/>
  <c r="I736" i="2"/>
  <c r="D30" i="24"/>
  <c r="L30" i="24" s="1"/>
  <c r="X729" i="2"/>
  <c r="X787" i="2" s="1"/>
  <c r="X789" i="2" s="1"/>
  <c r="X830" i="2" s="1"/>
  <c r="W729" i="2"/>
  <c r="W787" i="2" s="1"/>
  <c r="W789" i="2" s="1"/>
  <c r="W830" i="2" s="1"/>
  <c r="V729" i="2"/>
  <c r="V787" i="2" s="1"/>
  <c r="V789" i="2" s="1"/>
  <c r="Z729" i="2"/>
  <c r="Z787" i="2" s="1"/>
  <c r="Z789" i="2" s="1"/>
  <c r="Z830" i="2" s="1"/>
  <c r="Y729" i="2"/>
  <c r="Y787" i="2" s="1"/>
  <c r="Y789" i="2" s="1"/>
  <c r="Y866" i="2" s="1"/>
  <c r="P764" i="2"/>
  <c r="P797" i="2" s="1"/>
  <c r="P736" i="2"/>
  <c r="N764" i="2"/>
  <c r="N736" i="2"/>
  <c r="T764" i="2"/>
  <c r="T797" i="2" s="1"/>
  <c r="T736" i="2"/>
  <c r="G718" i="2"/>
  <c r="AA519" i="2"/>
  <c r="AB519" i="2" s="1"/>
  <c r="F729" i="2"/>
  <c r="F787" i="2" s="1"/>
  <c r="F789" i="2" s="1"/>
  <c r="V704" i="2"/>
  <c r="V705" i="2"/>
  <c r="V1106" i="2"/>
  <c r="W1106" i="2"/>
  <c r="W705" i="2"/>
  <c r="W704" i="2"/>
  <c r="Y705" i="2"/>
  <c r="Y1106" i="2"/>
  <c r="Y704" i="2"/>
  <c r="Z1106" i="2"/>
  <c r="X705" i="2"/>
  <c r="X1106" i="2"/>
  <c r="Z704" i="2"/>
  <c r="Z705" i="2"/>
  <c r="X704" i="2"/>
  <c r="O704" i="2"/>
  <c r="O1106" i="2"/>
  <c r="J176" i="2"/>
  <c r="H176" i="2"/>
  <c r="H1107" i="2" s="1"/>
  <c r="Q176" i="2"/>
  <c r="Q1107" i="2" s="1"/>
  <c r="S176" i="2"/>
  <c r="S1107" i="2" s="1"/>
  <c r="M176" i="2"/>
  <c r="P176" i="2"/>
  <c r="P1107" i="2" s="1"/>
  <c r="R176" i="2"/>
  <c r="R1107" i="2" s="1"/>
  <c r="I176" i="2"/>
  <c r="D14" i="34" s="1"/>
  <c r="AA174" i="2"/>
  <c r="AB174" i="2" s="1"/>
  <c r="U176" i="2"/>
  <c r="N176" i="2"/>
  <c r="K176" i="2"/>
  <c r="O729" i="2"/>
  <c r="F18" i="4" s="1"/>
  <c r="G176" i="2"/>
  <c r="G1107" i="2" s="1"/>
  <c r="T176" i="2"/>
  <c r="L176" i="2"/>
  <c r="D30" i="34" l="1"/>
  <c r="L30" i="34" s="1"/>
  <c r="I797" i="2"/>
  <c r="D30" i="27"/>
  <c r="N797" i="2"/>
  <c r="V866" i="2"/>
  <c r="V897" i="2" s="1"/>
  <c r="F50" i="4"/>
  <c r="S1108" i="2"/>
  <c r="S705" i="2" s="1"/>
  <c r="S923" i="2"/>
  <c r="W866" i="2"/>
  <c r="W897" i="2" s="1"/>
  <c r="X866" i="2"/>
  <c r="X944" i="2" s="1"/>
  <c r="Y830" i="2"/>
  <c r="D16" i="34"/>
  <c r="F15" i="34"/>
  <c r="F16" i="34" s="1"/>
  <c r="F22" i="34"/>
  <c r="G22" i="34"/>
  <c r="G15" i="34"/>
  <c r="G16" i="34" s="1"/>
  <c r="E15" i="34"/>
  <c r="E22" i="34"/>
  <c r="H15" i="34"/>
  <c r="H16" i="34" s="1"/>
  <c r="I15" i="34"/>
  <c r="I16" i="34" s="1"/>
  <c r="I22" i="34"/>
  <c r="H22" i="34"/>
  <c r="J22" i="34"/>
  <c r="J15" i="34"/>
  <c r="J16" i="34" s="1"/>
  <c r="L14" i="34"/>
  <c r="N1107" i="2"/>
  <c r="N1108" i="2" s="1"/>
  <c r="N705" i="2" s="1"/>
  <c r="D14" i="27"/>
  <c r="P1108" i="2"/>
  <c r="P705" i="2" s="1"/>
  <c r="P923" i="2"/>
  <c r="Q1108" i="2"/>
  <c r="Q705" i="2" s="1"/>
  <c r="Q923" i="2"/>
  <c r="G1108" i="2"/>
  <c r="G705" i="2" s="1"/>
  <c r="G923" i="2"/>
  <c r="R1108" i="2"/>
  <c r="R705" i="2" s="1"/>
  <c r="R923" i="2"/>
  <c r="H1108" i="2"/>
  <c r="H705" i="2" s="1"/>
  <c r="H923" i="2"/>
  <c r="J1107" i="2"/>
  <c r="J704" i="2" s="1"/>
  <c r="D14" i="26"/>
  <c r="K1107" i="2"/>
  <c r="K704" i="2" s="1"/>
  <c r="D14" i="32"/>
  <c r="I1107" i="2"/>
  <c r="I704" i="2" s="1"/>
  <c r="M1107" i="2"/>
  <c r="M704" i="2" s="1"/>
  <c r="D14" i="31"/>
  <c r="L1107" i="2"/>
  <c r="L704" i="2" s="1"/>
  <c r="D14" i="28"/>
  <c r="L30" i="27"/>
  <c r="Y944" i="2"/>
  <c r="Y897" i="2"/>
  <c r="V830" i="2"/>
  <c r="Z866" i="2"/>
  <c r="U704" i="2"/>
  <c r="S1106" i="2"/>
  <c r="D14" i="24"/>
  <c r="G764" i="2"/>
  <c r="G797" i="2" s="1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D14" i="14"/>
  <c r="AA176" i="2"/>
  <c r="AB176" i="2" s="1"/>
  <c r="O787" i="2"/>
  <c r="O789" i="2" s="1"/>
  <c r="F43" i="4" s="1"/>
  <c r="V944" i="2"/>
  <c r="F77" i="4" s="1"/>
  <c r="K729" i="2"/>
  <c r="F14" i="4" s="1"/>
  <c r="N729" i="2"/>
  <c r="F17" i="4" s="1"/>
  <c r="U729" i="2"/>
  <c r="Q729" i="2"/>
  <c r="F20" i="4" s="1"/>
  <c r="H729" i="2"/>
  <c r="J729" i="2"/>
  <c r="F13" i="4" s="1"/>
  <c r="O709" i="2"/>
  <c r="C18" i="4" s="1"/>
  <c r="F866" i="2"/>
  <c r="F830" i="2"/>
  <c r="F791" i="2"/>
  <c r="K1106" i="2"/>
  <c r="U705" i="2"/>
  <c r="P704" i="2"/>
  <c r="H704" i="2"/>
  <c r="Q704" i="2"/>
  <c r="L1106" i="2"/>
  <c r="J1106" i="2"/>
  <c r="T1106" i="2"/>
  <c r="R1106" i="2"/>
  <c r="T729" i="2"/>
  <c r="F23" i="4" s="1"/>
  <c r="I729" i="2"/>
  <c r="F12" i="4" s="1"/>
  <c r="R729" i="2"/>
  <c r="F21" i="4" s="1"/>
  <c r="P729" i="2"/>
  <c r="F19" i="4" s="1"/>
  <c r="M729" i="2"/>
  <c r="S729" i="2"/>
  <c r="F22" i="4" s="1"/>
  <c r="U1106" i="2"/>
  <c r="H1106" i="2"/>
  <c r="P1106" i="2"/>
  <c r="Q1106" i="2"/>
  <c r="G1106" i="2"/>
  <c r="G704" i="2"/>
  <c r="T704" i="2"/>
  <c r="N1106" i="2"/>
  <c r="R704" i="2"/>
  <c r="S704" i="2"/>
  <c r="W944" i="2" l="1"/>
  <c r="D46" i="14"/>
  <c r="D47" i="14" s="1"/>
  <c r="F46" i="14"/>
  <c r="F47" i="14" s="1"/>
  <c r="F37" i="14"/>
  <c r="G46" i="14"/>
  <c r="G47" i="14" s="1"/>
  <c r="G37" i="14"/>
  <c r="H37" i="14"/>
  <c r="H46" i="14"/>
  <c r="H47" i="14" s="1"/>
  <c r="E37" i="14"/>
  <c r="E46" i="14"/>
  <c r="E47" i="14" s="1"/>
  <c r="J46" i="14"/>
  <c r="J47" i="14" s="1"/>
  <c r="J37" i="14"/>
  <c r="I37" i="14"/>
  <c r="I46" i="14"/>
  <c r="I47" i="14" s="1"/>
  <c r="F37" i="24"/>
  <c r="G37" i="24"/>
  <c r="E37" i="24"/>
  <c r="H37" i="24"/>
  <c r="I37" i="24"/>
  <c r="J37" i="24"/>
  <c r="N704" i="2"/>
  <c r="G46" i="27" s="1"/>
  <c r="G47" i="27" s="1"/>
  <c r="X897" i="2"/>
  <c r="N923" i="2"/>
  <c r="K22" i="34"/>
  <c r="L22" i="34" s="1"/>
  <c r="K15" i="34"/>
  <c r="E16" i="34"/>
  <c r="M1108" i="2"/>
  <c r="M705" i="2" s="1"/>
  <c r="E46" i="31" s="1"/>
  <c r="M923" i="2"/>
  <c r="K1108" i="2"/>
  <c r="K705" i="2" s="1"/>
  <c r="K709" i="2" s="1"/>
  <c r="C14" i="4" s="1"/>
  <c r="K923" i="2"/>
  <c r="L1108" i="2"/>
  <c r="L705" i="2" s="1"/>
  <c r="D46" i="28" s="1"/>
  <c r="D47" i="28" s="1"/>
  <c r="L923" i="2"/>
  <c r="I1108" i="2"/>
  <c r="I705" i="2" s="1"/>
  <c r="I923" i="2"/>
  <c r="J1108" i="2"/>
  <c r="J705" i="2" s="1"/>
  <c r="D46" i="26" s="1"/>
  <c r="D47" i="26" s="1"/>
  <c r="J923" i="2"/>
  <c r="AA1107" i="2"/>
  <c r="AB1107" i="2" s="1"/>
  <c r="D16" i="31"/>
  <c r="F22" i="31"/>
  <c r="F15" i="31"/>
  <c r="F16" i="31" s="1"/>
  <c r="G15" i="31"/>
  <c r="G16" i="31" s="1"/>
  <c r="G22" i="31"/>
  <c r="E22" i="31"/>
  <c r="H15" i="31"/>
  <c r="H16" i="31" s="1"/>
  <c r="E15" i="31"/>
  <c r="H22" i="31"/>
  <c r="I22" i="31"/>
  <c r="I15" i="31"/>
  <c r="I16" i="31" s="1"/>
  <c r="J22" i="31"/>
  <c r="L14" i="31"/>
  <c r="J15" i="31"/>
  <c r="J16" i="31" s="1"/>
  <c r="D16" i="32"/>
  <c r="F15" i="32"/>
  <c r="F16" i="32" s="1"/>
  <c r="F22" i="32"/>
  <c r="G22" i="32"/>
  <c r="G15" i="32"/>
  <c r="G16" i="32" s="1"/>
  <c r="E22" i="32"/>
  <c r="H15" i="32"/>
  <c r="H16" i="32" s="1"/>
  <c r="E15" i="32"/>
  <c r="H22" i="32"/>
  <c r="I15" i="32"/>
  <c r="I16" i="32" s="1"/>
  <c r="I22" i="32"/>
  <c r="J15" i="32"/>
  <c r="J16" i="32" s="1"/>
  <c r="J22" i="32"/>
  <c r="L14" i="32"/>
  <c r="D16" i="28"/>
  <c r="F15" i="28"/>
  <c r="F16" i="28" s="1"/>
  <c r="F22" i="28"/>
  <c r="G22" i="28"/>
  <c r="G15" i="28"/>
  <c r="G16" i="28" s="1"/>
  <c r="E22" i="28"/>
  <c r="E15" i="28"/>
  <c r="H22" i="28"/>
  <c r="H15" i="28"/>
  <c r="H16" i="28" s="1"/>
  <c r="I15" i="28"/>
  <c r="I16" i="28" s="1"/>
  <c r="I22" i="28"/>
  <c r="J15" i="28"/>
  <c r="J16" i="28" s="1"/>
  <c r="J22" i="28"/>
  <c r="L14" i="28"/>
  <c r="D16" i="27"/>
  <c r="F15" i="27"/>
  <c r="F16" i="27" s="1"/>
  <c r="F22" i="27"/>
  <c r="G22" i="27"/>
  <c r="G15" i="27"/>
  <c r="G16" i="27" s="1"/>
  <c r="E15" i="27"/>
  <c r="H22" i="27"/>
  <c r="H15" i="27"/>
  <c r="H16" i="27" s="1"/>
  <c r="E22" i="27"/>
  <c r="I22" i="27"/>
  <c r="I15" i="27"/>
  <c r="I16" i="27" s="1"/>
  <c r="J15" i="27"/>
  <c r="J16" i="27" s="1"/>
  <c r="J22" i="27"/>
  <c r="L14" i="27"/>
  <c r="D16" i="26"/>
  <c r="F22" i="26"/>
  <c r="F15" i="26"/>
  <c r="G15" i="26"/>
  <c r="G16" i="26" s="1"/>
  <c r="G22" i="26"/>
  <c r="H15" i="26"/>
  <c r="H16" i="26" s="1"/>
  <c r="E22" i="26"/>
  <c r="H22" i="26"/>
  <c r="E15" i="26"/>
  <c r="E16" i="26" s="1"/>
  <c r="I22" i="26"/>
  <c r="I15" i="26"/>
  <c r="I16" i="26" s="1"/>
  <c r="J22" i="26"/>
  <c r="J15" i="26"/>
  <c r="J16" i="26" s="1"/>
  <c r="L14" i="26"/>
  <c r="D46" i="24"/>
  <c r="D47" i="24" s="1"/>
  <c r="E22" i="24"/>
  <c r="F46" i="24"/>
  <c r="F47" i="24" s="1"/>
  <c r="G46" i="24"/>
  <c r="G47" i="24" s="1"/>
  <c r="H46" i="24"/>
  <c r="H47" i="24" s="1"/>
  <c r="E46" i="24"/>
  <c r="E47" i="24" s="1"/>
  <c r="I46" i="24"/>
  <c r="I47" i="24" s="1"/>
  <c r="J46" i="24"/>
  <c r="J47" i="24" s="1"/>
  <c r="R709" i="2"/>
  <c r="C21" i="4" s="1"/>
  <c r="Z944" i="2"/>
  <c r="Z897" i="2"/>
  <c r="M787" i="2"/>
  <c r="M789" i="2" s="1"/>
  <c r="F41" i="4" s="1"/>
  <c r="F16" i="4"/>
  <c r="L787" i="2"/>
  <c r="L789" i="2" s="1"/>
  <c r="F40" i="4" s="1"/>
  <c r="F15" i="4"/>
  <c r="I15" i="24"/>
  <c r="I16" i="24" s="1"/>
  <c r="G22" i="24"/>
  <c r="F15" i="24"/>
  <c r="F16" i="24" s="1"/>
  <c r="L14" i="24"/>
  <c r="I22" i="24"/>
  <c r="G15" i="24"/>
  <c r="G16" i="24" s="1"/>
  <c r="F22" i="24"/>
  <c r="J22" i="24"/>
  <c r="H15" i="24"/>
  <c r="H16" i="24" s="1"/>
  <c r="E15" i="24"/>
  <c r="E16" i="24" s="1"/>
  <c r="D16" i="24"/>
  <c r="J15" i="24"/>
  <c r="J16" i="24" s="1"/>
  <c r="H22" i="24"/>
  <c r="AB706" i="2"/>
  <c r="D30" i="14"/>
  <c r="L30" i="14" s="1"/>
  <c r="AA764" i="2"/>
  <c r="AB764" i="2" s="1"/>
  <c r="AA1106" i="2"/>
  <c r="AB1106" i="2" s="1"/>
  <c r="T709" i="2"/>
  <c r="C23" i="4" s="1"/>
  <c r="V775" i="2"/>
  <c r="Y775" i="2"/>
  <c r="Z775" i="2"/>
  <c r="X748" i="2"/>
  <c r="X754" i="2" s="1"/>
  <c r="X810" i="2" s="1"/>
  <c r="V748" i="2"/>
  <c r="V754" i="2" s="1"/>
  <c r="W775" i="2"/>
  <c r="X775" i="2"/>
  <c r="Y748" i="2"/>
  <c r="Y754" i="2" s="1"/>
  <c r="W748" i="2"/>
  <c r="W754" i="2" s="1"/>
  <c r="Z748" i="2"/>
  <c r="Z754" i="2" s="1"/>
  <c r="S709" i="2"/>
  <c r="V721" i="2"/>
  <c r="V725" i="2" s="1"/>
  <c r="V767" i="2"/>
  <c r="X721" i="2"/>
  <c r="X725" i="2" s="1"/>
  <c r="X767" i="2"/>
  <c r="S787" i="2"/>
  <c r="S789" i="2" s="1"/>
  <c r="F47" i="4" s="1"/>
  <c r="R787" i="2"/>
  <c r="R789" i="2" s="1"/>
  <c r="F46" i="4" s="1"/>
  <c r="Q709" i="2"/>
  <c r="C20" i="4" s="1"/>
  <c r="P709" i="2"/>
  <c r="C19" i="4" s="1"/>
  <c r="F813" i="2"/>
  <c r="J787" i="2"/>
  <c r="J789" i="2" s="1"/>
  <c r="F38" i="4" s="1"/>
  <c r="F11" i="4"/>
  <c r="H787" i="2"/>
  <c r="H789" i="2" s="1"/>
  <c r="F36" i="4" s="1"/>
  <c r="N787" i="2"/>
  <c r="N789" i="2" s="1"/>
  <c r="F42" i="4" s="1"/>
  <c r="O866" i="2"/>
  <c r="O830" i="2"/>
  <c r="D16" i="14"/>
  <c r="F15" i="14"/>
  <c r="F16" i="14" s="1"/>
  <c r="F22" i="14"/>
  <c r="E15" i="14"/>
  <c r="E22" i="14"/>
  <c r="G22" i="14"/>
  <c r="G15" i="14"/>
  <c r="G16" i="14" s="1"/>
  <c r="H15" i="14"/>
  <c r="H16" i="14" s="1"/>
  <c r="H22" i="14"/>
  <c r="I15" i="14"/>
  <c r="I16" i="14" s="1"/>
  <c r="I22" i="14"/>
  <c r="J15" i="14"/>
  <c r="J16" i="14" s="1"/>
  <c r="J22" i="14"/>
  <c r="L14" i="14"/>
  <c r="U709" i="2"/>
  <c r="C24" i="4" s="1"/>
  <c r="Y721" i="2"/>
  <c r="Y725" i="2" s="1"/>
  <c r="Y767" i="2"/>
  <c r="G709" i="2"/>
  <c r="Z767" i="2"/>
  <c r="Z721" i="2"/>
  <c r="Z725" i="2" s="1"/>
  <c r="P787" i="2"/>
  <c r="P789" i="2" s="1"/>
  <c r="F44" i="4" s="1"/>
  <c r="I787" i="2"/>
  <c r="I789" i="2" s="1"/>
  <c r="F37" i="4" s="1"/>
  <c r="T787" i="2"/>
  <c r="T789" i="2" s="1"/>
  <c r="F48" i="4" s="1"/>
  <c r="H709" i="2"/>
  <c r="F944" i="2"/>
  <c r="F897" i="2"/>
  <c r="W721" i="2"/>
  <c r="W725" i="2" s="1"/>
  <c r="W767" i="2"/>
  <c r="O734" i="2"/>
  <c r="O740" i="2" s="1"/>
  <c r="O775" i="2" s="1"/>
  <c r="O748" i="2"/>
  <c r="O754" i="2" s="1"/>
  <c r="C43" i="4" s="1"/>
  <c r="Q787" i="2"/>
  <c r="Q789" i="2" s="1"/>
  <c r="F45" i="4" s="1"/>
  <c r="U787" i="2"/>
  <c r="U789" i="2" s="1"/>
  <c r="F49" i="4" s="1"/>
  <c r="F24" i="4"/>
  <c r="K787" i="2"/>
  <c r="K789" i="2" s="1"/>
  <c r="F39" i="4" s="1"/>
  <c r="G787" i="2"/>
  <c r="F10" i="4"/>
  <c r="AA729" i="2"/>
  <c r="AB729" i="2" s="1"/>
  <c r="V810" i="2" l="1"/>
  <c r="C50" i="4"/>
  <c r="K37" i="24"/>
  <c r="L37" i="24" s="1"/>
  <c r="K37" i="14"/>
  <c r="L37" i="14" s="1"/>
  <c r="AA704" i="2"/>
  <c r="AB704" i="2" s="1"/>
  <c r="N709" i="2"/>
  <c r="C17" i="4" s="1"/>
  <c r="I46" i="27"/>
  <c r="I47" i="27" s="1"/>
  <c r="D46" i="31"/>
  <c r="D47" i="31" s="1"/>
  <c r="J46" i="31"/>
  <c r="J47" i="31" s="1"/>
  <c r="I46" i="31"/>
  <c r="I47" i="31" s="1"/>
  <c r="H46" i="31"/>
  <c r="H47" i="31" s="1"/>
  <c r="F46" i="27"/>
  <c r="F47" i="27" s="1"/>
  <c r="D46" i="27"/>
  <c r="D47" i="27" s="1"/>
  <c r="E46" i="27"/>
  <c r="E47" i="27" s="1"/>
  <c r="J46" i="28"/>
  <c r="J47" i="28" s="1"/>
  <c r="E46" i="28"/>
  <c r="E47" i="28" s="1"/>
  <c r="H46" i="27"/>
  <c r="H47" i="27" s="1"/>
  <c r="M709" i="2"/>
  <c r="C16" i="4" s="1"/>
  <c r="G46" i="31"/>
  <c r="G47" i="31" s="1"/>
  <c r="F46" i="31"/>
  <c r="F47" i="31" s="1"/>
  <c r="J46" i="27"/>
  <c r="J47" i="27" s="1"/>
  <c r="L709" i="2"/>
  <c r="C15" i="4" s="1"/>
  <c r="G46" i="28"/>
  <c r="G47" i="28" s="1"/>
  <c r="D46" i="32"/>
  <c r="D47" i="32" s="1"/>
  <c r="J46" i="32"/>
  <c r="J47" i="32" s="1"/>
  <c r="I46" i="32"/>
  <c r="I47" i="32" s="1"/>
  <c r="E46" i="32"/>
  <c r="E47" i="32" s="1"/>
  <c r="H46" i="32"/>
  <c r="H47" i="32" s="1"/>
  <c r="G46" i="32"/>
  <c r="G47" i="32" s="1"/>
  <c r="F46" i="32"/>
  <c r="F47" i="32" s="1"/>
  <c r="I709" i="2"/>
  <c r="C12" i="4" s="1"/>
  <c r="R734" i="2"/>
  <c r="R740" i="2" s="1"/>
  <c r="R721" i="2" s="1"/>
  <c r="R725" i="2" s="1"/>
  <c r="D21" i="4" s="1"/>
  <c r="E21" i="4" s="1"/>
  <c r="G21" i="4" s="1"/>
  <c r="J709" i="2"/>
  <c r="C13" i="4" s="1"/>
  <c r="I46" i="28"/>
  <c r="I47" i="28" s="1"/>
  <c r="H46" i="28"/>
  <c r="H47" i="28" s="1"/>
  <c r="F46" i="28"/>
  <c r="F47" i="28" s="1"/>
  <c r="D46" i="34"/>
  <c r="D47" i="34" s="1"/>
  <c r="I46" i="34"/>
  <c r="I47" i="34" s="1"/>
  <c r="J46" i="34"/>
  <c r="J47" i="34" s="1"/>
  <c r="L15" i="34"/>
  <c r="K16" i="34"/>
  <c r="L16" i="34" s="1"/>
  <c r="G46" i="34"/>
  <c r="G47" i="34" s="1"/>
  <c r="E46" i="34"/>
  <c r="H46" i="34"/>
  <c r="H47" i="34" s="1"/>
  <c r="F46" i="34"/>
  <c r="F47" i="34" s="1"/>
  <c r="AA705" i="2"/>
  <c r="AB705" i="2" s="1"/>
  <c r="AA1108" i="2"/>
  <c r="AB1108" i="2" s="1"/>
  <c r="H46" i="26"/>
  <c r="H47" i="26" s="1"/>
  <c r="AA923" i="2"/>
  <c r="AB923" i="2" s="1"/>
  <c r="I46" i="26"/>
  <c r="I47" i="26" s="1"/>
  <c r="E46" i="26"/>
  <c r="E47" i="26" s="1"/>
  <c r="G46" i="26"/>
  <c r="G47" i="26" s="1"/>
  <c r="F46" i="26"/>
  <c r="F47" i="26" s="1"/>
  <c r="J46" i="26"/>
  <c r="J47" i="26" s="1"/>
  <c r="K22" i="26"/>
  <c r="L22" i="26" s="1"/>
  <c r="K22" i="27"/>
  <c r="L22" i="27" s="1"/>
  <c r="E16" i="27"/>
  <c r="K15" i="27"/>
  <c r="K22" i="28"/>
  <c r="L22" i="28" s="1"/>
  <c r="K22" i="32"/>
  <c r="L22" i="32" s="1"/>
  <c r="K15" i="31"/>
  <c r="E16" i="31"/>
  <c r="K15" i="26"/>
  <c r="F16" i="26"/>
  <c r="K15" i="28"/>
  <c r="E16" i="28"/>
  <c r="E16" i="32"/>
  <c r="K15" i="32"/>
  <c r="K22" i="31"/>
  <c r="L22" i="31" s="1"/>
  <c r="E47" i="31"/>
  <c r="L866" i="2"/>
  <c r="L944" i="2" s="1"/>
  <c r="F67" i="4" s="1"/>
  <c r="L830" i="2"/>
  <c r="R748" i="2"/>
  <c r="R754" i="2" s="1"/>
  <c r="C46" i="4" s="1"/>
  <c r="M830" i="2"/>
  <c r="M866" i="2"/>
  <c r="M897" i="2" s="1"/>
  <c r="S734" i="2"/>
  <c r="S740" i="2" s="1"/>
  <c r="S775" i="2" s="1"/>
  <c r="C22" i="4"/>
  <c r="K15" i="24"/>
  <c r="K16" i="24" s="1"/>
  <c r="L16" i="24" s="1"/>
  <c r="K22" i="24"/>
  <c r="L22" i="24" s="1"/>
  <c r="K47" i="24"/>
  <c r="L47" i="24" s="1"/>
  <c r="K46" i="24"/>
  <c r="L46" i="24" s="1"/>
  <c r="K47" i="14"/>
  <c r="T748" i="2"/>
  <c r="T754" i="2" s="1"/>
  <c r="C48" i="4" s="1"/>
  <c r="T734" i="2"/>
  <c r="T740" i="2" s="1"/>
  <c r="X795" i="2"/>
  <c r="X843" i="2"/>
  <c r="X916" i="2" s="1"/>
  <c r="V795" i="2"/>
  <c r="V843" i="2"/>
  <c r="Z843" i="2"/>
  <c r="Z810" i="2"/>
  <c r="W795" i="2"/>
  <c r="W810" i="2"/>
  <c r="Y843" i="2"/>
  <c r="Y810" i="2"/>
  <c r="Y795" i="2"/>
  <c r="Z795" i="2"/>
  <c r="W843" i="2"/>
  <c r="X778" i="2"/>
  <c r="X819" i="2" s="1"/>
  <c r="S748" i="2"/>
  <c r="S754" i="2" s="1"/>
  <c r="C47" i="4" s="1"/>
  <c r="Y778" i="2"/>
  <c r="Y819" i="2" s="1"/>
  <c r="X776" i="2"/>
  <c r="Y776" i="2"/>
  <c r="V776" i="2"/>
  <c r="W778" i="2"/>
  <c r="W819" i="2" s="1"/>
  <c r="W776" i="2"/>
  <c r="Z776" i="2"/>
  <c r="K830" i="2"/>
  <c r="K866" i="2"/>
  <c r="O795" i="2"/>
  <c r="O843" i="2"/>
  <c r="O810" i="2"/>
  <c r="T830" i="2"/>
  <c r="T866" i="2"/>
  <c r="I830" i="2"/>
  <c r="I866" i="2"/>
  <c r="G789" i="2"/>
  <c r="AA787" i="2"/>
  <c r="AB787" i="2" s="1"/>
  <c r="U866" i="2"/>
  <c r="U830" i="2"/>
  <c r="Q830" i="2"/>
  <c r="Q866" i="2"/>
  <c r="O721" i="2"/>
  <c r="O725" i="2" s="1"/>
  <c r="D18" i="4" s="1"/>
  <c r="O767" i="2"/>
  <c r="W855" i="2"/>
  <c r="W727" i="2"/>
  <c r="P830" i="2"/>
  <c r="P866" i="2"/>
  <c r="Z855" i="2"/>
  <c r="Z727" i="2"/>
  <c r="Y855" i="2"/>
  <c r="Y727" i="2"/>
  <c r="U734" i="2"/>
  <c r="U740" i="2" s="1"/>
  <c r="U775" i="2" s="1"/>
  <c r="U748" i="2"/>
  <c r="U754" i="2" s="1"/>
  <c r="C49" i="4" s="1"/>
  <c r="K46" i="14"/>
  <c r="O944" i="2"/>
  <c r="F70" i="4" s="1"/>
  <c r="O897" i="2"/>
  <c r="N830" i="2"/>
  <c r="N866" i="2"/>
  <c r="J830" i="2"/>
  <c r="J866" i="2"/>
  <c r="F835" i="2"/>
  <c r="F837" i="2" s="1"/>
  <c r="F823" i="2"/>
  <c r="F825" i="2" s="1"/>
  <c r="F815" i="2"/>
  <c r="K748" i="2"/>
  <c r="K754" i="2" s="1"/>
  <c r="C39" i="4" s="1"/>
  <c r="K734" i="2"/>
  <c r="K740" i="2" s="1"/>
  <c r="K775" i="2" s="1"/>
  <c r="X855" i="2"/>
  <c r="X727" i="2"/>
  <c r="F25" i="4"/>
  <c r="V778" i="2"/>
  <c r="D50" i="4" s="1"/>
  <c r="C11" i="4"/>
  <c r="H734" i="2"/>
  <c r="H740" i="2" s="1"/>
  <c r="H775" i="2" s="1"/>
  <c r="H748" i="2"/>
  <c r="H754" i="2" s="1"/>
  <c r="C36" i="4" s="1"/>
  <c r="G748" i="2"/>
  <c r="C10" i="4"/>
  <c r="G734" i="2"/>
  <c r="K22" i="14"/>
  <c r="L22" i="14" s="1"/>
  <c r="K15" i="14"/>
  <c r="E16" i="14"/>
  <c r="H830" i="2"/>
  <c r="H866" i="2"/>
  <c r="P748" i="2"/>
  <c r="P754" i="2" s="1"/>
  <c r="C44" i="4" s="1"/>
  <c r="P734" i="2"/>
  <c r="P740" i="2" s="1"/>
  <c r="P775" i="2" s="1"/>
  <c r="Q748" i="2"/>
  <c r="Q754" i="2" s="1"/>
  <c r="C45" i="4" s="1"/>
  <c r="Q734" i="2"/>
  <c r="Q740" i="2" s="1"/>
  <c r="Q775" i="2" s="1"/>
  <c r="R830" i="2"/>
  <c r="R866" i="2"/>
  <c r="S866" i="2"/>
  <c r="S830" i="2"/>
  <c r="V855" i="2"/>
  <c r="V727" i="2"/>
  <c r="Z778" i="2"/>
  <c r="R843" i="2" l="1"/>
  <c r="R916" i="2" s="1"/>
  <c r="N734" i="2"/>
  <c r="N740" i="2" s="1"/>
  <c r="N775" i="2" s="1"/>
  <c r="N748" i="2"/>
  <c r="N754" i="2" s="1"/>
  <c r="C42" i="4" s="1"/>
  <c r="S721" i="2"/>
  <c r="S725" i="2" s="1"/>
  <c r="D22" i="4" s="1"/>
  <c r="E22" i="4" s="1"/>
  <c r="G22" i="4" s="1"/>
  <c r="K46" i="27"/>
  <c r="L46" i="27" s="1"/>
  <c r="S767" i="2"/>
  <c r="S778" i="2" s="1"/>
  <c r="D47" i="4" s="1"/>
  <c r="L748" i="2"/>
  <c r="L754" i="2" s="1"/>
  <c r="C40" i="4" s="1"/>
  <c r="K46" i="31"/>
  <c r="L46" i="31" s="1"/>
  <c r="J748" i="2"/>
  <c r="J754" i="2" s="1"/>
  <c r="C38" i="4" s="1"/>
  <c r="R767" i="2"/>
  <c r="K47" i="27"/>
  <c r="L47" i="27" s="1"/>
  <c r="J734" i="2"/>
  <c r="J740" i="2" s="1"/>
  <c r="J775" i="2" s="1"/>
  <c r="K47" i="31"/>
  <c r="L47" i="31" s="1"/>
  <c r="L734" i="2"/>
  <c r="L740" i="2" s="1"/>
  <c r="L775" i="2" s="1"/>
  <c r="M734" i="2"/>
  <c r="M740" i="2" s="1"/>
  <c r="M775" i="2" s="1"/>
  <c r="M748" i="2"/>
  <c r="M754" i="2" s="1"/>
  <c r="C41" i="4" s="1"/>
  <c r="R795" i="2"/>
  <c r="AA709" i="2"/>
  <c r="AB709" i="2" s="1"/>
  <c r="R775" i="2"/>
  <c r="R776" i="2" s="1"/>
  <c r="I748" i="2"/>
  <c r="I754" i="2" s="1"/>
  <c r="C37" i="4" s="1"/>
  <c r="L897" i="2"/>
  <c r="L15" i="24"/>
  <c r="K47" i="32"/>
  <c r="L47" i="32" s="1"/>
  <c r="K46" i="32"/>
  <c r="L46" i="32" s="1"/>
  <c r="I734" i="2"/>
  <c r="I740" i="2" s="1"/>
  <c r="I775" i="2" s="1"/>
  <c r="K47" i="28"/>
  <c r="L47" i="28" s="1"/>
  <c r="K46" i="28"/>
  <c r="L46" i="28" s="1"/>
  <c r="K47" i="26"/>
  <c r="L47" i="26" s="1"/>
  <c r="K46" i="34"/>
  <c r="L46" i="34" s="1"/>
  <c r="E47" i="34"/>
  <c r="K47" i="34" s="1"/>
  <c r="L47" i="34" s="1"/>
  <c r="K46" i="26"/>
  <c r="L46" i="26" s="1"/>
  <c r="R810" i="2"/>
  <c r="L15" i="28"/>
  <c r="K16" i="28"/>
  <c r="L16" i="28" s="1"/>
  <c r="L15" i="31"/>
  <c r="K16" i="31"/>
  <c r="L16" i="31" s="1"/>
  <c r="L15" i="32"/>
  <c r="K16" i="32"/>
  <c r="L16" i="32" s="1"/>
  <c r="L15" i="27"/>
  <c r="K16" i="27"/>
  <c r="L16" i="27" s="1"/>
  <c r="L15" i="26"/>
  <c r="K16" i="26"/>
  <c r="L16" i="26" s="1"/>
  <c r="V857" i="2"/>
  <c r="V888" i="2" s="1"/>
  <c r="Z857" i="2"/>
  <c r="Z888" i="2" s="1"/>
  <c r="W857" i="2"/>
  <c r="M944" i="2"/>
  <c r="F68" i="4" s="1"/>
  <c r="T843" i="2"/>
  <c r="T916" i="2" s="1"/>
  <c r="T810" i="2"/>
  <c r="L46" i="14"/>
  <c r="L47" i="14"/>
  <c r="T795" i="2"/>
  <c r="T721" i="2"/>
  <c r="T725" i="2" s="1"/>
  <c r="T775" i="2"/>
  <c r="T767" i="2"/>
  <c r="X803" i="2"/>
  <c r="Y916" i="2"/>
  <c r="V916" i="2"/>
  <c r="Z916" i="2"/>
  <c r="Y803" i="2"/>
  <c r="W916" i="2"/>
  <c r="Y857" i="2"/>
  <c r="Y780" i="2"/>
  <c r="S795" i="2"/>
  <c r="W780" i="2"/>
  <c r="S810" i="2"/>
  <c r="S843" i="2"/>
  <c r="X780" i="2"/>
  <c r="O776" i="2"/>
  <c r="F828" i="2"/>
  <c r="F832" i="2" s="1"/>
  <c r="X857" i="2"/>
  <c r="X888" i="2" s="1"/>
  <c r="W803" i="2"/>
  <c r="Z803" i="2"/>
  <c r="V803" i="2"/>
  <c r="G754" i="2"/>
  <c r="H810" i="2"/>
  <c r="H795" i="2"/>
  <c r="H843" i="2"/>
  <c r="H767" i="2"/>
  <c r="H721" i="2"/>
  <c r="H725" i="2" s="1"/>
  <c r="V819" i="2"/>
  <c r="V780" i="2"/>
  <c r="X931" i="2"/>
  <c r="K767" i="2"/>
  <c r="K721" i="2"/>
  <c r="K725" i="2" s="1"/>
  <c r="D14" i="4" s="1"/>
  <c r="U810" i="2"/>
  <c r="U795" i="2"/>
  <c r="U843" i="2"/>
  <c r="E18" i="4"/>
  <c r="G18" i="4" s="1"/>
  <c r="R727" i="2"/>
  <c r="Z931" i="2"/>
  <c r="C25" i="4"/>
  <c r="W931" i="2"/>
  <c r="I897" i="2"/>
  <c r="I944" i="2"/>
  <c r="F64" i="4" s="1"/>
  <c r="T944" i="2"/>
  <c r="F75" i="4" s="1"/>
  <c r="T897" i="2"/>
  <c r="Z819" i="2"/>
  <c r="Z780" i="2"/>
  <c r="V931" i="2"/>
  <c r="S944" i="2"/>
  <c r="F74" i="4" s="1"/>
  <c r="S897" i="2"/>
  <c r="R944" i="2"/>
  <c r="F73" i="4" s="1"/>
  <c r="R897" i="2"/>
  <c r="Q767" i="2"/>
  <c r="Q721" i="2"/>
  <c r="Q725" i="2" s="1"/>
  <c r="D20" i="4" s="1"/>
  <c r="Q810" i="2"/>
  <c r="Q843" i="2"/>
  <c r="Q795" i="2"/>
  <c r="P721" i="2"/>
  <c r="P725" i="2" s="1"/>
  <c r="D19" i="4" s="1"/>
  <c r="E19" i="4" s="1"/>
  <c r="G19" i="4" s="1"/>
  <c r="P767" i="2"/>
  <c r="P843" i="2"/>
  <c r="P810" i="2"/>
  <c r="P795" i="2"/>
  <c r="H897" i="2"/>
  <c r="H944" i="2"/>
  <c r="F63" i="4" s="1"/>
  <c r="L15" i="14"/>
  <c r="K16" i="14"/>
  <c r="L16" i="14" s="1"/>
  <c r="N721" i="2"/>
  <c r="N725" i="2" s="1"/>
  <c r="D17" i="4" s="1"/>
  <c r="G740" i="2"/>
  <c r="G775" i="2" s="1"/>
  <c r="K810" i="2"/>
  <c r="K795" i="2"/>
  <c r="K843" i="2"/>
  <c r="J897" i="2"/>
  <c r="J944" i="2"/>
  <c r="F65" i="4" s="1"/>
  <c r="N944" i="2"/>
  <c r="F69" i="4" s="1"/>
  <c r="N897" i="2"/>
  <c r="U767" i="2"/>
  <c r="U721" i="2"/>
  <c r="U725" i="2" s="1"/>
  <c r="Y931" i="2"/>
  <c r="P944" i="2"/>
  <c r="F71" i="4" s="1"/>
  <c r="P897" i="2"/>
  <c r="O778" i="2"/>
  <c r="D43" i="4" s="1"/>
  <c r="O727" i="2"/>
  <c r="Q944" i="2"/>
  <c r="F72" i="4" s="1"/>
  <c r="Q897" i="2"/>
  <c r="U897" i="2"/>
  <c r="U944" i="2"/>
  <c r="F76" i="4" s="1"/>
  <c r="F35" i="4"/>
  <c r="F51" i="4" s="1"/>
  <c r="G830" i="2"/>
  <c r="AA830" i="2" s="1"/>
  <c r="AB830" i="2" s="1"/>
  <c r="G866" i="2"/>
  <c r="AA789" i="2"/>
  <c r="AB789" i="2" s="1"/>
  <c r="O916" i="2"/>
  <c r="K944" i="2"/>
  <c r="F66" i="4" s="1"/>
  <c r="K897" i="2"/>
  <c r="S776" i="2"/>
  <c r="N810" i="2" l="1"/>
  <c r="Y791" i="2"/>
  <c r="Y785" i="2"/>
  <c r="Y813" i="2" s="1"/>
  <c r="W791" i="2"/>
  <c r="W785" i="2"/>
  <c r="W813" i="2" s="1"/>
  <c r="Z791" i="2"/>
  <c r="Z785" i="2"/>
  <c r="Z813" i="2" s="1"/>
  <c r="X791" i="2"/>
  <c r="X785" i="2"/>
  <c r="X813" i="2" s="1"/>
  <c r="V791" i="2"/>
  <c r="V785" i="2"/>
  <c r="V813" i="2" s="1"/>
  <c r="N767" i="2"/>
  <c r="N778" i="2" s="1"/>
  <c r="D42" i="4" s="1"/>
  <c r="N843" i="2"/>
  <c r="N916" i="2" s="1"/>
  <c r="N795" i="2"/>
  <c r="I795" i="2"/>
  <c r="J795" i="2"/>
  <c r="S727" i="2"/>
  <c r="M721" i="2"/>
  <c r="M725" i="2" s="1"/>
  <c r="D16" i="4" s="1"/>
  <c r="E16" i="4" s="1"/>
  <c r="G16" i="4" s="1"/>
  <c r="M767" i="2"/>
  <c r="M778" i="2" s="1"/>
  <c r="D41" i="4" s="1"/>
  <c r="J843" i="2"/>
  <c r="J916" i="2" s="1"/>
  <c r="J767" i="2"/>
  <c r="J778" i="2" s="1"/>
  <c r="D38" i="4" s="1"/>
  <c r="J810" i="2"/>
  <c r="I843" i="2"/>
  <c r="I916" i="2" s="1"/>
  <c r="M843" i="2"/>
  <c r="M916" i="2" s="1"/>
  <c r="J721" i="2"/>
  <c r="J725" i="2" s="1"/>
  <c r="D13" i="4" s="1"/>
  <c r="E13" i="4" s="1"/>
  <c r="G13" i="4" s="1"/>
  <c r="I810" i="2"/>
  <c r="M810" i="2"/>
  <c r="M795" i="2"/>
  <c r="I721" i="2"/>
  <c r="I725" i="2" s="1"/>
  <c r="D12" i="4" s="1"/>
  <c r="E12" i="4" s="1"/>
  <c r="G12" i="4" s="1"/>
  <c r="L810" i="2"/>
  <c r="L843" i="2"/>
  <c r="L916" i="2" s="1"/>
  <c r="L795" i="2"/>
  <c r="R778" i="2"/>
  <c r="L767" i="2"/>
  <c r="L778" i="2" s="1"/>
  <c r="D40" i="4" s="1"/>
  <c r="L721" i="2"/>
  <c r="L725" i="2" s="1"/>
  <c r="D15" i="4" s="1"/>
  <c r="E15" i="4" s="1"/>
  <c r="G15" i="4" s="1"/>
  <c r="AA748" i="2"/>
  <c r="AB748" i="2" s="1"/>
  <c r="W888" i="2"/>
  <c r="I767" i="2"/>
  <c r="I778" i="2" s="1"/>
  <c r="D37" i="4" s="1"/>
  <c r="AA734" i="2"/>
  <c r="AB734" i="2" s="1"/>
  <c r="O855" i="2"/>
  <c r="O931" i="2" s="1"/>
  <c r="S855" i="2"/>
  <c r="S931" i="2" s="1"/>
  <c r="D23" i="4"/>
  <c r="E23" i="4" s="1"/>
  <c r="G23" i="4" s="1"/>
  <c r="E20" i="4"/>
  <c r="G20" i="4" s="1"/>
  <c r="T727" i="2"/>
  <c r="T776" i="2"/>
  <c r="T778" i="2"/>
  <c r="AA775" i="2"/>
  <c r="AB775" i="2" s="1"/>
  <c r="Y888" i="2"/>
  <c r="S916" i="2"/>
  <c r="O803" i="2"/>
  <c r="O857" i="2"/>
  <c r="O888" i="2" s="1"/>
  <c r="M776" i="2"/>
  <c r="P776" i="2"/>
  <c r="Q776" i="2"/>
  <c r="R857" i="2"/>
  <c r="R803" i="2"/>
  <c r="O819" i="2"/>
  <c r="O780" i="2"/>
  <c r="U776" i="2"/>
  <c r="U778" i="2"/>
  <c r="D49" i="4" s="1"/>
  <c r="AA740" i="2"/>
  <c r="AB740" i="2" s="1"/>
  <c r="G721" i="2"/>
  <c r="G725" i="2" s="1"/>
  <c r="G767" i="2"/>
  <c r="E14" i="4"/>
  <c r="G14" i="4" s="1"/>
  <c r="N727" i="2"/>
  <c r="J776" i="2"/>
  <c r="P916" i="2"/>
  <c r="P778" i="2"/>
  <c r="D44" i="4" s="1"/>
  <c r="E44" i="4" s="1"/>
  <c r="G44" i="4" s="1"/>
  <c r="P727" i="2"/>
  <c r="E17" i="4"/>
  <c r="G17" i="4" s="1"/>
  <c r="Q727" i="2"/>
  <c r="K727" i="2"/>
  <c r="S819" i="2"/>
  <c r="S780" i="2"/>
  <c r="D11" i="4"/>
  <c r="E11" i="4" s="1"/>
  <c r="G11" i="4" s="1"/>
  <c r="H727" i="2"/>
  <c r="H916" i="2"/>
  <c r="S857" i="2"/>
  <c r="S803" i="2"/>
  <c r="G944" i="2"/>
  <c r="G897" i="2"/>
  <c r="AA897" i="2" s="1"/>
  <c r="AA866" i="2"/>
  <c r="I776" i="2"/>
  <c r="D24" i="4"/>
  <c r="E24" i="4" s="1"/>
  <c r="G24" i="4" s="1"/>
  <c r="U727" i="2"/>
  <c r="K916" i="2"/>
  <c r="N776" i="2"/>
  <c r="Q916" i="2"/>
  <c r="Q778" i="2"/>
  <c r="D45" i="4" s="1"/>
  <c r="U916" i="2"/>
  <c r="K778" i="2"/>
  <c r="D39" i="4" s="1"/>
  <c r="K776" i="2"/>
  <c r="L776" i="2"/>
  <c r="H778" i="2"/>
  <c r="G795" i="2"/>
  <c r="G843" i="2"/>
  <c r="C35" i="4"/>
  <c r="C51" i="4" s="1"/>
  <c r="G810" i="2"/>
  <c r="AA754" i="2"/>
  <c r="H776" i="2"/>
  <c r="V823" i="2" l="1"/>
  <c r="V825" i="2" s="1"/>
  <c r="V835" i="2"/>
  <c r="V837" i="2" s="1"/>
  <c r="V815" i="2"/>
  <c r="Z835" i="2"/>
  <c r="Z837" i="2" s="1"/>
  <c r="Z823" i="2"/>
  <c r="Z825" i="2" s="1"/>
  <c r="Z815" i="2"/>
  <c r="Y823" i="2"/>
  <c r="Y825" i="2" s="1"/>
  <c r="Y835" i="2"/>
  <c r="Y837" i="2" s="1"/>
  <c r="Y815" i="2"/>
  <c r="X835" i="2"/>
  <c r="X837" i="2" s="1"/>
  <c r="X815" i="2"/>
  <c r="X823" i="2"/>
  <c r="X825" i="2" s="1"/>
  <c r="W823" i="2"/>
  <c r="W825" i="2" s="1"/>
  <c r="W835" i="2"/>
  <c r="W837" i="2" s="1"/>
  <c r="W815" i="2"/>
  <c r="H855" i="2"/>
  <c r="H931" i="2" s="1"/>
  <c r="D36" i="4"/>
  <c r="E36" i="4" s="1"/>
  <c r="G36" i="4" s="1"/>
  <c r="E47" i="4"/>
  <c r="G47" i="4" s="1"/>
  <c r="D46" i="4"/>
  <c r="E46" i="4" s="1"/>
  <c r="G46" i="4" s="1"/>
  <c r="T855" i="2"/>
  <c r="T931" i="2" s="1"/>
  <c r="D48" i="4"/>
  <c r="E48" i="4" s="1"/>
  <c r="G48" i="4" s="1"/>
  <c r="M727" i="2"/>
  <c r="AA810" i="2"/>
  <c r="AB810" i="2" s="1"/>
  <c r="I727" i="2"/>
  <c r="J727" i="2"/>
  <c r="R780" i="2"/>
  <c r="R791" i="2" s="1"/>
  <c r="R855" i="2"/>
  <c r="R931" i="2" s="1"/>
  <c r="R819" i="2"/>
  <c r="L727" i="2"/>
  <c r="Q803" i="2"/>
  <c r="M857" i="2"/>
  <c r="M888" i="2" s="1"/>
  <c r="E38" i="4"/>
  <c r="I855" i="2"/>
  <c r="I931" i="2" s="1"/>
  <c r="E42" i="4"/>
  <c r="G42" i="4" s="1"/>
  <c r="M855" i="2"/>
  <c r="M931" i="2" s="1"/>
  <c r="Q855" i="2"/>
  <c r="Q931" i="2" s="1"/>
  <c r="E45" i="4"/>
  <c r="P855" i="2"/>
  <c r="P931" i="2" s="1"/>
  <c r="E40" i="4"/>
  <c r="K855" i="2"/>
  <c r="K931" i="2" s="1"/>
  <c r="E41" i="4"/>
  <c r="G41" i="4" s="1"/>
  <c r="L855" i="2"/>
  <c r="L931" i="2" s="1"/>
  <c r="E43" i="4"/>
  <c r="N855" i="2"/>
  <c r="N931" i="2" s="1"/>
  <c r="E39" i="4"/>
  <c r="G39" i="4" s="1"/>
  <c r="J855" i="2"/>
  <c r="J931" i="2" s="1"/>
  <c r="E50" i="4"/>
  <c r="G50" i="4" s="1"/>
  <c r="U855" i="2"/>
  <c r="U931" i="2" s="1"/>
  <c r="AB866" i="2"/>
  <c r="AB897" i="2"/>
  <c r="T819" i="2"/>
  <c r="E49" i="4"/>
  <c r="T803" i="2"/>
  <c r="T857" i="2"/>
  <c r="T780" i="2"/>
  <c r="T785" i="2" s="1"/>
  <c r="T813" i="2" s="1"/>
  <c r="P803" i="2"/>
  <c r="Q857" i="2"/>
  <c r="Q888" i="2" s="1"/>
  <c r="M803" i="2"/>
  <c r="P857" i="2"/>
  <c r="P888" i="2" s="1"/>
  <c r="H857" i="2"/>
  <c r="H803" i="2"/>
  <c r="F62" i="4"/>
  <c r="F78" i="4" s="1"/>
  <c r="AA944" i="2"/>
  <c r="AB944" i="2" s="1"/>
  <c r="S888" i="2"/>
  <c r="S791" i="2"/>
  <c r="S785" i="2"/>
  <c r="S813" i="2" s="1"/>
  <c r="J857" i="2"/>
  <c r="J803" i="2"/>
  <c r="AA721" i="2"/>
  <c r="AB721" i="2" s="1"/>
  <c r="U819" i="2"/>
  <c r="U780" i="2"/>
  <c r="U857" i="2"/>
  <c r="U803" i="2"/>
  <c r="I819" i="2"/>
  <c r="I780" i="2"/>
  <c r="O791" i="2"/>
  <c r="O785" i="2"/>
  <c r="O813" i="2" s="1"/>
  <c r="R888" i="2"/>
  <c r="G776" i="2"/>
  <c r="AB754" i="2"/>
  <c r="G916" i="2"/>
  <c r="AA843" i="2"/>
  <c r="AB843" i="2" s="1"/>
  <c r="E37" i="4"/>
  <c r="H819" i="2"/>
  <c r="H780" i="2"/>
  <c r="L857" i="2"/>
  <c r="L803" i="2"/>
  <c r="L819" i="2"/>
  <c r="L780" i="2"/>
  <c r="K857" i="2"/>
  <c r="K803" i="2"/>
  <c r="K819" i="2"/>
  <c r="K780" i="2"/>
  <c r="M819" i="2"/>
  <c r="M780" i="2"/>
  <c r="Q819" i="2"/>
  <c r="Q780" i="2"/>
  <c r="J819" i="2"/>
  <c r="J780" i="2"/>
  <c r="N819" i="2"/>
  <c r="N780" i="2"/>
  <c r="N857" i="2"/>
  <c r="N803" i="2"/>
  <c r="I857" i="2"/>
  <c r="I803" i="2"/>
  <c r="P819" i="2"/>
  <c r="P780" i="2"/>
  <c r="AA767" i="2"/>
  <c r="AB767" i="2" s="1"/>
  <c r="G778" i="2"/>
  <c r="G855" i="2" s="1"/>
  <c r="AA795" i="2"/>
  <c r="AB795" i="2" s="1"/>
  <c r="X828" i="2" l="1"/>
  <c r="X832" i="2" s="1"/>
  <c r="Y828" i="2"/>
  <c r="Y832" i="2" s="1"/>
  <c r="Z828" i="2"/>
  <c r="Z832" i="2" s="1"/>
  <c r="W828" i="2"/>
  <c r="W832" i="2" s="1"/>
  <c r="V828" i="2"/>
  <c r="V832" i="2" s="1"/>
  <c r="G37" i="4"/>
  <c r="R785" i="2"/>
  <c r="R813" i="2" s="1"/>
  <c r="R823" i="2" s="1"/>
  <c r="R825" i="2" s="1"/>
  <c r="G40" i="4"/>
  <c r="G45" i="4"/>
  <c r="G49" i="4"/>
  <c r="G38" i="4"/>
  <c r="G43" i="4"/>
  <c r="T888" i="2"/>
  <c r="T791" i="2"/>
  <c r="G819" i="2"/>
  <c r="AA819" i="2" s="1"/>
  <c r="AB819" i="2" s="1"/>
  <c r="D35" i="4"/>
  <c r="D51" i="4" s="1"/>
  <c r="AA778" i="2"/>
  <c r="G780" i="2"/>
  <c r="P791" i="2"/>
  <c r="P785" i="2"/>
  <c r="P813" i="2" s="1"/>
  <c r="N785" i="2"/>
  <c r="N813" i="2" s="1"/>
  <c r="N791" i="2"/>
  <c r="Q791" i="2"/>
  <c r="Q785" i="2"/>
  <c r="Q813" i="2" s="1"/>
  <c r="M791" i="2"/>
  <c r="M785" i="2"/>
  <c r="M813" i="2" s="1"/>
  <c r="L888" i="2"/>
  <c r="G857" i="2"/>
  <c r="AA776" i="2"/>
  <c r="AB776" i="2" s="1"/>
  <c r="I791" i="2"/>
  <c r="I785" i="2"/>
  <c r="I813" i="2" s="1"/>
  <c r="U888" i="2"/>
  <c r="G931" i="2"/>
  <c r="D10" i="4"/>
  <c r="AA725" i="2"/>
  <c r="AB725" i="2" s="1"/>
  <c r="G727" i="2"/>
  <c r="AA727" i="2" s="1"/>
  <c r="AB727" i="2" s="1"/>
  <c r="J888" i="2"/>
  <c r="T835" i="2"/>
  <c r="T837" i="2" s="1"/>
  <c r="T823" i="2"/>
  <c r="T825" i="2" s="1"/>
  <c r="T815" i="2"/>
  <c r="AA919" i="2"/>
  <c r="AB919" i="2" s="1"/>
  <c r="I888" i="2"/>
  <c r="N888" i="2"/>
  <c r="J785" i="2"/>
  <c r="J813" i="2" s="1"/>
  <c r="J791" i="2"/>
  <c r="K791" i="2"/>
  <c r="K785" i="2"/>
  <c r="K813" i="2" s="1"/>
  <c r="K888" i="2"/>
  <c r="L785" i="2"/>
  <c r="L813" i="2" s="1"/>
  <c r="L791" i="2"/>
  <c r="H785" i="2"/>
  <c r="H813" i="2" s="1"/>
  <c r="H791" i="2"/>
  <c r="AA916" i="2"/>
  <c r="AB916" i="2" s="1"/>
  <c r="O823" i="2"/>
  <c r="O825" i="2" s="1"/>
  <c r="O835" i="2"/>
  <c r="O837" i="2" s="1"/>
  <c r="O815" i="2"/>
  <c r="U785" i="2"/>
  <c r="U813" i="2" s="1"/>
  <c r="U791" i="2"/>
  <c r="S835" i="2"/>
  <c r="S837" i="2" s="1"/>
  <c r="S823" i="2"/>
  <c r="S825" i="2" s="1"/>
  <c r="S815" i="2"/>
  <c r="H888" i="2"/>
  <c r="R835" i="2" l="1"/>
  <c r="R837" i="2" s="1"/>
  <c r="R815" i="2"/>
  <c r="R828" i="2" s="1"/>
  <c r="R832" i="2" s="1"/>
  <c r="O828" i="2"/>
  <c r="O832" i="2" s="1"/>
  <c r="T828" i="2"/>
  <c r="T832" i="2" s="1"/>
  <c r="U835" i="2"/>
  <c r="U837" i="2" s="1"/>
  <c r="U823" i="2"/>
  <c r="U825" i="2" s="1"/>
  <c r="U815" i="2"/>
  <c r="K835" i="2"/>
  <c r="K837" i="2" s="1"/>
  <c r="K823" i="2"/>
  <c r="K825" i="2" s="1"/>
  <c r="K815" i="2"/>
  <c r="I823" i="2"/>
  <c r="I825" i="2" s="1"/>
  <c r="I835" i="2"/>
  <c r="I837" i="2" s="1"/>
  <c r="I815" i="2"/>
  <c r="N823" i="2"/>
  <c r="N825" i="2" s="1"/>
  <c r="N835" i="2"/>
  <c r="N837" i="2" s="1"/>
  <c r="N815" i="2"/>
  <c r="P823" i="2"/>
  <c r="P825" i="2" s="1"/>
  <c r="P835" i="2"/>
  <c r="P837" i="2" s="1"/>
  <c r="P815" i="2"/>
  <c r="AB778" i="2"/>
  <c r="AA780" i="2"/>
  <c r="AB780" i="2" s="1"/>
  <c r="S828" i="2"/>
  <c r="S832" i="2" s="1"/>
  <c r="H835" i="2"/>
  <c r="H837" i="2" s="1"/>
  <c r="H823" i="2"/>
  <c r="H825" i="2" s="1"/>
  <c r="H815" i="2"/>
  <c r="L823" i="2"/>
  <c r="L825" i="2" s="1"/>
  <c r="L835" i="2"/>
  <c r="L837" i="2" s="1"/>
  <c r="L815" i="2"/>
  <c r="J835" i="2"/>
  <c r="J837" i="2" s="1"/>
  <c r="J823" i="2"/>
  <c r="J825" i="2" s="1"/>
  <c r="J815" i="2"/>
  <c r="D25" i="4"/>
  <c r="E10" i="4"/>
  <c r="AA855" i="2"/>
  <c r="AB855" i="2" s="1"/>
  <c r="AA797" i="2"/>
  <c r="AB797" i="2" s="1"/>
  <c r="G803" i="2"/>
  <c r="AA803" i="2" s="1"/>
  <c r="AB803" i="2" s="1"/>
  <c r="G888" i="2"/>
  <c r="AA888" i="2" s="1"/>
  <c r="AB888" i="2" s="1"/>
  <c r="AA857" i="2"/>
  <c r="AB857" i="2" s="1"/>
  <c r="M823" i="2"/>
  <c r="M825" i="2" s="1"/>
  <c r="M835" i="2"/>
  <c r="M837" i="2" s="1"/>
  <c r="M815" i="2"/>
  <c r="Q823" i="2"/>
  <c r="Q825" i="2" s="1"/>
  <c r="Q835" i="2"/>
  <c r="Q837" i="2" s="1"/>
  <c r="Q815" i="2"/>
  <c r="G785" i="2"/>
  <c r="G813" i="2" s="1"/>
  <c r="G791" i="2"/>
  <c r="E35" i="4"/>
  <c r="E51" i="4" l="1"/>
  <c r="G51" i="4" s="1"/>
  <c r="N828" i="2"/>
  <c r="N832" i="2" s="1"/>
  <c r="I828" i="2"/>
  <c r="I832" i="2" s="1"/>
  <c r="L828" i="2"/>
  <c r="L832" i="2" s="1"/>
  <c r="Q828" i="2"/>
  <c r="Q832" i="2" s="1"/>
  <c r="M828" i="2"/>
  <c r="M832" i="2" s="1"/>
  <c r="P828" i="2"/>
  <c r="P832" i="2" s="1"/>
  <c r="J828" i="2"/>
  <c r="J832" i="2" s="1"/>
  <c r="K828" i="2"/>
  <c r="K832" i="2" s="1"/>
  <c r="G835" i="2"/>
  <c r="G823" i="2"/>
  <c r="AA813" i="2"/>
  <c r="AB813" i="2" s="1"/>
  <c r="G815" i="2"/>
  <c r="G10" i="4"/>
  <c r="E25" i="4"/>
  <c r="G25" i="4" s="1"/>
  <c r="H828" i="2"/>
  <c r="H832" i="2" s="1"/>
  <c r="U828" i="2"/>
  <c r="U832" i="2" s="1"/>
  <c r="G35" i="4"/>
  <c r="AA931" i="2"/>
  <c r="AB931" i="2" s="1"/>
  <c r="AA815" i="2" l="1"/>
  <c r="AB815" i="2" s="1"/>
  <c r="AA823" i="2"/>
  <c r="AB823" i="2" s="1"/>
  <c r="G825" i="2"/>
  <c r="AA825" i="2" s="1"/>
  <c r="AB825" i="2" s="1"/>
  <c r="G837" i="2"/>
  <c r="AA835" i="2"/>
  <c r="AB835" i="2" s="1"/>
  <c r="G828" i="2" l="1"/>
  <c r="G832" i="2" l="1"/>
  <c r="AA828" i="2"/>
  <c r="AB828" i="2" s="1"/>
  <c r="F926" i="2" l="1"/>
  <c r="Y924" i="2"/>
  <c r="Y937" i="2" s="1"/>
  <c r="Y939" i="2" s="1"/>
  <c r="X924" i="2"/>
  <c r="V924" i="2"/>
  <c r="V937" i="2" s="1"/>
  <c r="Z924" i="2"/>
  <c r="Z926" i="2" s="1"/>
  <c r="W924" i="2"/>
  <c r="W937" i="2" s="1"/>
  <c r="W939" i="2" s="1"/>
  <c r="F939" i="2"/>
  <c r="F848" i="2"/>
  <c r="T848" i="2" s="1"/>
  <c r="T924" i="2" s="1"/>
  <c r="T937" i="2" s="1"/>
  <c r="J848" i="2" l="1"/>
  <c r="J924" i="2" s="1"/>
  <c r="J937" i="2" s="1"/>
  <c r="D26" i="26" s="1"/>
  <c r="H848" i="2"/>
  <c r="H879" i="2" s="1"/>
  <c r="V934" i="2"/>
  <c r="V935" i="2"/>
  <c r="T934" i="2"/>
  <c r="T935" i="2"/>
  <c r="F859" i="2"/>
  <c r="F886" i="2" s="1"/>
  <c r="O848" i="2"/>
  <c r="O859" i="2" s="1"/>
  <c r="V848" i="2"/>
  <c r="V859" i="2" s="1"/>
  <c r="K848" i="2"/>
  <c r="K924" i="2" s="1"/>
  <c r="K937" i="2" s="1"/>
  <c r="G848" i="2"/>
  <c r="G924" i="2" s="1"/>
  <c r="G937" i="2" s="1"/>
  <c r="D26" i="14" s="1"/>
  <c r="U848" i="2"/>
  <c r="U924" i="2" s="1"/>
  <c r="U937" i="2" s="1"/>
  <c r="R848" i="2"/>
  <c r="R859" i="2" s="1"/>
  <c r="R861" i="2" s="1"/>
  <c r="P848" i="2"/>
  <c r="P859" i="2" s="1"/>
  <c r="P861" i="2" s="1"/>
  <c r="Z848" i="2"/>
  <c r="Z850" i="2" s="1"/>
  <c r="Z875" i="2" s="1"/>
  <c r="F850" i="2"/>
  <c r="F875" i="2" s="1"/>
  <c r="N848" i="2"/>
  <c r="N879" i="2" s="1"/>
  <c r="Y926" i="2"/>
  <c r="Y942" i="2" s="1"/>
  <c r="Y946" i="2" s="1"/>
  <c r="V926" i="2"/>
  <c r="C77" i="4" s="1"/>
  <c r="W926" i="2"/>
  <c r="W942" i="2" s="1"/>
  <c r="W946" i="2" s="1"/>
  <c r="T850" i="2"/>
  <c r="T859" i="2"/>
  <c r="T879" i="2"/>
  <c r="T926" i="2"/>
  <c r="Z937" i="2"/>
  <c r="Z939" i="2" s="1"/>
  <c r="Z942" i="2" s="1"/>
  <c r="Z946" i="2" s="1"/>
  <c r="Y848" i="2"/>
  <c r="F879" i="2"/>
  <c r="W848" i="2"/>
  <c r="L848" i="2"/>
  <c r="M848" i="2"/>
  <c r="S848" i="2"/>
  <c r="X848" i="2"/>
  <c r="I848" i="2"/>
  <c r="Q848" i="2"/>
  <c r="F942" i="2"/>
  <c r="X937" i="2"/>
  <c r="X939" i="2" s="1"/>
  <c r="X926" i="2"/>
  <c r="F861" i="2" l="1"/>
  <c r="F864" i="2" s="1"/>
  <c r="F868" i="2" s="1"/>
  <c r="H850" i="2"/>
  <c r="H875" i="2" s="1"/>
  <c r="J879" i="2"/>
  <c r="J934" i="2"/>
  <c r="J850" i="2"/>
  <c r="J875" i="2" s="1"/>
  <c r="H924" i="2"/>
  <c r="H937" i="2" s="1"/>
  <c r="H859" i="2"/>
  <c r="H886" i="2" s="1"/>
  <c r="J926" i="2"/>
  <c r="C49" i="32" s="1"/>
  <c r="J859" i="2"/>
  <c r="J861" i="2" s="1"/>
  <c r="J864" i="2" s="1"/>
  <c r="J868" i="2" s="1"/>
  <c r="J935" i="2"/>
  <c r="V939" i="2"/>
  <c r="K934" i="2"/>
  <c r="K935" i="2"/>
  <c r="U926" i="2"/>
  <c r="C76" i="4" s="1"/>
  <c r="U935" i="2"/>
  <c r="U934" i="2"/>
  <c r="G934" i="2"/>
  <c r="G935" i="2"/>
  <c r="K926" i="2"/>
  <c r="C66" i="4" s="1"/>
  <c r="C75" i="4"/>
  <c r="K850" i="2"/>
  <c r="K875" i="2" s="1"/>
  <c r="O924" i="2"/>
  <c r="O937" i="2" s="1"/>
  <c r="V850" i="2"/>
  <c r="V875" i="2" s="1"/>
  <c r="O850" i="2"/>
  <c r="O875" i="2" s="1"/>
  <c r="O879" i="2"/>
  <c r="G926" i="2"/>
  <c r="G850" i="2"/>
  <c r="G875" i="2" s="1"/>
  <c r="D26" i="32"/>
  <c r="U879" i="2"/>
  <c r="G859" i="2"/>
  <c r="G861" i="2" s="1"/>
  <c r="U850" i="2"/>
  <c r="U875" i="2" s="1"/>
  <c r="U859" i="2"/>
  <c r="U861" i="2" s="1"/>
  <c r="P924" i="2"/>
  <c r="P937" i="2" s="1"/>
  <c r="P879" i="2"/>
  <c r="R879" i="2"/>
  <c r="P886" i="2"/>
  <c r="P850" i="2"/>
  <c r="P875" i="2" s="1"/>
  <c r="N859" i="2"/>
  <c r="N886" i="2" s="1"/>
  <c r="G879" i="2"/>
  <c r="K859" i="2"/>
  <c r="K886" i="2" s="1"/>
  <c r="R886" i="2"/>
  <c r="K879" i="2"/>
  <c r="N850" i="2"/>
  <c r="N924" i="2"/>
  <c r="N937" i="2" s="1"/>
  <c r="R850" i="2"/>
  <c r="R864" i="2" s="1"/>
  <c r="R868" i="2" s="1"/>
  <c r="Z859" i="2"/>
  <c r="Z861" i="2" s="1"/>
  <c r="Z864" i="2" s="1"/>
  <c r="Z868" i="2" s="1"/>
  <c r="R924" i="2"/>
  <c r="R937" i="2" s="1"/>
  <c r="X942" i="2"/>
  <c r="X946" i="2" s="1"/>
  <c r="I859" i="2"/>
  <c r="I879" i="2"/>
  <c r="I924" i="2"/>
  <c r="I937" i="2" s="1"/>
  <c r="I850" i="2"/>
  <c r="Y850" i="2"/>
  <c r="Y859" i="2"/>
  <c r="S879" i="2"/>
  <c r="S850" i="2"/>
  <c r="S924" i="2"/>
  <c r="S937" i="2" s="1"/>
  <c r="S859" i="2"/>
  <c r="L859" i="2"/>
  <c r="L924" i="2"/>
  <c r="L937" i="2" s="1"/>
  <c r="L850" i="2"/>
  <c r="L879" i="2"/>
  <c r="V861" i="2"/>
  <c r="V886" i="2"/>
  <c r="O861" i="2"/>
  <c r="O886" i="2"/>
  <c r="T861" i="2"/>
  <c r="T864" i="2" s="1"/>
  <c r="T868" i="2" s="1"/>
  <c r="T886" i="2"/>
  <c r="X859" i="2"/>
  <c r="X850" i="2"/>
  <c r="F946" i="2"/>
  <c r="W859" i="2"/>
  <c r="W850" i="2"/>
  <c r="AA848" i="2"/>
  <c r="AB848" i="2" s="1"/>
  <c r="T939" i="2"/>
  <c r="D75" i="4" s="1"/>
  <c r="T875" i="2"/>
  <c r="Q879" i="2"/>
  <c r="Q859" i="2"/>
  <c r="Q924" i="2"/>
  <c r="Q937" i="2" s="1"/>
  <c r="Q850" i="2"/>
  <c r="V879" i="2"/>
  <c r="Z879" i="2"/>
  <c r="Y879" i="2"/>
  <c r="W879" i="2"/>
  <c r="X879" i="2"/>
  <c r="M850" i="2"/>
  <c r="M879" i="2"/>
  <c r="M924" i="2"/>
  <c r="M937" i="2" s="1"/>
  <c r="M859" i="2"/>
  <c r="H861" i="2" l="1"/>
  <c r="H864" i="2" s="1"/>
  <c r="H868" i="2" s="1"/>
  <c r="H926" i="2"/>
  <c r="C49" i="24" s="1"/>
  <c r="H934" i="2"/>
  <c r="H935" i="2"/>
  <c r="J939" i="2"/>
  <c r="D65" i="4" s="1"/>
  <c r="C49" i="31"/>
  <c r="C49" i="26"/>
  <c r="J886" i="2"/>
  <c r="C65" i="4"/>
  <c r="C49" i="28"/>
  <c r="D36" i="26"/>
  <c r="F36" i="26" s="1"/>
  <c r="F39" i="26" s="1"/>
  <c r="V942" i="2"/>
  <c r="V946" i="2" s="1"/>
  <c r="D77" i="4"/>
  <c r="E77" i="4" s="1"/>
  <c r="G77" i="4" s="1"/>
  <c r="D36" i="14"/>
  <c r="D39" i="14" s="1"/>
  <c r="D36" i="32"/>
  <c r="D39" i="32" s="1"/>
  <c r="U939" i="2"/>
  <c r="D76" i="4" s="1"/>
  <c r="E76" i="4" s="1"/>
  <c r="Q934" i="2"/>
  <c r="Q935" i="2"/>
  <c r="M935" i="2"/>
  <c r="M934" i="2"/>
  <c r="I935" i="2"/>
  <c r="I934" i="2"/>
  <c r="N934" i="2"/>
  <c r="N935" i="2"/>
  <c r="P934" i="2"/>
  <c r="P935" i="2"/>
  <c r="O934" i="2"/>
  <c r="O935" i="2"/>
  <c r="L934" i="2"/>
  <c r="L935" i="2"/>
  <c r="S934" i="2"/>
  <c r="S935" i="2"/>
  <c r="R934" i="2"/>
  <c r="R935" i="2"/>
  <c r="G939" i="2"/>
  <c r="G942" i="2" s="1"/>
  <c r="G946" i="2" s="1"/>
  <c r="D18" i="14" s="1"/>
  <c r="C49" i="14"/>
  <c r="E75" i="4"/>
  <c r="G75" i="4" s="1"/>
  <c r="I49" i="4" s="1"/>
  <c r="O926" i="2"/>
  <c r="G864" i="2"/>
  <c r="G878" i="2" s="1"/>
  <c r="G881" i="2" s="1"/>
  <c r="G886" i="2"/>
  <c r="C62" i="4"/>
  <c r="V864" i="2"/>
  <c r="V868" i="2" s="1"/>
  <c r="O864" i="2"/>
  <c r="O868" i="2" s="1"/>
  <c r="K939" i="2"/>
  <c r="K861" i="2"/>
  <c r="K864" i="2" s="1"/>
  <c r="K868" i="2" s="1"/>
  <c r="U864" i="2"/>
  <c r="U868" i="2" s="1"/>
  <c r="R926" i="2"/>
  <c r="P926" i="2"/>
  <c r="Z886" i="2"/>
  <c r="U886" i="2"/>
  <c r="R875" i="2"/>
  <c r="P864" i="2"/>
  <c r="P868" i="2" s="1"/>
  <c r="N926" i="2"/>
  <c r="C69" i="4" s="1"/>
  <c r="N875" i="2"/>
  <c r="N861" i="2"/>
  <c r="N864" i="2" s="1"/>
  <c r="AA850" i="2"/>
  <c r="AB850" i="2" s="1"/>
  <c r="AA879" i="2"/>
  <c r="AB879" i="2" s="1"/>
  <c r="Q886" i="2"/>
  <c r="Q861" i="2"/>
  <c r="Q864" i="2" s="1"/>
  <c r="Q868" i="2" s="1"/>
  <c r="F878" i="2"/>
  <c r="Z878" i="2"/>
  <c r="R878" i="2"/>
  <c r="J878" i="2"/>
  <c r="J881" i="2" s="1"/>
  <c r="T878" i="2"/>
  <c r="Y875" i="2"/>
  <c r="M875" i="2"/>
  <c r="L875" i="2"/>
  <c r="I875" i="2"/>
  <c r="Q875" i="2"/>
  <c r="L926" i="2"/>
  <c r="C67" i="4" s="1"/>
  <c r="S861" i="2"/>
  <c r="S864" i="2" s="1"/>
  <c r="S886" i="2"/>
  <c r="D26" i="34"/>
  <c r="I926" i="2"/>
  <c r="C49" i="34" s="1"/>
  <c r="Y861" i="2"/>
  <c r="Y864" i="2" s="1"/>
  <c r="Y886" i="2"/>
  <c r="X875" i="2"/>
  <c r="L861" i="2"/>
  <c r="L864" i="2" s="1"/>
  <c r="L868" i="2" s="1"/>
  <c r="L886" i="2"/>
  <c r="S926" i="2"/>
  <c r="C74" i="4" s="1"/>
  <c r="M861" i="2"/>
  <c r="M864" i="2" s="1"/>
  <c r="M868" i="2" s="1"/>
  <c r="M886" i="2"/>
  <c r="W875" i="2"/>
  <c r="M926" i="2"/>
  <c r="C68" i="4" s="1"/>
  <c r="Q926" i="2"/>
  <c r="C72" i="4" s="1"/>
  <c r="W861" i="2"/>
  <c r="W864" i="2" s="1"/>
  <c r="W886" i="2"/>
  <c r="AA859" i="2"/>
  <c r="AB859" i="2" s="1"/>
  <c r="AA924" i="2"/>
  <c r="AB924" i="2" s="1"/>
  <c r="T942" i="2"/>
  <c r="T946" i="2" s="1"/>
  <c r="D26" i="24"/>
  <c r="X886" i="2"/>
  <c r="X861" i="2"/>
  <c r="X864" i="2" s="1"/>
  <c r="X868" i="2" s="1"/>
  <c r="S875" i="2"/>
  <c r="I861" i="2"/>
  <c r="I886" i="2"/>
  <c r="D36" i="24" l="1"/>
  <c r="I36" i="24" s="1"/>
  <c r="I39" i="24" s="1"/>
  <c r="C63" i="4"/>
  <c r="H878" i="2"/>
  <c r="H890" i="2" s="1"/>
  <c r="H892" i="2" s="1"/>
  <c r="H939" i="2"/>
  <c r="D63" i="4" s="1"/>
  <c r="J942" i="2"/>
  <c r="J946" i="2" s="1"/>
  <c r="D18" i="26" s="1"/>
  <c r="E18" i="26" s="1"/>
  <c r="E65" i="4"/>
  <c r="G65" i="4" s="1"/>
  <c r="I39" i="4" s="1"/>
  <c r="D39" i="26"/>
  <c r="E36" i="26"/>
  <c r="E39" i="26" s="1"/>
  <c r="H36" i="26"/>
  <c r="H39" i="26" s="1"/>
  <c r="G36" i="26"/>
  <c r="G39" i="26" s="1"/>
  <c r="I36" i="26"/>
  <c r="I39" i="26" s="1"/>
  <c r="J36" i="26"/>
  <c r="J39" i="26" s="1"/>
  <c r="G76" i="4"/>
  <c r="I50" i="4" s="1"/>
  <c r="G36" i="32"/>
  <c r="G39" i="32" s="1"/>
  <c r="I36" i="14"/>
  <c r="I39" i="14" s="1"/>
  <c r="F36" i="32"/>
  <c r="F39" i="32" s="1"/>
  <c r="J36" i="32"/>
  <c r="J39" i="32" s="1"/>
  <c r="H36" i="32"/>
  <c r="H39" i="32" s="1"/>
  <c r="I36" i="32"/>
  <c r="I39" i="32" s="1"/>
  <c r="E36" i="14"/>
  <c r="J36" i="14"/>
  <c r="J39" i="14" s="1"/>
  <c r="H36" i="14"/>
  <c r="H39" i="14" s="1"/>
  <c r="F36" i="14"/>
  <c r="F39" i="14" s="1"/>
  <c r="G36" i="14"/>
  <c r="G39" i="14" s="1"/>
  <c r="E36" i="32"/>
  <c r="D36" i="31"/>
  <c r="J36" i="31" s="1"/>
  <c r="J39" i="31" s="1"/>
  <c r="D36" i="34"/>
  <c r="F36" i="34" s="1"/>
  <c r="F39" i="34" s="1"/>
  <c r="D36" i="28"/>
  <c r="I36" i="28" s="1"/>
  <c r="I39" i="28" s="1"/>
  <c r="D36" i="27"/>
  <c r="H36" i="27" s="1"/>
  <c r="Q939" i="2"/>
  <c r="D72" i="4" s="1"/>
  <c r="E72" i="4" s="1"/>
  <c r="G72" i="4" s="1"/>
  <c r="I46" i="4" s="1"/>
  <c r="AA935" i="2"/>
  <c r="AB935" i="2" s="1"/>
  <c r="U942" i="2"/>
  <c r="U946" i="2" s="1"/>
  <c r="S939" i="2"/>
  <c r="D74" i="4" s="1"/>
  <c r="AA934" i="2"/>
  <c r="AB934" i="2" s="1"/>
  <c r="R939" i="2"/>
  <c r="D73" i="4" s="1"/>
  <c r="D62" i="4"/>
  <c r="N939" i="2"/>
  <c r="D69" i="4" s="1"/>
  <c r="E69" i="4" s="1"/>
  <c r="D26" i="27"/>
  <c r="M939" i="2"/>
  <c r="D68" i="4" s="1"/>
  <c r="E68" i="4" s="1"/>
  <c r="D26" i="31"/>
  <c r="C64" i="4"/>
  <c r="C49" i="27"/>
  <c r="L939" i="2"/>
  <c r="D67" i="4" s="1"/>
  <c r="E67" i="4" s="1"/>
  <c r="D26" i="28"/>
  <c r="I939" i="2"/>
  <c r="D64" i="4" s="1"/>
  <c r="C71" i="4"/>
  <c r="D66" i="4"/>
  <c r="E66" i="4" s="1"/>
  <c r="G66" i="4" s="1"/>
  <c r="I40" i="4" s="1"/>
  <c r="C73" i="4"/>
  <c r="C70" i="4"/>
  <c r="G868" i="2"/>
  <c r="O939" i="2"/>
  <c r="D70" i="4" s="1"/>
  <c r="O878" i="2"/>
  <c r="O881" i="2" s="1"/>
  <c r="O903" i="2" s="1"/>
  <c r="K942" i="2"/>
  <c r="K946" i="2" s="1"/>
  <c r="D18" i="32" s="1"/>
  <c r="V878" i="2"/>
  <c r="V905" i="2" s="1"/>
  <c r="V907" i="2" s="1"/>
  <c r="K878" i="2"/>
  <c r="K890" i="2" s="1"/>
  <c r="K892" i="2" s="1"/>
  <c r="U878" i="2"/>
  <c r="U881" i="2" s="1"/>
  <c r="U903" i="2" s="1"/>
  <c r="P939" i="2"/>
  <c r="D71" i="4" s="1"/>
  <c r="R881" i="2"/>
  <c r="R903" i="2" s="1"/>
  <c r="P878" i="2"/>
  <c r="P881" i="2" s="1"/>
  <c r="P903" i="2" s="1"/>
  <c r="N868" i="2"/>
  <c r="N878" i="2"/>
  <c r="N881" i="2" s="1"/>
  <c r="N903" i="2" s="1"/>
  <c r="AA886" i="2"/>
  <c r="AB886" i="2" s="1"/>
  <c r="AA861" i="2"/>
  <c r="AB861" i="2" s="1"/>
  <c r="AA875" i="2"/>
  <c r="AB875" i="2" s="1"/>
  <c r="W868" i="2"/>
  <c r="W878" i="2"/>
  <c r="W881" i="2" s="1"/>
  <c r="S868" i="2"/>
  <c r="S878" i="2"/>
  <c r="S881" i="2" s="1"/>
  <c r="Y868" i="2"/>
  <c r="Y878" i="2"/>
  <c r="G903" i="2"/>
  <c r="L878" i="2"/>
  <c r="T909" i="2"/>
  <c r="T890" i="2"/>
  <c r="T892" i="2" s="1"/>
  <c r="T905" i="2"/>
  <c r="Z905" i="2"/>
  <c r="Z907" i="2" s="1"/>
  <c r="Z890" i="2"/>
  <c r="Z892" i="2" s="1"/>
  <c r="Z881" i="2"/>
  <c r="I864" i="2"/>
  <c r="F909" i="2"/>
  <c r="W909" i="2" s="1"/>
  <c r="F905" i="2"/>
  <c r="F890" i="2"/>
  <c r="F881" i="2"/>
  <c r="Q878" i="2"/>
  <c r="D20" i="14"/>
  <c r="D24" i="14" s="1"/>
  <c r="D41" i="14" s="1"/>
  <c r="D49" i="14" s="1"/>
  <c r="E18" i="14"/>
  <c r="J890" i="2"/>
  <c r="J892" i="2" s="1"/>
  <c r="J895" i="2" s="1"/>
  <c r="J899" i="2" s="1"/>
  <c r="J909" i="2"/>
  <c r="J905" i="2"/>
  <c r="G909" i="2"/>
  <c r="G905" i="2"/>
  <c r="G907" i="2" s="1"/>
  <c r="G890" i="2"/>
  <c r="AA937" i="2"/>
  <c r="AB937" i="2" s="1"/>
  <c r="R905" i="2"/>
  <c r="R909" i="2"/>
  <c r="R890" i="2"/>
  <c r="R892" i="2" s="1"/>
  <c r="X878" i="2"/>
  <c r="X881" i="2" s="1"/>
  <c r="J903" i="2"/>
  <c r="T881" i="2"/>
  <c r="M878" i="2"/>
  <c r="AA926" i="2"/>
  <c r="AB926" i="2" s="1"/>
  <c r="J36" i="24" l="1"/>
  <c r="J39" i="24" s="1"/>
  <c r="D39" i="24"/>
  <c r="F36" i="24"/>
  <c r="F39" i="24" s="1"/>
  <c r="E36" i="24"/>
  <c r="E39" i="24" s="1"/>
  <c r="K39" i="24" s="1"/>
  <c r="L39" i="24" s="1"/>
  <c r="H36" i="24"/>
  <c r="H39" i="24" s="1"/>
  <c r="G36" i="24"/>
  <c r="G39" i="24" s="1"/>
  <c r="H942" i="2"/>
  <c r="H946" i="2" s="1"/>
  <c r="D18" i="24" s="1"/>
  <c r="E18" i="24" s="1"/>
  <c r="D20" i="26"/>
  <c r="D24" i="26" s="1"/>
  <c r="D41" i="26" s="1"/>
  <c r="D49" i="26" s="1"/>
  <c r="E63" i="4"/>
  <c r="G63" i="4" s="1"/>
  <c r="I37" i="4" s="1"/>
  <c r="H909" i="2"/>
  <c r="H905" i="2"/>
  <c r="H881" i="2"/>
  <c r="H895" i="2" s="1"/>
  <c r="H899" i="2" s="1"/>
  <c r="K39" i="26"/>
  <c r="L39" i="26" s="1"/>
  <c r="K36" i="26"/>
  <c r="L36" i="26" s="1"/>
  <c r="C78" i="4"/>
  <c r="E62" i="4"/>
  <c r="D78" i="4"/>
  <c r="K36" i="32"/>
  <c r="L36" i="32" s="1"/>
  <c r="K36" i="14"/>
  <c r="L36" i="14" s="1"/>
  <c r="E39" i="14"/>
  <c r="K39" i="14" s="1"/>
  <c r="L39" i="14" s="1"/>
  <c r="E39" i="32"/>
  <c r="K39" i="32" s="1"/>
  <c r="L39" i="32" s="1"/>
  <c r="I942" i="2"/>
  <c r="I946" i="2" s="1"/>
  <c r="D18" i="34" s="1"/>
  <c r="E18" i="34" s="1"/>
  <c r="Q942" i="2"/>
  <c r="Q946" i="2" s="1"/>
  <c r="G36" i="28"/>
  <c r="G39" i="28" s="1"/>
  <c r="J36" i="34"/>
  <c r="J39" i="34" s="1"/>
  <c r="D39" i="34"/>
  <c r="E36" i="31"/>
  <c r="E39" i="31" s="1"/>
  <c r="H36" i="28"/>
  <c r="H39" i="28" s="1"/>
  <c r="G36" i="34"/>
  <c r="G39" i="34" s="1"/>
  <c r="I36" i="34"/>
  <c r="I39" i="34" s="1"/>
  <c r="E36" i="34"/>
  <c r="E39" i="34" s="1"/>
  <c r="E36" i="27"/>
  <c r="E39" i="27" s="1"/>
  <c r="H36" i="34"/>
  <c r="H39" i="34" s="1"/>
  <c r="J36" i="28"/>
  <c r="J39" i="28" s="1"/>
  <c r="F36" i="28"/>
  <c r="F39" i="28" s="1"/>
  <c r="F36" i="27"/>
  <c r="F39" i="27" s="1"/>
  <c r="E36" i="28"/>
  <c r="E39" i="28" s="1"/>
  <c r="D39" i="28"/>
  <c r="S942" i="2"/>
  <c r="S946" i="2" s="1"/>
  <c r="J36" i="27"/>
  <c r="J39" i="27" s="1"/>
  <c r="G36" i="27"/>
  <c r="G39" i="27" s="1"/>
  <c r="D39" i="27"/>
  <c r="I36" i="31"/>
  <c r="I39" i="31" s="1"/>
  <c r="G36" i="31"/>
  <c r="G39" i="31" s="1"/>
  <c r="R942" i="2"/>
  <c r="R946" i="2" s="1"/>
  <c r="E73" i="4"/>
  <c r="G73" i="4" s="1"/>
  <c r="I47" i="4" s="1"/>
  <c r="D39" i="31"/>
  <c r="F36" i="31"/>
  <c r="F39" i="31" s="1"/>
  <c r="H36" i="31"/>
  <c r="H39" i="31" s="1"/>
  <c r="H39" i="27"/>
  <c r="I36" i="27"/>
  <c r="I39" i="27" s="1"/>
  <c r="E64" i="4"/>
  <c r="G64" i="4" s="1"/>
  <c r="I38" i="4" s="1"/>
  <c r="M942" i="2"/>
  <c r="M946" i="2" s="1"/>
  <c r="D18" i="31" s="1"/>
  <c r="D20" i="31" s="1"/>
  <c r="D24" i="31" s="1"/>
  <c r="L942" i="2"/>
  <c r="L946" i="2" s="1"/>
  <c r="D18" i="28" s="1"/>
  <c r="D20" i="28" s="1"/>
  <c r="D24" i="28" s="1"/>
  <c r="N942" i="2"/>
  <c r="N946" i="2" s="1"/>
  <c r="D18" i="27" s="1"/>
  <c r="E18" i="27" s="1"/>
  <c r="F18" i="26"/>
  <c r="E20" i="26"/>
  <c r="E18" i="32"/>
  <c r="D20" i="32"/>
  <c r="D24" i="32" s="1"/>
  <c r="D41" i="32" s="1"/>
  <c r="D49" i="32" s="1"/>
  <c r="E70" i="4"/>
  <c r="G70" i="4" s="1"/>
  <c r="I44" i="4" s="1"/>
  <c r="E71" i="4"/>
  <c r="G71" i="4" s="1"/>
  <c r="I45" i="4" s="1"/>
  <c r="G67" i="4"/>
  <c r="I41" i="4" s="1"/>
  <c r="K881" i="2"/>
  <c r="K895" i="2" s="1"/>
  <c r="K899" i="2" s="1"/>
  <c r="K909" i="2"/>
  <c r="K905" i="2"/>
  <c r="O942" i="2"/>
  <c r="O946" i="2" s="1"/>
  <c r="O905" i="2"/>
  <c r="O907" i="2" s="1"/>
  <c r="V881" i="2"/>
  <c r="V890" i="2"/>
  <c r="V892" i="2" s="1"/>
  <c r="P942" i="2"/>
  <c r="P946" i="2" s="1"/>
  <c r="P905" i="2"/>
  <c r="P907" i="2" s="1"/>
  <c r="O890" i="2"/>
  <c r="O892" i="2" s="1"/>
  <c r="O895" i="2" s="1"/>
  <c r="O899" i="2" s="1"/>
  <c r="O909" i="2"/>
  <c r="P890" i="2"/>
  <c r="P892" i="2" s="1"/>
  <c r="P895" i="2" s="1"/>
  <c r="P899" i="2" s="1"/>
  <c r="U905" i="2"/>
  <c r="U907" i="2" s="1"/>
  <c r="P909" i="2"/>
  <c r="AA939" i="2"/>
  <c r="AB939" i="2" s="1"/>
  <c r="U890" i="2"/>
  <c r="U892" i="2" s="1"/>
  <c r="U895" i="2" s="1"/>
  <c r="U899" i="2" s="1"/>
  <c r="U909" i="2"/>
  <c r="N890" i="2"/>
  <c r="N892" i="2" s="1"/>
  <c r="N895" i="2" s="1"/>
  <c r="N899" i="2" s="1"/>
  <c r="N909" i="2"/>
  <c r="G68" i="4"/>
  <c r="I42" i="4" s="1"/>
  <c r="R895" i="2"/>
  <c r="R899" i="2" s="1"/>
  <c r="N905" i="2"/>
  <c r="N907" i="2" s="1"/>
  <c r="J907" i="2"/>
  <c r="Z895" i="2"/>
  <c r="Z899" i="2" s="1"/>
  <c r="R907" i="2"/>
  <c r="S903" i="2"/>
  <c r="T903" i="2"/>
  <c r="T907" i="2" s="1"/>
  <c r="T895" i="2"/>
  <c r="T899" i="2" s="1"/>
  <c r="F903" i="2"/>
  <c r="F907" i="2" s="1"/>
  <c r="I868" i="2"/>
  <c r="AA864" i="2"/>
  <c r="AB864" i="2" s="1"/>
  <c r="I878" i="2"/>
  <c r="M890" i="2"/>
  <c r="M892" i="2" s="1"/>
  <c r="M909" i="2"/>
  <c r="M905" i="2"/>
  <c r="F892" i="2"/>
  <c r="Y890" i="2"/>
  <c r="Y892" i="2" s="1"/>
  <c r="Y905" i="2"/>
  <c r="Y907" i="2" s="1"/>
  <c r="L909" i="2"/>
  <c r="L890" i="2"/>
  <c r="L892" i="2" s="1"/>
  <c r="L905" i="2"/>
  <c r="L881" i="2"/>
  <c r="F18" i="14"/>
  <c r="E20" i="14"/>
  <c r="Y881" i="2"/>
  <c r="S890" i="2"/>
  <c r="S892" i="2" s="1"/>
  <c r="S895" i="2" s="1"/>
  <c r="S899" i="2" s="1"/>
  <c r="S905" i="2"/>
  <c r="S909" i="2"/>
  <c r="X905" i="2"/>
  <c r="X907" i="2" s="1"/>
  <c r="X890" i="2"/>
  <c r="X892" i="2" s="1"/>
  <c r="X895" i="2" s="1"/>
  <c r="X899" i="2" s="1"/>
  <c r="W890" i="2"/>
  <c r="W892" i="2" s="1"/>
  <c r="W895" i="2" s="1"/>
  <c r="W899" i="2" s="1"/>
  <c r="W905" i="2"/>
  <c r="W907" i="2" s="1"/>
  <c r="H903" i="2"/>
  <c r="G892" i="2"/>
  <c r="M881" i="2"/>
  <c r="Q909" i="2"/>
  <c r="Q890" i="2"/>
  <c r="Q892" i="2" s="1"/>
  <c r="Q905" i="2"/>
  <c r="Q881" i="2"/>
  <c r="K36" i="24" l="1"/>
  <c r="L36" i="24" s="1"/>
  <c r="H907" i="2"/>
  <c r="G62" i="4"/>
  <c r="I35" i="4" s="1"/>
  <c r="D20" i="34"/>
  <c r="D24" i="34" s="1"/>
  <c r="D41" i="34" s="1"/>
  <c r="D49" i="34" s="1"/>
  <c r="D41" i="31"/>
  <c r="D49" i="31" s="1"/>
  <c r="D41" i="28"/>
  <c r="D49" i="28" s="1"/>
  <c r="K39" i="34"/>
  <c r="L39" i="34" s="1"/>
  <c r="D20" i="24"/>
  <c r="D24" i="24" s="1"/>
  <c r="D41" i="24" s="1"/>
  <c r="D49" i="24" s="1"/>
  <c r="K36" i="34"/>
  <c r="L36" i="34" s="1"/>
  <c r="E18" i="31"/>
  <c r="E20" i="31" s="1"/>
  <c r="K39" i="28"/>
  <c r="L39" i="28" s="1"/>
  <c r="K36" i="28"/>
  <c r="L36" i="28" s="1"/>
  <c r="K39" i="31"/>
  <c r="L39" i="31" s="1"/>
  <c r="K36" i="31"/>
  <c r="L36" i="31" s="1"/>
  <c r="K36" i="27"/>
  <c r="L36" i="27" s="1"/>
  <c r="K39" i="27"/>
  <c r="L39" i="27" s="1"/>
  <c r="D20" i="27"/>
  <c r="D24" i="27" s="1"/>
  <c r="D41" i="27" s="1"/>
  <c r="D49" i="27" s="1"/>
  <c r="E18" i="28"/>
  <c r="F18" i="28" s="1"/>
  <c r="E20" i="34"/>
  <c r="F18" i="34"/>
  <c r="F18" i="24"/>
  <c r="F20" i="24" s="1"/>
  <c r="F24" i="24" s="1"/>
  <c r="E20" i="24"/>
  <c r="E24" i="24" s="1"/>
  <c r="E24" i="26"/>
  <c r="F20" i="26"/>
  <c r="F24" i="26" s="1"/>
  <c r="G18" i="26"/>
  <c r="F18" i="27"/>
  <c r="E20" i="27"/>
  <c r="F18" i="32"/>
  <c r="E20" i="32"/>
  <c r="F18" i="31"/>
  <c r="E74" i="4"/>
  <c r="E78" i="4" s="1"/>
  <c r="K903" i="2"/>
  <c r="K907" i="2" s="1"/>
  <c r="V895" i="2"/>
  <c r="V899" i="2" s="1"/>
  <c r="AA942" i="2"/>
  <c r="AB942" i="2" s="1"/>
  <c r="G69" i="4"/>
  <c r="I43" i="4" s="1"/>
  <c r="S907" i="2"/>
  <c r="I890" i="2"/>
  <c r="I909" i="2"/>
  <c r="I905" i="2"/>
  <c r="AA878" i="2"/>
  <c r="AB878" i="2" s="1"/>
  <c r="I881" i="2"/>
  <c r="Y895" i="2"/>
  <c r="Y899" i="2" s="1"/>
  <c r="E24" i="14"/>
  <c r="F895" i="2"/>
  <c r="L903" i="2"/>
  <c r="L907" i="2" s="1"/>
  <c r="L895" i="2"/>
  <c r="L899" i="2" s="1"/>
  <c r="M895" i="2"/>
  <c r="M899" i="2" s="1"/>
  <c r="M903" i="2"/>
  <c r="M907" i="2" s="1"/>
  <c r="G895" i="2"/>
  <c r="G18" i="14"/>
  <c r="F20" i="14"/>
  <c r="F24" i="14" s="1"/>
  <c r="Q895" i="2"/>
  <c r="Q899" i="2" s="1"/>
  <c r="Q903" i="2"/>
  <c r="Q907" i="2" s="1"/>
  <c r="E20" i="28" l="1"/>
  <c r="E24" i="28" s="1"/>
  <c r="G18" i="24"/>
  <c r="G20" i="24" s="1"/>
  <c r="G24" i="24" s="1"/>
  <c r="F20" i="34"/>
  <c r="F24" i="34" s="1"/>
  <c r="G18" i="34"/>
  <c r="E24" i="34"/>
  <c r="E24" i="32"/>
  <c r="G20" i="26"/>
  <c r="G24" i="26" s="1"/>
  <c r="H18" i="26"/>
  <c r="G18" i="32"/>
  <c r="F20" i="32"/>
  <c r="F24" i="32" s="1"/>
  <c r="E24" i="31"/>
  <c r="E24" i="27"/>
  <c r="G18" i="31"/>
  <c r="F20" i="31"/>
  <c r="F24" i="31" s="1"/>
  <c r="F20" i="27"/>
  <c r="F24" i="27" s="1"/>
  <c r="G18" i="27"/>
  <c r="F20" i="28"/>
  <c r="F24" i="28" s="1"/>
  <c r="G18" i="28"/>
  <c r="G78" i="4"/>
  <c r="I51" i="4" s="1"/>
  <c r="G74" i="4"/>
  <c r="I48" i="4" s="1"/>
  <c r="F899" i="2"/>
  <c r="G20" i="14"/>
  <c r="H18" i="14"/>
  <c r="G899" i="2"/>
  <c r="I892" i="2"/>
  <c r="AA892" i="2" s="1"/>
  <c r="AB892" i="2" s="1"/>
  <c r="AA890" i="2"/>
  <c r="AB890" i="2" s="1"/>
  <c r="I903" i="2"/>
  <c r="I907" i="2" s="1"/>
  <c r="AA881" i="2"/>
  <c r="AB881" i="2" s="1"/>
  <c r="H18" i="24" l="1"/>
  <c r="H20" i="24" s="1"/>
  <c r="H24" i="24" s="1"/>
  <c r="H18" i="34"/>
  <c r="G20" i="34"/>
  <c r="H18" i="31"/>
  <c r="G20" i="31"/>
  <c r="H20" i="26"/>
  <c r="H24" i="26" s="1"/>
  <c r="I18" i="26"/>
  <c r="G20" i="27"/>
  <c r="G24" i="27" s="1"/>
  <c r="H18" i="27"/>
  <c r="H18" i="32"/>
  <c r="G20" i="32"/>
  <c r="G24" i="32" s="1"/>
  <c r="H18" i="28"/>
  <c r="G20" i="28"/>
  <c r="G24" i="28" s="1"/>
  <c r="I895" i="2"/>
  <c r="I899" i="2" s="1"/>
  <c r="H20" i="14"/>
  <c r="H24" i="14" s="1"/>
  <c r="I18" i="14"/>
  <c r="G24" i="14"/>
  <c r="I18" i="24" l="1"/>
  <c r="J18" i="24" s="1"/>
  <c r="J20" i="24" s="1"/>
  <c r="J24" i="24" s="1"/>
  <c r="G24" i="34"/>
  <c r="I18" i="34"/>
  <c r="H20" i="34"/>
  <c r="H24" i="34" s="1"/>
  <c r="J18" i="26"/>
  <c r="J20" i="26" s="1"/>
  <c r="J24" i="26" s="1"/>
  <c r="I20" i="26"/>
  <c r="G24" i="31"/>
  <c r="H20" i="32"/>
  <c r="I18" i="32"/>
  <c r="H20" i="31"/>
  <c r="H24" i="31" s="1"/>
  <c r="I18" i="31"/>
  <c r="I18" i="28"/>
  <c r="H20" i="28"/>
  <c r="H24" i="28" s="1"/>
  <c r="H20" i="27"/>
  <c r="I18" i="27"/>
  <c r="AA895" i="2"/>
  <c r="AB895" i="2" s="1"/>
  <c r="I20" i="14"/>
  <c r="J18" i="14"/>
  <c r="J20" i="14" s="1"/>
  <c r="J24" i="14" s="1"/>
  <c r="I20" i="24" l="1"/>
  <c r="I24" i="24" s="1"/>
  <c r="K24" i="24" s="1"/>
  <c r="H26" i="24" s="1"/>
  <c r="H41" i="24" s="1"/>
  <c r="H49" i="24" s="1"/>
  <c r="H53" i="24" s="1"/>
  <c r="I20" i="34"/>
  <c r="I24" i="34" s="1"/>
  <c r="J18" i="34"/>
  <c r="J20" i="34" s="1"/>
  <c r="J24" i="34" s="1"/>
  <c r="I20" i="28"/>
  <c r="J18" i="28"/>
  <c r="J20" i="28" s="1"/>
  <c r="J24" i="28" s="1"/>
  <c r="J18" i="27"/>
  <c r="J20" i="27" s="1"/>
  <c r="J24" i="27" s="1"/>
  <c r="I20" i="27"/>
  <c r="I24" i="27" s="1"/>
  <c r="I20" i="31"/>
  <c r="J18" i="31"/>
  <c r="J20" i="31" s="1"/>
  <c r="J24" i="31" s="1"/>
  <c r="I20" i="32"/>
  <c r="I24" i="32" s="1"/>
  <c r="J18" i="32"/>
  <c r="J20" i="32" s="1"/>
  <c r="J24" i="32" s="1"/>
  <c r="H24" i="27"/>
  <c r="H24" i="32"/>
  <c r="I24" i="26"/>
  <c r="K20" i="26"/>
  <c r="L20" i="26" s="1"/>
  <c r="I24" i="14"/>
  <c r="K20" i="14"/>
  <c r="L20" i="14" s="1"/>
  <c r="K20" i="24" l="1"/>
  <c r="L20" i="24" s="1"/>
  <c r="K24" i="34"/>
  <c r="J26" i="34" s="1"/>
  <c r="J41" i="34" s="1"/>
  <c r="J49" i="34" s="1"/>
  <c r="J53" i="34" s="1"/>
  <c r="K20" i="34"/>
  <c r="L20" i="34" s="1"/>
  <c r="K20" i="32"/>
  <c r="L20" i="32" s="1"/>
  <c r="K20" i="27"/>
  <c r="L20" i="27" s="1"/>
  <c r="I24" i="31"/>
  <c r="K24" i="31" s="1"/>
  <c r="J26" i="31" s="1"/>
  <c r="J41" i="31" s="1"/>
  <c r="J49" i="31" s="1"/>
  <c r="J53" i="31" s="1"/>
  <c r="K20" i="31"/>
  <c r="L20" i="31" s="1"/>
  <c r="K24" i="26"/>
  <c r="I24" i="28"/>
  <c r="K20" i="28"/>
  <c r="L20" i="28" s="1"/>
  <c r="K24" i="27"/>
  <c r="J26" i="27" s="1"/>
  <c r="J41" i="27" s="1"/>
  <c r="J49" i="27" s="1"/>
  <c r="J53" i="27" s="1"/>
  <c r="K24" i="32"/>
  <c r="I26" i="24"/>
  <c r="I41" i="24" s="1"/>
  <c r="I49" i="24" s="1"/>
  <c r="I53" i="24" s="1"/>
  <c r="G26" i="24"/>
  <c r="G41" i="24" s="1"/>
  <c r="G49" i="24" s="1"/>
  <c r="G53" i="24" s="1"/>
  <c r="F26" i="24"/>
  <c r="F41" i="24" s="1"/>
  <c r="F49" i="24" s="1"/>
  <c r="F53" i="24" s="1"/>
  <c r="K57" i="24" s="1"/>
  <c r="J26" i="24"/>
  <c r="J41" i="24" s="1"/>
  <c r="J49" i="24" s="1"/>
  <c r="J53" i="24" s="1"/>
  <c r="E26" i="24"/>
  <c r="E41" i="24" s="1"/>
  <c r="L24" i="24"/>
  <c r="K24" i="14"/>
  <c r="I26" i="14" s="1"/>
  <c r="I41" i="14" s="1"/>
  <c r="I49" i="14" s="1"/>
  <c r="H26" i="34" l="1"/>
  <c r="H41" i="34" s="1"/>
  <c r="H49" i="34" s="1"/>
  <c r="H53" i="34" s="1"/>
  <c r="I53" i="14"/>
  <c r="I26" i="34"/>
  <c r="I41" i="34" s="1"/>
  <c r="I49" i="34" s="1"/>
  <c r="I53" i="34" s="1"/>
  <c r="K53" i="34" s="1"/>
  <c r="E26" i="34"/>
  <c r="E41" i="34" s="1"/>
  <c r="F26" i="34"/>
  <c r="F41" i="34" s="1"/>
  <c r="F49" i="34" s="1"/>
  <c r="F53" i="34" s="1"/>
  <c r="K57" i="34" s="1"/>
  <c r="G26" i="34"/>
  <c r="G41" i="34" s="1"/>
  <c r="G49" i="34" s="1"/>
  <c r="G53" i="34" s="1"/>
  <c r="L24" i="34"/>
  <c r="H26" i="27"/>
  <c r="H41" i="27" s="1"/>
  <c r="H49" i="27" s="1"/>
  <c r="H53" i="27" s="1"/>
  <c r="K24" i="28"/>
  <c r="H26" i="26"/>
  <c r="H41" i="26" s="1"/>
  <c r="H49" i="26" s="1"/>
  <c r="H53" i="26" s="1"/>
  <c r="L24" i="26"/>
  <c r="E26" i="26"/>
  <c r="F26" i="26"/>
  <c r="F41" i="26" s="1"/>
  <c r="F49" i="26" s="1"/>
  <c r="F53" i="26" s="1"/>
  <c r="K57" i="26" s="1"/>
  <c r="G26" i="26"/>
  <c r="G41" i="26" s="1"/>
  <c r="G49" i="26" s="1"/>
  <c r="G53" i="26" s="1"/>
  <c r="J26" i="26"/>
  <c r="J41" i="26" s="1"/>
  <c r="J49" i="26" s="1"/>
  <c r="J53" i="26" s="1"/>
  <c r="L24" i="27"/>
  <c r="E26" i="27"/>
  <c r="F26" i="27"/>
  <c r="F41" i="27" s="1"/>
  <c r="F49" i="27" s="1"/>
  <c r="F53" i="27" s="1"/>
  <c r="K57" i="27" s="1"/>
  <c r="G26" i="27"/>
  <c r="G41" i="27" s="1"/>
  <c r="G49" i="27" s="1"/>
  <c r="G53" i="27" s="1"/>
  <c r="I26" i="27"/>
  <c r="I41" i="27" s="1"/>
  <c r="I49" i="27" s="1"/>
  <c r="I53" i="27" s="1"/>
  <c r="I26" i="32"/>
  <c r="I41" i="32" s="1"/>
  <c r="I49" i="32" s="1"/>
  <c r="I53" i="32" s="1"/>
  <c r="L24" i="32"/>
  <c r="F26" i="32"/>
  <c r="F41" i="32" s="1"/>
  <c r="F49" i="32" s="1"/>
  <c r="F53" i="32" s="1"/>
  <c r="K57" i="32" s="1"/>
  <c r="E26" i="32"/>
  <c r="G26" i="32"/>
  <c r="G41" i="32" s="1"/>
  <c r="G49" i="32" s="1"/>
  <c r="G53" i="32" s="1"/>
  <c r="J26" i="32"/>
  <c r="J41" i="32" s="1"/>
  <c r="J49" i="32" s="1"/>
  <c r="J53" i="32" s="1"/>
  <c r="H26" i="32"/>
  <c r="H41" i="32" s="1"/>
  <c r="H49" i="32" s="1"/>
  <c r="H53" i="32" s="1"/>
  <c r="I26" i="26"/>
  <c r="I41" i="26" s="1"/>
  <c r="I49" i="26" s="1"/>
  <c r="I53" i="26" s="1"/>
  <c r="I26" i="31"/>
  <c r="I41" i="31" s="1"/>
  <c r="I49" i="31" s="1"/>
  <c r="I53" i="31" s="1"/>
  <c r="K53" i="31" s="1"/>
  <c r="L24" i="31"/>
  <c r="E26" i="31"/>
  <c r="F26" i="31"/>
  <c r="F41" i="31" s="1"/>
  <c r="F49" i="31" s="1"/>
  <c r="F53" i="31" s="1"/>
  <c r="K57" i="31" s="1"/>
  <c r="G26" i="31"/>
  <c r="G41" i="31" s="1"/>
  <c r="G49" i="31" s="1"/>
  <c r="G53" i="31" s="1"/>
  <c r="H26" i="31"/>
  <c r="H41" i="31" s="1"/>
  <c r="H49" i="31" s="1"/>
  <c r="H53" i="31" s="1"/>
  <c r="K55" i="24"/>
  <c r="K60" i="24" s="1"/>
  <c r="K61" i="24" s="1"/>
  <c r="K26" i="24"/>
  <c r="L26" i="24" s="1"/>
  <c r="K53" i="24"/>
  <c r="L53" i="24" s="1"/>
  <c r="L24" i="14"/>
  <c r="E26" i="14"/>
  <c r="F26" i="14"/>
  <c r="F41" i="14" s="1"/>
  <c r="F49" i="14" s="1"/>
  <c r="H26" i="14"/>
  <c r="H41" i="14" s="1"/>
  <c r="H49" i="14" s="1"/>
  <c r="H53" i="14" s="1"/>
  <c r="G26" i="14"/>
  <c r="G41" i="14" s="1"/>
  <c r="G49" i="14" s="1"/>
  <c r="G53" i="14" s="1"/>
  <c r="J26" i="14"/>
  <c r="J41" i="14" s="1"/>
  <c r="J49" i="14" s="1"/>
  <c r="J53" i="14" s="1"/>
  <c r="K41" i="24"/>
  <c r="L41" i="24" s="1"/>
  <c r="E49" i="24"/>
  <c r="K53" i="14" l="1"/>
  <c r="F53" i="14"/>
  <c r="K57" i="14" s="1"/>
  <c r="K55" i="34"/>
  <c r="L55" i="34" s="1"/>
  <c r="K26" i="34"/>
  <c r="L26" i="34" s="1"/>
  <c r="K41" i="34"/>
  <c r="L41" i="34" s="1"/>
  <c r="E49" i="34"/>
  <c r="K55" i="32"/>
  <c r="L55" i="32" s="1"/>
  <c r="K53" i="32"/>
  <c r="K26" i="27"/>
  <c r="L26" i="27" s="1"/>
  <c r="E41" i="27"/>
  <c r="K53" i="26"/>
  <c r="K55" i="26"/>
  <c r="L55" i="26" s="1"/>
  <c r="K26" i="32"/>
  <c r="L26" i="32" s="1"/>
  <c r="E41" i="32"/>
  <c r="K55" i="27"/>
  <c r="L55" i="27" s="1"/>
  <c r="K53" i="27"/>
  <c r="L24" i="28"/>
  <c r="F26" i="28"/>
  <c r="F41" i="28" s="1"/>
  <c r="F49" i="28" s="1"/>
  <c r="F53" i="28" s="1"/>
  <c r="K57" i="28" s="1"/>
  <c r="E26" i="28"/>
  <c r="G26" i="28"/>
  <c r="G41" i="28" s="1"/>
  <c r="G49" i="28" s="1"/>
  <c r="G53" i="28" s="1"/>
  <c r="H26" i="28"/>
  <c r="H41" i="28" s="1"/>
  <c r="H49" i="28" s="1"/>
  <c r="H53" i="28" s="1"/>
  <c r="J26" i="28"/>
  <c r="J41" i="28" s="1"/>
  <c r="J49" i="28" s="1"/>
  <c r="J53" i="28" s="1"/>
  <c r="K26" i="31"/>
  <c r="L26" i="31" s="1"/>
  <c r="E41" i="31"/>
  <c r="K55" i="31"/>
  <c r="L55" i="31" s="1"/>
  <c r="K26" i="26"/>
  <c r="L26" i="26" s="1"/>
  <c r="E41" i="26"/>
  <c r="I26" i="28"/>
  <c r="I41" i="28" s="1"/>
  <c r="I49" i="28" s="1"/>
  <c r="I53" i="28" s="1"/>
  <c r="M57" i="24"/>
  <c r="L57" i="24"/>
  <c r="K55" i="14"/>
  <c r="E53" i="24"/>
  <c r="K56" i="24" s="1"/>
  <c r="K63" i="24" s="1"/>
  <c r="L63" i="24" s="1"/>
  <c r="K49" i="24"/>
  <c r="L49" i="24" s="1"/>
  <c r="K26" i="14"/>
  <c r="L26" i="14" s="1"/>
  <c r="E41" i="14"/>
  <c r="K60" i="14" l="1"/>
  <c r="K61" i="14" s="1"/>
  <c r="L55" i="14"/>
  <c r="K49" i="34"/>
  <c r="L49" i="34" s="1"/>
  <c r="E53" i="34"/>
  <c r="K56" i="34" s="1"/>
  <c r="E49" i="26"/>
  <c r="K41" i="26"/>
  <c r="L41" i="26" s="1"/>
  <c r="K26" i="28"/>
  <c r="L26" i="28" s="1"/>
  <c r="E41" i="28"/>
  <c r="E49" i="32"/>
  <c r="K41" i="32"/>
  <c r="L41" i="32" s="1"/>
  <c r="K41" i="27"/>
  <c r="L41" i="27" s="1"/>
  <c r="E49" i="27"/>
  <c r="K55" i="28"/>
  <c r="L55" i="28" s="1"/>
  <c r="K53" i="28"/>
  <c r="E49" i="31"/>
  <c r="K41" i="31"/>
  <c r="L41" i="31" s="1"/>
  <c r="K41" i="14"/>
  <c r="L41" i="14" s="1"/>
  <c r="E49" i="14"/>
  <c r="E53" i="27" l="1"/>
  <c r="K56" i="27" s="1"/>
  <c r="K49" i="27"/>
  <c r="L49" i="27" s="1"/>
  <c r="K41" i="28"/>
  <c r="L41" i="28" s="1"/>
  <c r="E49" i="28"/>
  <c r="E53" i="31"/>
  <c r="K56" i="31" s="1"/>
  <c r="K49" i="31"/>
  <c r="L49" i="31" s="1"/>
  <c r="K49" i="32"/>
  <c r="L49" i="32" s="1"/>
  <c r="E53" i="32"/>
  <c r="K56" i="32" s="1"/>
  <c r="E53" i="26"/>
  <c r="K56" i="26" s="1"/>
  <c r="K49" i="26"/>
  <c r="L49" i="26" s="1"/>
  <c r="K49" i="14"/>
  <c r="K65" i="14" s="1"/>
  <c r="E53" i="14"/>
  <c r="K56" i="14" s="1"/>
  <c r="K63" i="14" s="1"/>
  <c r="L63" i="14" s="1"/>
  <c r="L49" i="14" l="1"/>
  <c r="O58" i="14"/>
  <c r="O56" i="14"/>
  <c r="O57" i="14"/>
  <c r="K49" i="28"/>
  <c r="L49" i="28" s="1"/>
  <c r="E53" i="28"/>
  <c r="K56" i="28" s="1"/>
  <c r="O59" i="14" l="1"/>
</calcChain>
</file>

<file path=xl/sharedStrings.xml><?xml version="1.0" encoding="utf-8"?>
<sst xmlns="http://schemas.openxmlformats.org/spreadsheetml/2006/main" count="3816" uniqueCount="1444">
  <si>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</si>
  <si>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</si>
  <si>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</si>
  <si>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</si>
  <si>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</si>
  <si>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</si>
  <si>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</si>
  <si>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</si>
  <si>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</si>
  <si>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</si>
  <si>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</si>
  <si>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</si>
  <si>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</si>
  <si>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</si>
  <si>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</si>
  <si>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</si>
  <si>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</si>
  <si>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</si>
  <si>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</si>
  <si>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</si>
  <si>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</si>
  <si>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</si>
  <si>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</si>
  <si>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</si>
  <si>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</si>
  <si>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</si>
  <si>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</si>
  <si>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</si>
  <si>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</si>
  <si>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</si>
  <si>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</si>
  <si>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</si>
  <si>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</si>
  <si>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</si>
  <si>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</si>
  <si>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</si>
  <si>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</si>
  <si>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</si>
  <si>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</si>
  <si>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</si>
  <si>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</si>
  <si>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</si>
  <si>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</si>
  <si>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</si>
  <si>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</si>
  <si>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</si>
  <si>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</si>
  <si>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</si>
  <si>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</si>
  <si>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</si>
  <si>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</si>
  <si>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</si>
  <si>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</si>
  <si>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</si>
  <si>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</si>
  <si>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</si>
  <si>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</si>
  <si>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</si>
  <si>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</si>
  <si>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</si>
  <si>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</si>
  <si>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</si>
  <si>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</si>
  <si>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</si>
  <si>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</si>
  <si>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</si>
  <si>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</si>
  <si>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</si>
  <si>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</si>
  <si>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</si>
  <si>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</si>
  <si>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</si>
  <si>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</si>
  <si>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</si>
  <si>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</si>
  <si>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</si>
  <si>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</si>
  <si>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</si>
  <si>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</si>
  <si>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</si>
  <si>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</si>
  <si>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</si>
  <si>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</si>
  <si>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</si>
  <si>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</si>
  <si>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</si>
  <si>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</si>
  <si>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</si>
  <si>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</si>
  <si>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</si>
  <si>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</si>
  <si>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</si>
  <si>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</si>
  <si>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</si>
  <si>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</si>
  <si>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</si>
  <si>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</si>
  <si>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</si>
  <si>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</si>
  <si>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</si>
  <si>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</si>
  <si>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</si>
  <si>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</si>
  <si>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</si>
  <si>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</si>
  <si>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</si>
  <si>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</si>
  <si>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</si>
  <si>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</si>
  <si>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</si>
  <si>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</si>
  <si>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</si>
  <si>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</si>
  <si>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</si>
  <si>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</si>
  <si>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</si>
  <si>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</si>
  <si>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</si>
  <si>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</si>
  <si>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</si>
  <si>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</si>
  <si>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</si>
  <si>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</si>
  <si>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</si>
  <si>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</si>
  <si>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</si>
  <si>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</si>
  <si>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</si>
  <si>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</si>
  <si>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</si>
  <si>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</si>
  <si>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</si>
  <si>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</si>
  <si>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</si>
  <si>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</si>
  <si>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</si>
  <si>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</si>
  <si>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</si>
  <si>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</si>
  <si>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</si>
  <si>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</si>
  <si>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</si>
  <si>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</si>
  <si>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</si>
  <si>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</si>
  <si>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</si>
  <si>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</si>
  <si>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</si>
  <si>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</si>
  <si>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</si>
  <si>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</si>
  <si>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</si>
  <si>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</si>
  <si>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</si>
  <si>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</si>
  <si>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</si>
  <si>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</si>
  <si>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</si>
  <si>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</si>
  <si>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</si>
  <si>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</si>
  <si>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</si>
  <si>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</si>
  <si>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</si>
  <si>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</si>
  <si>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</si>
  <si>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</si>
  <si>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</si>
  <si>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</si>
  <si>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</si>
  <si>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</si>
  <si>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</si>
  <si>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</si>
  <si>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</si>
  <si>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</si>
  <si>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</si>
  <si>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</si>
  <si>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</si>
  <si>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</si>
  <si>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</si>
  <si>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</si>
  <si>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</si>
  <si>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</si>
  <si>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</si>
  <si>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</si>
  <si>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</si>
  <si>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</si>
  <si>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</si>
  <si>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</si>
  <si>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</si>
  <si>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</si>
  <si>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</si>
  <si>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</si>
  <si>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</si>
  <si>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</si>
  <si>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</si>
  <si>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</si>
  <si>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</si>
  <si>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</si>
  <si>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</si>
  <si>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</si>
  <si>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</si>
  <si>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</si>
  <si>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</si>
  <si>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</si>
  <si>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</si>
  <si>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</si>
  <si>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</si>
  <si>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</si>
  <si>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</si>
  <si>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</si>
  <si>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</si>
  <si>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</si>
  <si>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</si>
  <si>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</si>
  <si>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</si>
  <si>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</si>
  <si>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</si>
  <si>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</si>
  <si>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</si>
  <si>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</si>
  <si>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</si>
  <si>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</si>
  <si>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</si>
  <si>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</si>
  <si>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</si>
  <si>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</si>
  <si>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</si>
  <si>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</si>
  <si>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</si>
  <si>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</si>
  <si>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</si>
  <si>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</si>
  <si>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</si>
  <si>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</si>
  <si>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</si>
  <si>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</si>
  <si>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</si>
  <si>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</si>
  <si>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</si>
  <si>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</si>
  <si>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</si>
  <si>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</si>
  <si>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</si>
  <si>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</si>
  <si>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</si>
  <si>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</si>
  <si>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</si>
  <si>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</si>
  <si>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</si>
  <si>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</si>
  <si>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</si>
  <si>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</si>
  <si>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</si>
  <si>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</si>
  <si>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</si>
  <si>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</si>
  <si>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</si>
  <si>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</si>
  <si>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</si>
  <si>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</si>
  <si>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</si>
  <si>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</si>
  <si>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</si>
  <si>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</si>
  <si>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</si>
  <si>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</si>
  <si>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</si>
  <si>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</si>
  <si>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</si>
  <si>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</si>
  <si>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</si>
  <si>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</si>
  <si>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</si>
  <si>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</si>
  <si>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</si>
  <si>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</si>
  <si>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</si>
  <si>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</si>
  <si>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</si>
  <si>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</si>
  <si>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</si>
  <si>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</si>
  <si>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</si>
  <si>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</si>
  <si>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</si>
  <si>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</si>
  <si>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</si>
  <si>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</si>
  <si>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</si>
  <si>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</si>
  <si>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</si>
  <si>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</si>
  <si>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</si>
  <si>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</si>
  <si>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</si>
  <si>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</si>
  <si>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</si>
  <si>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</si>
  <si>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</si>
  <si>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</si>
  <si>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</si>
  <si>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</si>
  <si>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</si>
  <si>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</si>
  <si>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</si>
  <si>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</si>
  <si>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</si>
  <si>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</si>
  <si>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</si>
  <si>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</si>
  <si>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</si>
  <si>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</si>
  <si>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</si>
  <si>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</si>
  <si>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</si>
  <si>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</si>
  <si>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</si>
  <si>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</si>
  <si>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</si>
  <si>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</si>
  <si>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</si>
  <si>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</si>
  <si>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</si>
  <si>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</si>
  <si>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</si>
  <si>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</si>
  <si>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</si>
  <si>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</si>
  <si>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</si>
  <si>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</si>
  <si>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</si>
  <si>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</si>
  <si>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</si>
  <si>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</si>
  <si>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</si>
  <si>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</si>
  <si>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</si>
  <si>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</si>
  <si>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</si>
  <si>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</si>
  <si>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</si>
  <si>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</si>
  <si>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</si>
  <si>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</si>
  <si>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</si>
  <si>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</si>
  <si>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</si>
  <si>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</si>
  <si>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</si>
  <si>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</si>
  <si>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</si>
  <si>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</si>
  <si>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</si>
  <si>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</si>
  <si>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</si>
  <si>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</si>
  <si>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</si>
  <si>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</si>
  <si>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</si>
  <si>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</si>
  <si>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</si>
  <si>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</si>
  <si>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</si>
  <si>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</si>
  <si>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</si>
  <si>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</si>
  <si>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</si>
  <si>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</si>
  <si>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</si>
  <si>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</si>
  <si>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</si>
  <si>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</si>
  <si>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</si>
  <si>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</si>
  <si>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</si>
  <si>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</si>
  <si>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</si>
  <si>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</si>
  <si>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</si>
  <si>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</si>
  <si>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</si>
  <si>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</si>
  <si>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</si>
  <si>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</si>
  <si>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</si>
  <si>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</si>
  <si>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</si>
  <si>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</si>
  <si>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</si>
  <si>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</si>
  <si>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</si>
  <si>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</si>
  <si>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</si>
  <si>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</si>
  <si>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</si>
  <si>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</si>
  <si>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</si>
  <si>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</si>
  <si>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</si>
  <si>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</si>
  <si>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</si>
  <si>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</si>
  <si>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</si>
  <si>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</si>
  <si>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</si>
  <si>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</si>
  <si>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</si>
  <si>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</si>
  <si>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</si>
  <si>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</si>
  <si>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</si>
  <si>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</si>
  <si>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</si>
  <si>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</si>
  <si>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</si>
  <si>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</si>
  <si>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</si>
  <si>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</si>
  <si>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</si>
  <si>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</si>
  <si>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</si>
  <si>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</si>
  <si>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</si>
  <si>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</si>
  <si>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</si>
  <si>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</si>
  <si>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</si>
  <si>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</si>
  <si>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</si>
  <si>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</si>
  <si>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</si>
  <si>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</si>
  <si>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</si>
  <si>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</si>
  <si>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</si>
  <si>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</si>
  <si>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</si>
  <si>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</si>
  <si>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</si>
  <si>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</si>
  <si>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</si>
  <si>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</si>
  <si>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</si>
  <si>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</si>
  <si>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</si>
  <si>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</si>
  <si>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</si>
  <si>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</si>
  <si>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</si>
  <si>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</si>
  <si>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</si>
  <si>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</si>
  <si>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</si>
  <si>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</si>
  <si>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</si>
  <si>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</si>
  <si>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</si>
  <si>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</si>
  <si>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</si>
  <si>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</si>
  <si>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</si>
  <si>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</si>
  <si>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</si>
  <si>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</si>
  <si>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</si>
  <si>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</si>
  <si>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</si>
  <si>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</si>
  <si>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</si>
  <si>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</si>
  <si>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</si>
  <si>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</si>
  <si>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</si>
  <si>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</si>
  <si>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</si>
  <si>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</si>
  <si>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</si>
  <si>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</si>
  <si>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</si>
  <si>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</si>
  <si>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</si>
  <si>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</si>
  <si>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</si>
  <si>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</si>
  <si>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</si>
  <si>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</si>
  <si>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</si>
  <si>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</si>
  <si>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</si>
  <si>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</si>
  <si>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</si>
  <si>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</si>
  <si>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</si>
  <si>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</si>
  <si>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</si>
  <si>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</si>
  <si>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</si>
  <si>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</si>
  <si>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</si>
  <si>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</si>
  <si>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</si>
  <si>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</si>
  <si>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</si>
  <si>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</si>
  <si>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</si>
  <si>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</si>
  <si>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</si>
  <si>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</si>
  <si>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</si>
  <si>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</si>
  <si>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</si>
  <si>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</si>
  <si>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</si>
  <si>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</si>
  <si>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</si>
  <si>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</si>
  <si>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</si>
  <si>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</si>
  <si>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</si>
  <si>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</si>
  <si>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</si>
  <si>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</si>
  <si>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</si>
  <si>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</si>
  <si>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</si>
  <si>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</si>
  <si>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</si>
  <si>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</si>
  <si>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</si>
  <si>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</si>
  <si>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</si>
  <si>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</si>
  <si>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</si>
  <si>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</si>
  <si>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</si>
  <si>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</si>
  <si>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</si>
  <si>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</si>
  <si>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</si>
  <si>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</si>
  <si>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</si>
  <si>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</si>
  <si>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</si>
  <si>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</si>
  <si>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</si>
  <si>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</si>
  <si>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</si>
  <si>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</si>
  <si>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</si>
  <si>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</si>
  <si>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</si>
  <si>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</si>
  <si>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</si>
  <si>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</si>
  <si>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</si>
  <si>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</si>
  <si>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</si>
  <si>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</si>
  <si>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</si>
  <si>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</si>
  <si>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</si>
  <si>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</si>
  <si>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</si>
  <si>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</si>
  <si>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</si>
  <si>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</si>
  <si>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</si>
  <si>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</si>
  <si>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</si>
  <si>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</si>
  <si>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</si>
  <si>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</si>
  <si>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</si>
  <si>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</si>
  <si>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</si>
  <si>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</si>
  <si>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</si>
  <si>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</si>
  <si>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</si>
  <si>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</si>
  <si>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</si>
  <si>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</si>
  <si>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</si>
  <si>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</si>
  <si>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</si>
  <si>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</si>
  <si>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</si>
  <si>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</si>
  <si>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</si>
  <si>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</si>
  <si>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</si>
  <si>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</si>
  <si>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</si>
  <si>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</si>
  <si>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</si>
  <si>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</si>
  <si>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</si>
  <si>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</si>
  <si>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</si>
  <si>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</si>
  <si>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</si>
  <si>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</si>
  <si>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</si>
  <si>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</si>
  <si>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</si>
  <si>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</si>
  <si>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</si>
  <si>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</si>
  <si>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</si>
  <si>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</si>
  <si>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</si>
  <si>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</si>
  <si>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</si>
  <si>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</si>
  <si>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</si>
  <si>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</si>
  <si>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</si>
  <si>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</si>
  <si>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</si>
  <si>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</si>
  <si>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</si>
  <si>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</si>
  <si>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</si>
  <si>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</si>
  <si>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</si>
  <si>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</si>
  <si>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</si>
  <si>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</si>
  <si>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</si>
  <si>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</si>
  <si>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</si>
  <si>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</si>
  <si>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</si>
  <si>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</si>
  <si>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</si>
  <si>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</si>
  <si>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</si>
  <si>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</si>
  <si>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</si>
  <si>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</si>
  <si>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</si>
  <si>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</si>
  <si>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</si>
  <si>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</si>
  <si>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</si>
  <si>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</si>
  <si>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</si>
  <si>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</si>
  <si>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</si>
  <si>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</si>
  <si>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</si>
  <si>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</si>
  <si>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</si>
  <si>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</si>
  <si>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</si>
  <si>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</si>
  <si>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</si>
  <si>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</si>
  <si>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</si>
  <si>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</si>
  <si>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</si>
  <si>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</si>
  <si>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</si>
  <si>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</si>
  <si>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</si>
  <si>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</si>
  <si>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</si>
  <si>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</si>
  <si>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</si>
  <si>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</si>
  <si>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</si>
  <si>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</si>
  <si>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</si>
  <si>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</si>
  <si>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</si>
  <si>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</si>
  <si>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</si>
  <si>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</si>
  <si>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</si>
  <si>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</si>
  <si>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</si>
  <si>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</si>
  <si>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</si>
  <si>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</si>
  <si>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</si>
  <si>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</si>
  <si>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</si>
  <si>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</si>
  <si>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</si>
  <si>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</si>
  <si>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</si>
  <si>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</si>
  <si>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</si>
  <si>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</si>
  <si>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</si>
  <si>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</si>
  <si>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</si>
  <si>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</si>
  <si>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</si>
  <si>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</si>
  <si>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</si>
  <si>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</si>
  <si>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</si>
  <si>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</si>
  <si>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</si>
  <si>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</si>
  <si>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</si>
  <si>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</si>
  <si>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</si>
  <si>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</si>
  <si>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</si>
  <si>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</si>
  <si>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</si>
  <si>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</si>
  <si>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</si>
  <si>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</si>
  <si>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</si>
  <si>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</si>
  <si>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</si>
  <si>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</si>
  <si>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</si>
  <si>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</si>
  <si>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</si>
  <si>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</si>
  <si>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</si>
  <si>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</si>
  <si>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</si>
  <si>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</si>
  <si>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</si>
  <si>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</si>
  <si>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</si>
  <si>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</si>
  <si>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</si>
  <si>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</si>
  <si>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</si>
  <si>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</si>
  <si>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</si>
  <si>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</si>
  <si>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</si>
  <si>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</si>
  <si>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</si>
  <si>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</si>
  <si>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</si>
  <si>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</si>
  <si>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</si>
  <si>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</si>
  <si>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</si>
  <si>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</si>
  <si>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</si>
  <si>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</si>
  <si>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</si>
  <si>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</si>
  <si>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</si>
  <si>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</si>
  <si>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</si>
  <si>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</si>
  <si>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</si>
  <si>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</si>
  <si>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</si>
  <si>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</si>
  <si>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</si>
  <si>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</si>
  <si>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</si>
  <si>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</si>
  <si>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</si>
  <si>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</si>
  <si>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</si>
  <si>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</si>
  <si>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</si>
  <si>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</si>
  <si>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</si>
  <si>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</si>
  <si>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</si>
  <si>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</si>
  <si>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</si>
  <si>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</si>
  <si>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</si>
  <si>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</si>
  <si>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</si>
  <si>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</si>
  <si>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</si>
  <si>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</si>
  <si>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</si>
  <si>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</si>
  <si>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</si>
  <si>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</si>
  <si>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</si>
  <si>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</si>
  <si>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</si>
  <si>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</si>
  <si>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</si>
  <si>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</si>
  <si>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</si>
  <si>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</si>
  <si>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</si>
  <si>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</si>
  <si>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</si>
  <si>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</si>
  <si>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</si>
  <si>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</si>
  <si>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</si>
  <si>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</si>
  <si>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</si>
  <si>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</si>
  <si>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</si>
  <si>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Number of</t>
  </si>
  <si>
    <t>Customers as of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</si>
  <si>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</si>
  <si>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</si>
  <si>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</si>
  <si>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</si>
  <si>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</si>
  <si>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</si>
  <si>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</si>
  <si>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</si>
  <si>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</si>
  <si>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</si>
  <si>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</si>
  <si>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</si>
  <si>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</si>
  <si>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</si>
  <si>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</si>
  <si>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</si>
  <si>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</si>
  <si>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</si>
  <si>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</si>
  <si>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</si>
  <si>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</si>
  <si>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</si>
  <si>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</si>
  <si>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</si>
  <si>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</si>
  <si>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</si>
  <si>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</si>
  <si>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</si>
  <si>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</si>
  <si>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</si>
  <si>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</si>
  <si>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</si>
  <si>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</si>
  <si>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</si>
  <si>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</si>
  <si>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</si>
  <si>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</si>
  <si>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</si>
  <si>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</si>
  <si>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</si>
  <si>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</si>
  <si>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</si>
  <si>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</si>
  <si>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</si>
  <si>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</si>
  <si>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</si>
  <si>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</si>
  <si>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</si>
  <si>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</si>
  <si>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</si>
  <si>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</si>
  <si>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</si>
  <si>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</si>
  <si>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</si>
  <si>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</si>
  <si>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</si>
  <si>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</si>
  <si>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</si>
  <si>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</si>
  <si>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</si>
  <si>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</si>
  <si>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</si>
  <si>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</si>
  <si>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</si>
  <si>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</si>
  <si>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</si>
  <si>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</si>
  <si>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</si>
  <si>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</si>
  <si>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</si>
  <si>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</si>
  <si>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</si>
  <si>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</si>
  <si>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</si>
  <si>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</si>
  <si>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</si>
  <si>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</si>
  <si>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</si>
  <si>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</si>
  <si>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</si>
  <si>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</si>
  <si>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</si>
  <si>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</si>
  <si>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</si>
  <si>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</si>
  <si>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</si>
  <si>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</si>
  <si>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</si>
  <si>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</si>
  <si>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</si>
  <si>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</si>
  <si>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</si>
  <si>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</si>
  <si>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</si>
  <si>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</si>
  <si>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</si>
  <si>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</si>
  <si>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</si>
  <si>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</si>
  <si>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</si>
  <si>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</si>
  <si>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</si>
  <si>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</si>
  <si>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</si>
  <si>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</si>
  <si>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</si>
  <si>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</si>
  <si>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</si>
  <si>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</si>
  <si>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</si>
  <si>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</si>
  <si>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</si>
  <si>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</si>
  <si>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</si>
  <si>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</si>
  <si>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</si>
  <si>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</si>
  <si>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</si>
  <si>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</si>
  <si>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</si>
  <si>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</si>
  <si>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</si>
  <si>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</si>
  <si>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</si>
  <si>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</si>
  <si>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</si>
  <si>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</si>
  <si>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</si>
  <si>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</si>
  <si>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</si>
  <si>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</si>
  <si>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</si>
  <si>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</si>
  <si>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</si>
  <si>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</si>
  <si>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</si>
  <si>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</si>
  <si>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</si>
  <si>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</si>
  <si>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</si>
  <si>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</si>
  <si>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</si>
  <si>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</si>
  <si>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</si>
  <si>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</si>
  <si>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</si>
  <si>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</si>
  <si>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</si>
  <si>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</si>
  <si>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</si>
  <si>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</si>
  <si>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</si>
  <si>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</si>
  <si>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</si>
  <si>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</si>
  <si>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</si>
  <si>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</si>
  <si>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</si>
  <si>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</si>
  <si>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</si>
  <si>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</si>
  <si>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</si>
  <si>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</si>
  <si>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</si>
  <si>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</si>
  <si>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</si>
  <si>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</si>
  <si>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</si>
  <si>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</si>
  <si>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</si>
  <si>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</si>
  <si>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</si>
  <si>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</si>
  <si>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</si>
  <si>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</si>
  <si>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</si>
  <si>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</si>
  <si>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</si>
  <si>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</si>
  <si>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</si>
  <si>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</si>
  <si>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</si>
  <si>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</si>
  <si>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</si>
  <si>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</si>
  <si>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</si>
  <si>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</si>
  <si>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</si>
  <si>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</si>
  <si>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</si>
  <si>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</si>
  <si>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</si>
  <si>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</si>
  <si>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</si>
  <si>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</si>
  <si>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</si>
  <si>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</si>
  <si>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</si>
  <si>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</si>
  <si>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</si>
  <si>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</si>
  <si>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</si>
  <si>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</si>
  <si>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</si>
  <si>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</si>
  <si>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</si>
  <si>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</si>
  <si>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</si>
  <si>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</si>
  <si>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</si>
  <si>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</si>
  <si>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</si>
  <si>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</si>
  <si>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</si>
  <si>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</si>
  <si>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</si>
  <si>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</si>
  <si>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</si>
  <si>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</si>
  <si>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</si>
  <si>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</si>
  <si>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</si>
  <si>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</si>
  <si>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</si>
  <si>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</si>
  <si>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</si>
  <si>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</si>
  <si>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</si>
  <si>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</si>
  <si>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</si>
  <si>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</si>
  <si>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</si>
  <si>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</si>
  <si>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</si>
  <si>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</si>
  <si>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</si>
  <si>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</si>
  <si>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</si>
  <si>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</si>
  <si>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</si>
  <si>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</si>
  <si>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</si>
  <si>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</si>
  <si>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</si>
  <si>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</si>
  <si>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</si>
  <si>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</si>
  <si>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</si>
  <si>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</si>
  <si>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</si>
  <si>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</si>
  <si>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</si>
  <si>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</si>
  <si>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</si>
  <si>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</si>
  <si>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</si>
  <si>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</si>
  <si>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</si>
  <si>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</si>
  <si>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</si>
  <si>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</si>
  <si>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</si>
  <si>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</si>
  <si>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</si>
  <si>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</si>
  <si>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</si>
  <si>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</si>
  <si>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</si>
  <si>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</si>
  <si>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</si>
  <si>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</si>
  <si>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</si>
  <si>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</si>
  <si>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</si>
  <si>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</si>
  <si>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</si>
  <si>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</si>
  <si>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</si>
  <si>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</si>
  <si>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</si>
  <si>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</si>
  <si>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</si>
  <si>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</si>
  <si>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</si>
  <si>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</si>
  <si>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</si>
  <si>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</si>
  <si>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</si>
  <si>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</si>
  <si>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</si>
  <si>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</si>
  <si>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</si>
  <si>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Federal &amp; State Income Tax Adjustment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</si>
  <si>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</si>
  <si>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</si>
  <si>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</si>
  <si>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</si>
  <si>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</si>
  <si>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</si>
  <si>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</si>
  <si>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</si>
  <si>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</si>
  <si>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</si>
  <si>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</si>
  <si>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</si>
  <si>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</si>
  <si>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</si>
  <si>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</si>
  <si>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</si>
  <si>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</si>
  <si>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</si>
  <si>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</si>
  <si>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</si>
  <si>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</si>
  <si>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</si>
  <si>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</si>
  <si>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</si>
  <si>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</si>
  <si>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</si>
  <si>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</si>
  <si>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</si>
  <si>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</si>
  <si>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</si>
  <si>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</si>
  <si>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</si>
  <si>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</si>
  <si>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</si>
  <si>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</si>
  <si>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</si>
  <si>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</si>
  <si>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</si>
  <si>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</si>
  <si>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</si>
  <si>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</si>
  <si>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</si>
  <si>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</si>
  <si>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</si>
  <si>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</si>
  <si>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</si>
  <si>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</si>
  <si>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</si>
  <si>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</si>
  <si>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</si>
  <si>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</si>
  <si>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</si>
  <si>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</si>
  <si>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</si>
  <si>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</si>
  <si>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</si>
  <si>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</si>
  <si>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</si>
  <si>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</si>
  <si>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</si>
  <si>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</si>
  <si>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</si>
  <si>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</si>
  <si>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</si>
  <si>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Residential Rate RS</t>
  </si>
  <si>
    <t>Power Service Primary Rate PS</t>
  </si>
  <si>
    <t>Power Service Secondary Rate PS</t>
  </si>
  <si>
    <t>Summary of Unadjusted Rates of Return by Class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</si>
  <si>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</si>
  <si>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</si>
  <si>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</si>
  <si>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</si>
  <si>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</si>
  <si>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</si>
  <si>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</si>
  <si>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</si>
  <si>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</si>
  <si>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</si>
  <si>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Unit</t>
  </si>
  <si>
    <t>P374</t>
  </si>
  <si>
    <t>Cost of Service Summary -- Adjusted for Uniform Percentage Increase</t>
  </si>
  <si>
    <t>Misc Service Revenue Allocator</t>
  </si>
  <si>
    <t>Summary of Adjusted Rates of Return by Class</t>
  </si>
  <si>
    <t>Summary of Rates of Return by Class w/Proposed Increase</t>
  </si>
  <si>
    <t>Lighting Rate RLS &amp; LS</t>
  </si>
  <si>
    <t>Lighting Rate 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</si>
  <si>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</si>
  <si>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</si>
  <si>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</si>
  <si>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</si>
  <si>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</si>
  <si>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</si>
  <si>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</si>
  <si>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</si>
  <si>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</si>
  <si>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</si>
  <si>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</si>
  <si>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</si>
  <si>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</si>
  <si>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</si>
  <si>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</si>
  <si>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</si>
  <si>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</si>
  <si>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</si>
  <si>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</si>
  <si>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</si>
  <si>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</si>
  <si>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TOD Rate TOD Secondary</t>
  </si>
  <si>
    <t>TOD Rate TOD Primary</t>
  </si>
  <si>
    <t>Rate PS Secondary</t>
  </si>
  <si>
    <t>Rate PS Primary</t>
  </si>
  <si>
    <t>Rate TOD Secondary</t>
  </si>
  <si>
    <t>General Service</t>
  </si>
  <si>
    <t>Retail Transmission Service Rate RTS</t>
  </si>
  <si>
    <t>External Functional Vectors</t>
  </si>
  <si>
    <t>Rate TOD Primary</t>
  </si>
  <si>
    <t>PTRTL</t>
  </si>
  <si>
    <t>General Service Rate GS</t>
  </si>
  <si>
    <t>TOD Primary</t>
  </si>
  <si>
    <t xml:space="preserve">  Curtailable Service Rider</t>
  </si>
  <si>
    <t xml:space="preserve">  368-TRANSFORMERS</t>
  </si>
  <si>
    <t xml:space="preserve">  Sales for Resale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</si>
  <si>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</si>
  <si>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</si>
  <si>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</si>
  <si>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</si>
  <si>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</si>
  <si>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</si>
  <si>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</si>
  <si>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</si>
  <si>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</si>
  <si>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</si>
  <si>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</si>
  <si>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</si>
  <si>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</si>
  <si>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</si>
  <si>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</si>
  <si>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</si>
  <si>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</si>
  <si>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</si>
  <si>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</si>
  <si>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Demand Cost</t>
  </si>
  <si>
    <t>Energy Cost</t>
  </si>
  <si>
    <t>Less: Misc Revenue - Prod Demand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</si>
  <si>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</si>
  <si>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</si>
  <si>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</si>
  <si>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</si>
  <si>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</si>
  <si>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</si>
  <si>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</si>
  <si>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</si>
  <si>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</si>
  <si>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Outdoor School Lighting</t>
  </si>
  <si>
    <t>Rate OSL</t>
  </si>
  <si>
    <t xml:space="preserve">  Production Demand - Not Used</t>
  </si>
  <si>
    <t>Rate SSP</t>
  </si>
  <si>
    <t>Traffic Energy Rate TLE</t>
  </si>
  <si>
    <t>Production Depreciation Residual LOLP Demand Allocator</t>
  </si>
  <si>
    <t xml:space="preserve">Production Depreciation LOLP Demand Costs </t>
  </si>
  <si>
    <t>Production O&amp;M Residual LOLP Demand Allocator</t>
  </si>
  <si>
    <t xml:space="preserve">Production O&amp;M LOLP Demand Costs </t>
  </si>
  <si>
    <t>Production Prop Tax Residual LOLP Demand Allocator</t>
  </si>
  <si>
    <t xml:space="preserve">Production Prop Tax LOLP Demand Costs </t>
  </si>
  <si>
    <t>Production Prop Tax LOLP Demand Residual</t>
  </si>
  <si>
    <t>Production Prop Tax LOLP Demand Total</t>
  </si>
  <si>
    <t>Production Prop Tax LOLP Demand Allocator</t>
  </si>
  <si>
    <t>Production Depreciation LOLP Demand Residual</t>
  </si>
  <si>
    <t>Production Depreciation LOLP Demand Total</t>
  </si>
  <si>
    <t>Production Depreciation LOLP Demand Allocator</t>
  </si>
  <si>
    <t>Production O&amp;M LOLP Demand Allocator</t>
  </si>
  <si>
    <t>Production O&amp;M LOLP Demand Total</t>
  </si>
  <si>
    <t>Production O&amp;M LOLP Demand Residual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</si>
  <si>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</si>
  <si>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</si>
  <si>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</si>
  <si>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</si>
  <si>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</si>
  <si>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</si>
  <si>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</si>
  <si>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</si>
  <si>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</si>
  <si>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</si>
  <si>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</si>
  <si>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</si>
  <si>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</si>
  <si>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</si>
  <si>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</si>
  <si>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</si>
  <si>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</si>
  <si>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</si>
  <si>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</si>
  <si>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</si>
  <si>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</si>
  <si>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</si>
  <si>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</si>
  <si>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</si>
  <si>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</si>
  <si>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</si>
  <si>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</si>
  <si>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</si>
  <si>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</si>
  <si>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</si>
  <si>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</si>
  <si>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Existing</t>
  </si>
  <si>
    <t>AMS</t>
  </si>
  <si>
    <t>Existing Meter</t>
  </si>
  <si>
    <t>AMS Meter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</si>
  <si>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</si>
  <si>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</si>
  <si>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</si>
  <si>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</si>
  <si>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</si>
  <si>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</si>
  <si>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</si>
  <si>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</si>
  <si>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</si>
  <si>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</si>
  <si>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</si>
  <si>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</si>
  <si>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</si>
  <si>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</si>
  <si>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</si>
  <si>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</si>
  <si>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Production ITC Residual LOLP Demand Allocator</t>
  </si>
  <si>
    <t xml:space="preserve">Production ITC LOLP Demand Costs </t>
  </si>
  <si>
    <t>Production ITC LOLP Demand Residual</t>
  </si>
  <si>
    <t>Production ITC LOLP Demand Total</t>
  </si>
  <si>
    <t>Production ITC LOLP Demand Allocator</t>
  </si>
  <si>
    <t>Interruptible Credit Allocator (Prod Plant)</t>
  </si>
  <si>
    <t>Average Customers (Lighting = 9 Lights)</t>
  </si>
  <si>
    <t>Special Contract Customer</t>
  </si>
  <si>
    <t>Electric Vehicle Charging EVC</t>
  </si>
  <si>
    <t>Solar Share SS</t>
  </si>
  <si>
    <t>Business Solar BS</t>
  </si>
  <si>
    <t>Net Plant Production Residual LOLP Demand Allocator</t>
  </si>
  <si>
    <t xml:space="preserve">Net Plant Production LOLP Demand Costs </t>
  </si>
  <si>
    <t>Net Plant Production LOLP Demand Residual</t>
  </si>
  <si>
    <t>Net Plant Production LOLP Demand Total</t>
  </si>
  <si>
    <t>Net Plant Production LOLP Demand Allocator</t>
  </si>
  <si>
    <t>Rate Base Production Residual LOLP Demand Allocator</t>
  </si>
  <si>
    <t xml:space="preserve">Rate Base Production LOLP Demand Costs </t>
  </si>
  <si>
    <t>Rate Base Production LOLP Demand Residual</t>
  </si>
  <si>
    <t>Rate Base Production LOLP Demand Total</t>
  </si>
  <si>
    <t>Rate Base Production LOLP Demand Allocator</t>
  </si>
  <si>
    <t>MRBRA</t>
  </si>
  <si>
    <t>MRBT</t>
  </si>
  <si>
    <t>MRBA</t>
  </si>
  <si>
    <t>kWh</t>
  </si>
  <si>
    <t>Outdoor Sports Lighting</t>
  </si>
  <si>
    <t>Gross Plant Production Residual LOLP Demand Allocator</t>
  </si>
  <si>
    <t xml:space="preserve">Gross Plant Production LOLP Demand Costs </t>
  </si>
  <si>
    <t>Gross Plant Production LOLP Demand Residual</t>
  </si>
  <si>
    <t>Gross Plant Production LOLP Demand Total</t>
  </si>
  <si>
    <t>Gross Plant Production LOLP Demand Allocator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</si>
  <si>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</si>
  <si>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</si>
  <si>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</si>
  <si>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</si>
  <si>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</si>
  <si>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</si>
  <si>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</si>
  <si>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</si>
  <si>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</si>
  <si>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</si>
  <si>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</si>
  <si>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</si>
  <si>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</si>
  <si>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</si>
  <si>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</si>
  <si>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Outdoor Sports Lighting OSL</t>
  </si>
  <si>
    <t>(28)</t>
  </si>
  <si>
    <t>Less: Misc Revenue - Transmission</t>
  </si>
  <si>
    <t>Revenue Adjustment for Solar Share and EV</t>
  </si>
  <si>
    <t>DEPRDP7</t>
  </si>
  <si>
    <t>Revenue Adjustments</t>
  </si>
  <si>
    <t>Curtailable Service Rider</t>
  </si>
  <si>
    <t>Single Phase</t>
  </si>
  <si>
    <t>Three Phase</t>
  </si>
  <si>
    <t>Changes in Late Payment Fees</t>
  </si>
  <si>
    <t>Changes in Miscellaneous Charges</t>
  </si>
  <si>
    <t>Changes in Rent on Electric Property</t>
  </si>
  <si>
    <t>Rate RLS, LS</t>
  </si>
  <si>
    <t>Lighting Rate TE</t>
  </si>
  <si>
    <t>Incremental Uncollectible Accounts Expense</t>
  </si>
  <si>
    <t>Incremental Commission Fees</t>
  </si>
  <si>
    <t>Changes to EVSE-R</t>
  </si>
  <si>
    <t>Street Lighting Rate (RLS &amp; LS)</t>
  </si>
  <si>
    <t>Proposed</t>
  </si>
  <si>
    <t>on Rate Base</t>
  </si>
  <si>
    <t>Current</t>
  </si>
  <si>
    <t>Increase</t>
  </si>
  <si>
    <t>For the 12 Months Ended June 30, 2022</t>
  </si>
  <si>
    <t>Customer Service O&amp;M Cost Allocation</t>
  </si>
  <si>
    <t>Customer Service Residual Allocator</t>
  </si>
  <si>
    <t>CSRA</t>
  </si>
  <si>
    <t xml:space="preserve">Customer Service O&amp;M Costs </t>
  </si>
  <si>
    <t>Customer Service O&amp;M Residual</t>
  </si>
  <si>
    <t>Customer Service O&amp;M Total</t>
  </si>
  <si>
    <t>CSOT</t>
  </si>
  <si>
    <t>Customer Service O&amp;M Allocator</t>
  </si>
  <si>
    <t>C10</t>
  </si>
  <si>
    <t>Residential Net Metering NMS1</t>
  </si>
  <si>
    <t>Residential Net Metering</t>
  </si>
  <si>
    <t>Rate NMS 1</t>
  </si>
  <si>
    <t>Residential Net Metering Rate NMS1</t>
  </si>
  <si>
    <t xml:space="preserve">  Allocation of Net Metering Payback</t>
  </si>
  <si>
    <t xml:space="preserve">  Net Metering Credits</t>
  </si>
  <si>
    <t>6CP Demand Allocator</t>
  </si>
  <si>
    <t>6CP</t>
  </si>
  <si>
    <t>PLPP6CP</t>
  </si>
  <si>
    <t>GP6CPDA</t>
  </si>
  <si>
    <t>GPP6CPDRA</t>
  </si>
  <si>
    <t>GPP6CPDT</t>
  </si>
  <si>
    <t>NPP6CPDRA</t>
  </si>
  <si>
    <t>NPP6CPDT</t>
  </si>
  <si>
    <t>NP6CPDA</t>
  </si>
  <si>
    <t>RBP6CPDRA</t>
  </si>
  <si>
    <t>RBP6CPDT</t>
  </si>
  <si>
    <t>RB6CPDA</t>
  </si>
  <si>
    <t>POM6CPDRA</t>
  </si>
  <si>
    <t>POM6CPDT</t>
  </si>
  <si>
    <t>POM6CPDA</t>
  </si>
  <si>
    <t>PDEP6CPDRA</t>
  </si>
  <si>
    <t>PDEP6CPDT</t>
  </si>
  <si>
    <t>PDEP6CPDA</t>
  </si>
  <si>
    <t>PPT6CPDRA</t>
  </si>
  <si>
    <t>PPT6CPDT</t>
  </si>
  <si>
    <t>PPT6CPDA</t>
  </si>
  <si>
    <t>PITC6CPDRA</t>
  </si>
  <si>
    <t>PITC6CPDT</t>
  </si>
  <si>
    <t>PITC6CPDA</t>
  </si>
  <si>
    <t>UPPP6CP</t>
  </si>
  <si>
    <t>RBPP6CP</t>
  </si>
  <si>
    <t>OMPP6CP</t>
  </si>
  <si>
    <t>LBPP6CP</t>
  </si>
  <si>
    <t>DEPP6CP</t>
  </si>
  <si>
    <t>RCP6CP</t>
  </si>
  <si>
    <t>ACRP6CP</t>
  </si>
  <si>
    <t>PTPP6CP</t>
  </si>
  <si>
    <t xml:space="preserve">  Production Demand - 6CP</t>
  </si>
  <si>
    <t>OTPP6CP</t>
  </si>
  <si>
    <t>INTP6CP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</si>
</sst>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  <numFmt numFmtId="194" formatCode="0.00000%"/>
    <numFmt numFmtId="195" formatCode="_(* #,##0.0_);_(* \(#,##0.0\);_(* &quot;-&quot;??_);_(@_)"/>
    <numFmt numFmtId="196" formatCode="0.000%"/>
    <numFmt numFmtId="197" formatCode="0.0%"/>
    <numFmt numFmtId="198" formatCode="_(* #,##0.000000000_);_(* \(#,##0.000000000\);_(* &quot;-&quot;??_);_(@_)"/>
  </numFmts>
  <fonts count="137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u/>
      <sz val="11"/>
      <name val="Times New Roman"/>
      <family val="1"/>
    </font>
  </fonts>
  <fills count="8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96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4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4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0" fontId="2" fillId="1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3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2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5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2" fillId="2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47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2" fillId="31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2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2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54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2" fillId="20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2" fillId="28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3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0" fontId="2" fillId="3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4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0" fontId="2" fillId="36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9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0" fontId="2" fillId="40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7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53" borderId="0" applyNumberFormat="0" applyBorder="0" applyAlignment="0" applyProtection="0"/>
    <xf numFmtId="181" fontId="65" fillId="25" borderId="0" applyNumberFormat="0" applyBorder="0" applyAlignment="0" applyProtection="0"/>
    <xf numFmtId="181" fontId="64" fillId="53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53" fillId="2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51" borderId="0" applyNumberFormat="0" applyBorder="0" applyAlignment="0" applyProtection="0"/>
    <xf numFmtId="181" fontId="65" fillId="29" borderId="0" applyNumberFormat="0" applyBorder="0" applyAlignment="0" applyProtection="0"/>
    <xf numFmtId="181" fontId="64" fillId="5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53" fillId="29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4" borderId="0" applyNumberFormat="0" applyBorder="0" applyAlignment="0" applyProtection="0"/>
    <xf numFmtId="181" fontId="65" fillId="33" borderId="0" applyNumberFormat="0" applyBorder="0" applyAlignment="0" applyProtection="0"/>
    <xf numFmtId="181" fontId="64" fillId="44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0" fontId="53" fillId="33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4" borderId="0" applyNumberFormat="0" applyBorder="0" applyAlignment="0" applyProtection="0"/>
    <xf numFmtId="181" fontId="64" fillId="4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9" borderId="0" applyNumberFormat="0" applyBorder="0" applyAlignment="0" applyProtection="0"/>
    <xf numFmtId="181" fontId="65" fillId="37" borderId="0" applyNumberFormat="0" applyBorder="0" applyAlignment="0" applyProtection="0"/>
    <xf numFmtId="181" fontId="64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37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4" fillId="45" borderId="0" applyNumberFormat="0" applyBorder="0" applyAlignment="0" applyProtection="0"/>
    <xf numFmtId="181" fontId="65" fillId="41" borderId="0" applyNumberFormat="0" applyBorder="0" applyAlignment="0" applyProtection="0"/>
    <xf numFmtId="181" fontId="64" fillId="4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41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5" fillId="41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58" borderId="0" applyNumberFormat="0" applyBorder="0" applyAlignment="0" applyProtection="0"/>
    <xf numFmtId="181" fontId="65" fillId="18" borderId="0" applyNumberFormat="0" applyBorder="0" applyAlignment="0" applyProtection="0"/>
    <xf numFmtId="181" fontId="64" fillId="5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0" fontId="53" fillId="1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3" borderId="0" applyNumberFormat="0" applyBorder="0" applyAlignment="0" applyProtection="0"/>
    <xf numFmtId="181" fontId="65" fillId="22" borderId="0" applyNumberFormat="0" applyBorder="0" applyAlignment="0" applyProtection="0"/>
    <xf numFmtId="181" fontId="64" fillId="53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53" fillId="2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1" borderId="0" applyNumberFormat="0" applyBorder="0" applyAlignment="0" applyProtection="0"/>
    <xf numFmtId="181" fontId="65" fillId="26" borderId="0" applyNumberFormat="0" applyBorder="0" applyAlignment="0" applyProtection="0"/>
    <xf numFmtId="181" fontId="64" fillId="51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53" fillId="2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61" borderId="0" applyNumberFormat="0" applyBorder="0" applyAlignment="0" applyProtection="0"/>
    <xf numFmtId="181" fontId="65" fillId="30" borderId="0" applyNumberFormat="0" applyBorder="0" applyAlignment="0" applyProtection="0"/>
    <xf numFmtId="181" fontId="64" fillId="61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0" fontId="53" fillId="3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9" borderId="0" applyNumberFormat="0" applyBorder="0" applyAlignment="0" applyProtection="0"/>
    <xf numFmtId="181" fontId="65" fillId="38" borderId="0" applyNumberFormat="0" applyBorder="0" applyAlignment="0" applyProtection="0"/>
    <xf numFmtId="181" fontId="64" fillId="5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53" fillId="38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44" fillId="12" borderId="0" applyNumberFormat="0" applyBorder="0" applyAlignment="0" applyProtection="0"/>
    <xf numFmtId="181" fontId="44" fillId="12" borderId="0" applyNumberFormat="0" applyBorder="0" applyAlignment="0" applyProtection="0"/>
    <xf numFmtId="181" fontId="44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6" fillId="48" borderId="0" applyNumberFormat="0" applyBorder="0" applyAlignment="0" applyProtection="0"/>
    <xf numFmtId="181" fontId="67" fillId="12" borderId="0" applyNumberFormat="0" applyBorder="0" applyAlignment="0" applyProtection="0"/>
    <xf numFmtId="181" fontId="66" fillId="48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0" fontId="44" fillId="12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7" fillId="12" borderId="0" applyNumberFormat="0" applyBorder="0" applyAlignment="0" applyProtection="0"/>
    <xf numFmtId="181" fontId="66" fillId="48" borderId="0" applyNumberFormat="0" applyBorder="0" applyAlignment="0" applyProtection="0"/>
    <xf numFmtId="181" fontId="66" fillId="48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48" fillId="15" borderId="21" applyNumberFormat="0" applyAlignment="0" applyProtection="0"/>
    <xf numFmtId="181" fontId="48" fillId="15" borderId="21" applyNumberFormat="0" applyAlignment="0" applyProtection="0"/>
    <xf numFmtId="181" fontId="48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70" fillId="4" borderId="29" applyNumberFormat="0" applyAlignment="0" applyProtection="0"/>
    <xf numFmtId="181" fontId="69" fillId="15" borderId="21" applyNumberFormat="0" applyAlignment="0" applyProtection="0"/>
    <xf numFmtId="181" fontId="70" fillId="4" borderId="29" applyNumberFormat="0" applyAlignment="0" applyProtection="0"/>
    <xf numFmtId="0" fontId="48" fillId="15" borderId="21" applyNumberFormat="0" applyAlignment="0" applyProtection="0"/>
    <xf numFmtId="0" fontId="48" fillId="15" borderId="21" applyNumberFormat="0" applyAlignment="0" applyProtection="0"/>
    <xf numFmtId="0" fontId="48" fillId="15" borderId="21" applyNumberFormat="0" applyAlignment="0" applyProtection="0"/>
    <xf numFmtId="0" fontId="48" fillId="15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5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69" fillId="15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68" fillId="62" borderId="29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50" fillId="16" borderId="24" applyNumberFormat="0" applyAlignment="0" applyProtection="0"/>
    <xf numFmtId="181" fontId="50" fillId="16" borderId="24" applyNumberFormat="0" applyAlignment="0" applyProtection="0"/>
    <xf numFmtId="181" fontId="50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1" fillId="63" borderId="30" applyNumberFormat="0" applyAlignment="0" applyProtection="0"/>
    <xf numFmtId="181" fontId="72" fillId="16" borderId="24" applyNumberFormat="0" applyAlignment="0" applyProtection="0"/>
    <xf numFmtId="181" fontId="71" fillId="63" borderId="30" applyNumberFormat="0" applyAlignment="0" applyProtection="0"/>
    <xf numFmtId="0" fontId="50" fillId="16" borderId="24" applyNumberFormat="0" applyAlignment="0" applyProtection="0"/>
    <xf numFmtId="0" fontId="50" fillId="16" borderId="24" applyNumberFormat="0" applyAlignment="0" applyProtection="0"/>
    <xf numFmtId="0" fontId="50" fillId="16" borderId="24" applyNumberFormat="0" applyAlignment="0" applyProtection="0"/>
    <xf numFmtId="0" fontId="50" fillId="16" borderId="24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0" fontId="50" fillId="16" borderId="24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2" fillId="16" borderId="24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181" fontId="71" fillId="63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43" fillId="11" borderId="0" applyNumberFormat="0" applyBorder="0" applyAlignment="0" applyProtection="0"/>
    <xf numFmtId="181" fontId="43" fillId="11" borderId="0" applyNumberFormat="0" applyBorder="0" applyAlignment="0" applyProtection="0"/>
    <xf numFmtId="181" fontId="43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5" fillId="49" borderId="0" applyNumberFormat="0" applyBorder="0" applyAlignment="0" applyProtection="0"/>
    <xf numFmtId="181" fontId="76" fillId="11" borderId="0" applyNumberFormat="0" applyBorder="0" applyAlignment="0" applyProtection="0"/>
    <xf numFmtId="181" fontId="75" fillId="4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0" fontId="43" fillId="11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6" fillId="11" borderId="0" applyNumberFormat="0" applyBorder="0" applyAlignment="0" applyProtection="0"/>
    <xf numFmtId="181" fontId="75" fillId="49" borderId="0" applyNumberFormat="0" applyBorder="0" applyAlignment="0" applyProtection="0"/>
    <xf numFmtId="181" fontId="75" fillId="49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5" fillId="46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4" borderId="21" applyNumberFormat="0" applyAlignment="0" applyProtection="0"/>
    <xf numFmtId="181" fontId="46" fillId="14" borderId="21" applyNumberFormat="0" applyAlignment="0" applyProtection="0"/>
    <xf numFmtId="181" fontId="4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5" fillId="3" borderId="29" applyNumberFormat="0" applyAlignment="0" applyProtection="0"/>
    <xf numFmtId="181" fontId="86" fillId="14" borderId="21" applyNumberFormat="0" applyAlignment="0" applyProtection="0"/>
    <xf numFmtId="181" fontId="85" fillId="3" borderId="29" applyNumberFormat="0" applyAlignment="0" applyProtection="0"/>
    <xf numFmtId="0" fontId="46" fillId="14" borderId="21" applyNumberFormat="0" applyAlignment="0" applyProtection="0"/>
    <xf numFmtId="0" fontId="46" fillId="14" borderId="21" applyNumberFormat="0" applyAlignment="0" applyProtection="0"/>
    <xf numFmtId="0" fontId="46" fillId="14" borderId="21" applyNumberFormat="0" applyAlignment="0" applyProtection="0"/>
    <xf numFmtId="0" fontId="46" fillId="14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4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6" fillId="14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13" borderId="0" applyNumberFormat="0" applyBorder="0" applyAlignment="0" applyProtection="0"/>
    <xf numFmtId="181" fontId="45" fillId="13" borderId="0" applyNumberFormat="0" applyBorder="0" applyAlignment="0" applyProtection="0"/>
    <xf numFmtId="181" fontId="45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2" fillId="3" borderId="0" applyNumberFormat="0" applyBorder="0" applyAlignment="0" applyProtection="0"/>
    <xf numFmtId="181" fontId="91" fillId="13" borderId="0" applyNumberFormat="0" applyBorder="0" applyAlignment="0" applyProtection="0"/>
    <xf numFmtId="181" fontId="92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1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1" fillId="1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94" fillId="47" borderId="39" applyNumberFormat="0" applyFont="0" applyAlignment="0" applyProtection="0"/>
    <xf numFmtId="181" fontId="94" fillId="47" borderId="39" applyNumberFormat="0" applyFont="0" applyAlignment="0" applyProtection="0"/>
    <xf numFmtId="181" fontId="94" fillId="47" borderId="39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54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2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0" fontId="2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54" fillId="17" borderId="25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11" fillId="47" borderId="39" applyNumberFormat="0" applyFon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47" fillId="15" borderId="22" applyNumberFormat="0" applyAlignment="0" applyProtection="0"/>
    <xf numFmtId="181" fontId="47" fillId="15" borderId="22" applyNumberFormat="0" applyAlignment="0" applyProtection="0"/>
    <xf numFmtId="181" fontId="47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5" fillId="4" borderId="40" applyNumberFormat="0" applyAlignment="0" applyProtection="0"/>
    <xf numFmtId="181" fontId="96" fillId="15" borderId="22" applyNumberFormat="0" applyAlignment="0" applyProtection="0"/>
    <xf numFmtId="181" fontId="95" fillId="4" borderId="40" applyNumberFormat="0" applyAlignment="0" applyProtection="0"/>
    <xf numFmtId="0" fontId="47" fillId="15" borderId="22" applyNumberFormat="0" applyAlignment="0" applyProtection="0"/>
    <xf numFmtId="0" fontId="47" fillId="15" borderId="22" applyNumberFormat="0" applyAlignment="0" applyProtection="0"/>
    <xf numFmtId="0" fontId="47" fillId="15" borderId="22" applyNumberFormat="0" applyAlignment="0" applyProtection="0"/>
    <xf numFmtId="0" fontId="47" fillId="15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5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6" fillId="15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95" fillId="62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40" fillId="0" borderId="0"/>
    <xf numFmtId="0" fontId="2" fillId="0" borderId="0"/>
    <xf numFmtId="0" fontId="5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64" borderId="0"/>
    <xf numFmtId="0" fontId="8" fillId="64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63" fillId="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6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3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6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51" borderId="0" applyNumberFormat="0" applyBorder="0" applyAlignment="0" applyProtection="0"/>
    <xf numFmtId="0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102" fillId="0" borderId="4" applyBorder="0"/>
    <xf numFmtId="0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6" fillId="44" borderId="0" applyNumberFormat="0" applyBorder="0" applyAlignment="0" applyProtection="0"/>
    <xf numFmtId="181" fontId="66" fillId="44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5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5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5" borderId="21" applyNumberFormat="0" applyAlignment="0" applyProtection="0"/>
    <xf numFmtId="179" fontId="104" fillId="65" borderId="29" applyNumberFormat="0" applyAlignment="0" applyProtection="0"/>
    <xf numFmtId="0" fontId="48" fillId="15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5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179" fontId="104" fillId="65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2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63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6" borderId="0"/>
    <xf numFmtId="3" fontId="8" fillId="0" borderId="0" applyFont="0" applyFill="0" applyBorder="0" applyAlignment="0" applyProtection="0"/>
    <xf numFmtId="3" fontId="8" fillId="66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6" borderId="0"/>
    <xf numFmtId="3" fontId="8" fillId="66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0" borderId="46" applyNumberFormat="0" applyFont="0" applyAlignment="0">
      <protection locked="0"/>
    </xf>
    <xf numFmtId="0" fontId="8" fillId="50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6" borderId="0" applyNumberFormat="0" applyBorder="0" applyAlignment="0" applyProtection="0"/>
    <xf numFmtId="181" fontId="75" fillId="46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4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4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4" borderId="21" applyNumberFormat="0" applyAlignment="0" applyProtection="0"/>
    <xf numFmtId="179" fontId="114" fillId="2" borderId="29" applyNumberFormat="0" applyAlignment="0" applyProtection="0"/>
    <xf numFmtId="0" fontId="46" fillId="14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7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4" fillId="0" borderId="0"/>
    <xf numFmtId="0" fontId="4" fillId="0" borderId="0"/>
    <xf numFmtId="183" fontId="8" fillId="0" borderId="0"/>
    <xf numFmtId="0" fontId="4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54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37" fontId="11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8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78" fontId="5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8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1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37" fontId="11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8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11" fillId="47" borderId="39" applyNumberFormat="0" applyFont="0" applyAlignment="0" applyProtection="0"/>
    <xf numFmtId="0" fontId="2" fillId="0" borderId="0"/>
    <xf numFmtId="0" fontId="2" fillId="0" borderId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2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81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178" fontId="94" fillId="17" borderId="25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94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2" fillId="0" borderId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40" fillId="47" borderId="39" applyNumberFormat="0" applyFont="0" applyAlignment="0" applyProtection="0"/>
    <xf numFmtId="0" fontId="95" fillId="62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2" fillId="0" borderId="0"/>
    <xf numFmtId="181" fontId="95" fillId="62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2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7" borderId="0">
      <alignment horizontal="center"/>
    </xf>
    <xf numFmtId="0" fontId="34" fillId="67" borderId="0">
      <alignment horizontal="center"/>
    </xf>
    <xf numFmtId="183" fontId="34" fillId="67" borderId="0">
      <alignment horizontal="center"/>
    </xf>
    <xf numFmtId="0" fontId="34" fillId="6" borderId="0">
      <alignment horizontal="center" vertical="center"/>
    </xf>
    <xf numFmtId="0" fontId="2" fillId="0" borderId="0"/>
    <xf numFmtId="0" fontId="34" fillId="67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7" borderId="0">
      <alignment horizontal="center"/>
    </xf>
    <xf numFmtId="183" fontId="34" fillId="67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8" borderId="0"/>
    <xf numFmtId="0" fontId="28" fillId="68" borderId="0"/>
    <xf numFmtId="183" fontId="28" fillId="68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2" fillId="0" borderId="0"/>
    <xf numFmtId="0" fontId="28" fillId="68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8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2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8" borderId="0" applyBorder="0">
      <alignment horizontal="centerContinuous"/>
    </xf>
    <xf numFmtId="0" fontId="121" fillId="68" borderId="0" applyBorder="0">
      <alignment horizontal="centerContinuous"/>
    </xf>
    <xf numFmtId="183" fontId="121" fillId="68" borderId="0" applyBorder="0">
      <alignment horizontal="centerContinuous"/>
    </xf>
    <xf numFmtId="0" fontId="122" fillId="68" borderId="0" applyBorder="0">
      <alignment horizontal="centerContinuous"/>
    </xf>
    <xf numFmtId="0" fontId="35" fillId="6" borderId="0" applyBorder="0">
      <alignment horizontal="centerContinuous"/>
    </xf>
    <xf numFmtId="0" fontId="2" fillId="0" borderId="0"/>
    <xf numFmtId="0" fontId="121" fillId="68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8" borderId="0" applyBorder="0">
      <alignment horizontal="centerContinuous"/>
    </xf>
    <xf numFmtId="183" fontId="121" fillId="68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0" fontId="124" fillId="69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70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2" fillId="0" borderId="0"/>
    <xf numFmtId="0" fontId="2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2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2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2" fillId="0" borderId="0"/>
    <xf numFmtId="0" fontId="2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2" fillId="0" borderId="0"/>
    <xf numFmtId="0" fontId="2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2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2" fillId="0" borderId="0"/>
    <xf numFmtId="49" fontId="32" fillId="4" borderId="0">
      <alignment horizontal="left"/>
    </xf>
    <xf numFmtId="49" fontId="32" fillId="4" borderId="0">
      <alignment horizontal="left"/>
    </xf>
    <xf numFmtId="0" fontId="2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2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2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2" fillId="0" borderId="0"/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9" fillId="71" borderId="50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126" fillId="71" borderId="51" applyNumberFormat="0" applyProtection="0">
      <alignment vertical="center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4" fontId="9" fillId="71" borderId="50" applyNumberFormat="0" applyProtection="0">
      <alignment horizontal="left" vertical="center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0" fontId="9" fillId="72" borderId="51" applyNumberFormat="0" applyProtection="0">
      <alignment horizontal="left" vertical="top" indent="1"/>
    </xf>
    <xf numFmtId="4" fontId="9" fillId="68" borderId="0" applyNumberFormat="0" applyProtection="0">
      <alignment horizontal="left" vertical="center" indent="1"/>
    </xf>
    <xf numFmtId="4" fontId="9" fillId="68" borderId="0" applyNumberFormat="0" applyProtection="0">
      <alignment horizontal="left" vertical="center" indent="1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8" fillId="71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3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3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9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127" fillId="56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8" fillId="55" borderId="51" applyNumberFormat="0" applyProtection="0">
      <alignment horizontal="right" vertical="center"/>
    </xf>
    <xf numFmtId="4" fontId="9" fillId="75" borderId="0" applyNumberFormat="0" applyProtection="0">
      <alignment horizontal="left" vertical="center" indent="1"/>
    </xf>
    <xf numFmtId="4" fontId="9" fillId="75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36" fillId="76" borderId="0" applyNumberFormat="0" applyProtection="0">
      <alignment horizontal="left" vertical="center" indent="1"/>
    </xf>
    <xf numFmtId="4" fontId="36" fillId="76" borderId="0" applyNumberFormat="0" applyProtection="0">
      <alignment horizontal="left" vertical="center" indent="1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50" applyNumberFormat="0" applyProtection="0">
      <alignment horizontal="right" vertical="center"/>
    </xf>
    <xf numFmtId="4" fontId="8" fillId="53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33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128" fillId="77" borderId="51" applyNumberFormat="0" applyProtection="0">
      <alignment vertical="center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4" fontId="8" fillId="53" borderId="51" applyNumberFormat="0" applyProtection="0">
      <alignment horizontal="left" vertical="center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0" fontId="8" fillId="53" borderId="51" applyNumberFormat="0" applyProtection="0">
      <alignment horizontal="left" vertical="top" indent="1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8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9" fillId="78" borderId="50" applyNumberFormat="0" applyProtection="0">
      <alignment horizontal="right" vertical="center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4" fontId="8" fillId="53" borderId="50" applyNumberFormat="0" applyProtection="0">
      <alignment horizontal="left" vertical="center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0" fontId="8" fillId="53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79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80" borderId="54" applyNumberFormat="0" applyAlignment="0" applyProtection="0">
      <alignment horizontal="left" vertical="center" indent="1"/>
    </xf>
    <xf numFmtId="0" fontId="133" fillId="81" borderId="54" applyNumberFormat="0" applyAlignment="0" applyProtection="0">
      <alignment horizontal="left" vertical="center" indent="1"/>
    </xf>
    <xf numFmtId="0" fontId="133" fillId="82" borderId="54" applyNumberFormat="0" applyAlignment="0" applyProtection="0">
      <alignment horizontal="left" vertical="center" indent="1"/>
    </xf>
    <xf numFmtId="0" fontId="133" fillId="83" borderId="54" applyNumberFormat="0" applyAlignment="0" applyProtection="0">
      <alignment horizontal="left" vertical="center" indent="1"/>
    </xf>
    <xf numFmtId="0" fontId="133" fillId="84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5" borderId="54" applyNumberFormat="0" applyAlignment="0" applyProtection="0">
      <alignment horizontal="left" vertical="center" indent="1"/>
    </xf>
    <xf numFmtId="0" fontId="131" fillId="79" borderId="53" applyNumberFormat="0" applyAlignment="0" applyProtection="0">
      <alignment horizontal="left" vertical="center" indent="1"/>
    </xf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2" fillId="0" borderId="0"/>
    <xf numFmtId="0" fontId="8" fillId="0" borderId="2" applyNumberFormat="0" applyFont="0" applyFill="0" applyAlignment="0" applyProtection="0"/>
    <xf numFmtId="0" fontId="2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2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6" fillId="14" borderId="21" applyNumberFormat="0" applyAlignment="0" applyProtection="0"/>
    <xf numFmtId="0" fontId="47" fillId="15" borderId="22" applyNumberFormat="0" applyAlignment="0" applyProtection="0"/>
    <xf numFmtId="0" fontId="48" fillId="15" borderId="21" applyNumberFormat="0" applyAlignment="0" applyProtection="0"/>
    <xf numFmtId="0" fontId="49" fillId="0" borderId="23" applyNumberFormat="0" applyFill="0" applyAlignment="0" applyProtection="0"/>
    <xf numFmtId="0" fontId="50" fillId="16" borderId="2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5" applyNumberFormat="0" applyFont="0" applyAlignment="0" applyProtection="0"/>
  </cellStyleXfs>
  <cellXfs count="475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6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43" fontId="6" fillId="0" borderId="0" xfId="6" applyFont="1" applyAlignment="1">
      <alignment horizontal="right"/>
    </xf>
    <xf numFmtId="0" fontId="6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6" fillId="0" borderId="0" xfId="6" applyFont="1" applyBorder="1" applyAlignment="1">
      <alignment horizontal="right"/>
    </xf>
    <xf numFmtId="170" fontId="6" fillId="0" borderId="0" xfId="6" applyNumberFormat="1" applyFont="1" applyBorder="1" applyAlignment="1">
      <alignment horizontal="right" wrapText="1"/>
    </xf>
    <xf numFmtId="165" fontId="6" fillId="0" borderId="0" xfId="6" applyNumberFormat="1" applyFont="1" applyBorder="1" applyAlignment="1">
      <alignment horizontal="right"/>
    </xf>
    <xf numFmtId="43" fontId="6" fillId="0" borderId="0" xfId="6" applyFont="1" applyBorder="1" applyAlignment="1">
      <alignment horizontal="right" wrapText="1"/>
    </xf>
    <xf numFmtId="0" fontId="6" fillId="0" borderId="3" xfId="0" applyFont="1" applyBorder="1" applyAlignment="1"/>
    <xf numFmtId="0" fontId="6" fillId="0" borderId="3" xfId="0" applyFont="1" applyBorder="1" applyAlignment="1">
      <alignment horizontal="left" wrapText="1"/>
    </xf>
    <xf numFmtId="0" fontId="10" fillId="0" borderId="0" xfId="0" applyFont="1"/>
    <xf numFmtId="43" fontId="6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6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43" fontId="14" fillId="0" borderId="0" xfId="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6" fillId="0" borderId="0" xfId="6" applyNumberFormat="1" applyFont="1" applyAlignment="1">
      <alignment horizontal="right"/>
    </xf>
    <xf numFmtId="43" fontId="7" fillId="0" borderId="0" xfId="6" applyFont="1"/>
    <xf numFmtId="165" fontId="5" fillId="0" borderId="0" xfId="6" applyNumberFormat="1" applyFont="1"/>
    <xf numFmtId="43" fontId="5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0" fontId="14" fillId="7" borderId="0" xfId="0" applyFont="1" applyFill="1"/>
    <xf numFmtId="164" fontId="14" fillId="7" borderId="0" xfId="0" applyNumberFormat="1" applyFont="1" applyFill="1"/>
    <xf numFmtId="0" fontId="14" fillId="7" borderId="0" xfId="0" applyFont="1" applyFill="1" applyAlignment="1">
      <alignment horizontal="center"/>
    </xf>
    <xf numFmtId="164" fontId="14" fillId="7" borderId="0" xfId="8" applyNumberFormat="1" applyFont="1" applyFill="1"/>
    <xf numFmtId="10" fontId="14" fillId="7" borderId="0" xfId="30" applyNumberFormat="1" applyFont="1" applyFill="1"/>
    <xf numFmtId="165" fontId="14" fillId="7" borderId="0" xfId="0" applyNumberFormat="1" applyFont="1" applyFill="1"/>
    <xf numFmtId="10" fontId="15" fillId="7" borderId="7" xfId="30" applyNumberFormat="1" applyFont="1" applyFill="1" applyBorder="1"/>
    <xf numFmtId="0" fontId="15" fillId="7" borderId="0" xfId="0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165" fontId="14" fillId="8" borderId="0" xfId="6" applyNumberFormat="1" applyFont="1" applyFill="1"/>
    <xf numFmtId="164" fontId="14" fillId="8" borderId="0" xfId="8" applyNumberFormat="1" applyFont="1" applyFill="1"/>
    <xf numFmtId="0" fontId="14" fillId="0" borderId="0" xfId="0" applyFont="1" applyFill="1" applyAlignment="1">
      <alignment horizontal="left"/>
    </xf>
    <xf numFmtId="0" fontId="14" fillId="8" borderId="0" xfId="0" applyFont="1" applyFill="1" applyAlignment="1">
      <alignment horizontal="center"/>
    </xf>
    <xf numFmtId="0" fontId="14" fillId="8" borderId="0" xfId="0" applyFont="1" applyFill="1"/>
    <xf numFmtId="171" fontId="14" fillId="8" borderId="0" xfId="0" applyNumberFormat="1" applyFont="1" applyFill="1"/>
    <xf numFmtId="164" fontId="14" fillId="8" borderId="0" xfId="0" applyNumberFormat="1" applyFont="1" applyFill="1"/>
    <xf numFmtId="169" fontId="14" fillId="8" borderId="0" xfId="6" applyNumberFormat="1" applyFont="1" applyFill="1"/>
    <xf numFmtId="43" fontId="14" fillId="8" borderId="0" xfId="6" applyFont="1" applyFill="1"/>
    <xf numFmtId="167" fontId="14" fillId="8" borderId="0" xfId="0" applyNumberFormat="1" applyFont="1" applyFill="1"/>
    <xf numFmtId="0" fontId="14" fillId="9" borderId="0" xfId="0" applyFont="1" applyFill="1"/>
    <xf numFmtId="165" fontId="14" fillId="9" borderId="0" xfId="6" applyNumberFormat="1" applyFont="1" applyFill="1"/>
    <xf numFmtId="0" fontId="14" fillId="9" borderId="0" xfId="0" applyFont="1" applyFill="1" applyAlignment="1">
      <alignment horizontal="center"/>
    </xf>
    <xf numFmtId="164" fontId="14" fillId="9" borderId="0" xfId="8" applyNumberFormat="1" applyFont="1" applyFill="1"/>
    <xf numFmtId="165" fontId="14" fillId="9" borderId="0" xfId="0" applyNumberFormat="1" applyFont="1" applyFill="1"/>
    <xf numFmtId="170" fontId="14" fillId="9" borderId="0" xfId="6" applyNumberFormat="1" applyFont="1" applyFill="1"/>
    <xf numFmtId="169" fontId="14" fillId="9" borderId="0" xfId="6" applyNumberFormat="1" applyFont="1" applyFill="1"/>
    <xf numFmtId="164" fontId="14" fillId="9" borderId="0" xfId="0" applyNumberFormat="1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7" xfId="0" applyFont="1" applyBorder="1" applyAlignment="1">
      <alignment horizontal="center"/>
    </xf>
    <xf numFmtId="0" fontId="0" fillId="0" borderId="10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3" xfId="0" applyBorder="1"/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4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4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4" fillId="0" borderId="0" xfId="6" applyNumberFormat="1" applyFont="1" applyFill="1"/>
    <xf numFmtId="0" fontId="14" fillId="10" borderId="0" xfId="0" applyFont="1" applyFill="1"/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26" fillId="0" borderId="0" xfId="6" applyNumberFormat="1" applyFont="1" applyFill="1"/>
    <xf numFmtId="165" fontId="2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6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6" fillId="0" borderId="18" xfId="0" applyFont="1" applyBorder="1" applyAlignment="1">
      <alignment horizontal="center"/>
    </xf>
    <xf numFmtId="44" fontId="4" fillId="0" borderId="7" xfId="8" applyFont="1" applyBorder="1"/>
    <xf numFmtId="0" fontId="4" fillId="0" borderId="10" xfId="0" applyFont="1" applyBorder="1"/>
    <xf numFmtId="0" fontId="4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4" fillId="0" borderId="11" xfId="6" applyNumberFormat="1" applyFont="1" applyFill="1" applyBorder="1"/>
    <xf numFmtId="0" fontId="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4" fillId="0" borderId="11" xfId="8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4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4" fillId="0" borderId="3" xfId="8" applyNumberFormat="1" applyFont="1" applyBorder="1"/>
    <xf numFmtId="44" fontId="4" fillId="0" borderId="3" xfId="8" applyFont="1" applyBorder="1"/>
    <xf numFmtId="0" fontId="14" fillId="0" borderId="0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4" fillId="0" borderId="0" xfId="6" applyNumberFormat="1" applyFont="1" applyFill="1" applyAlignment="1">
      <alignment horizontal="right"/>
    </xf>
    <xf numFmtId="165" fontId="6" fillId="0" borderId="0" xfId="0" applyNumberFormat="1" applyFont="1" applyFill="1"/>
    <xf numFmtId="10" fontId="26" fillId="0" borderId="0" xfId="30" applyNumberFormat="1" applyFont="1" applyFill="1"/>
    <xf numFmtId="165" fontId="6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0" fontId="14" fillId="0" borderId="0" xfId="0" quotePrefix="1" applyFont="1" applyFill="1" applyBorder="1"/>
    <xf numFmtId="171" fontId="14" fillId="0" borderId="0" xfId="6" applyNumberFormat="1" applyFont="1" applyFill="1"/>
    <xf numFmtId="0" fontId="6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6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0" applyNumberFormat="1" applyFont="1" applyBorder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0" fontId="14" fillId="0" borderId="0" xfId="0" applyNumberFormat="1" applyFont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170" fontId="18" fillId="0" borderId="0" xfId="0" applyNumberFormat="1" applyFont="1" applyBorder="1"/>
    <xf numFmtId="43" fontId="14" fillId="0" borderId="0" xfId="0" applyNumberFormat="1" applyFont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43" fontId="18" fillId="0" borderId="0" xfId="6" applyFont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5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4" fillId="0" borderId="0" xfId="0" applyFont="1" applyFill="1" applyBorder="1"/>
    <xf numFmtId="168" fontId="0" fillId="0" borderId="0" xfId="6" applyNumberFormat="1" applyFont="1"/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3" fillId="0" borderId="17" xfId="0" applyFont="1" applyBorder="1"/>
    <xf numFmtId="0" fontId="4" fillId="0" borderId="9" xfId="0" applyFont="1" applyBorder="1"/>
    <xf numFmtId="0" fontId="11" fillId="0" borderId="12" xfId="0" applyFont="1" applyFill="1" applyBorder="1"/>
    <xf numFmtId="0" fontId="4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70" fontId="14" fillId="0" borderId="0" xfId="6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3" fontId="14" fillId="0" borderId="0" xfId="0" applyNumberFormat="1" applyFont="1" applyFill="1"/>
    <xf numFmtId="165" fontId="4" fillId="0" borderId="0" xfId="6" applyNumberFormat="1" applyFont="1"/>
    <xf numFmtId="0" fontId="11" fillId="0" borderId="0" xfId="0" applyFont="1" applyFill="1" applyBorder="1"/>
    <xf numFmtId="0" fontId="12" fillId="0" borderId="0" xfId="0" applyFont="1" applyFill="1" applyBorder="1"/>
    <xf numFmtId="165" fontId="4" fillId="0" borderId="4" xfId="6" applyNumberFormat="1" applyFont="1" applyBorder="1"/>
    <xf numFmtId="165" fontId="4" fillId="0" borderId="0" xfId="6" applyNumberFormat="1" applyFont="1" applyFill="1"/>
    <xf numFmtId="164" fontId="11" fillId="0" borderId="0" xfId="8" applyNumberFormat="1" applyFont="1" applyFill="1" applyBorder="1"/>
    <xf numFmtId="164" fontId="4" fillId="0" borderId="4" xfId="8" applyNumberFormat="1" applyFont="1" applyFill="1" applyBorder="1"/>
    <xf numFmtId="165" fontId="11" fillId="0" borderId="0" xfId="6" applyNumberFormat="1" applyFont="1" applyBorder="1"/>
    <xf numFmtId="44" fontId="41" fillId="0" borderId="4" xfId="8" applyFont="1" applyFill="1" applyBorder="1"/>
    <xf numFmtId="164" fontId="4" fillId="0" borderId="0" xfId="8" applyNumberFormat="1" applyFont="1" applyFill="1"/>
    <xf numFmtId="44" fontId="41" fillId="0" borderId="0" xfId="8" applyFont="1" applyFill="1" applyBorder="1"/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6" applyNumberFormat="1" applyFont="1" applyFill="1" applyBorder="1"/>
    <xf numFmtId="0" fontId="11" fillId="0" borderId="0" xfId="0" applyFont="1" applyBorder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166" fontId="11" fillId="0" borderId="0" xfId="0" applyNumberFormat="1" applyFont="1" applyFill="1" applyBorder="1"/>
    <xf numFmtId="6" fontId="14" fillId="0" borderId="0" xfId="0" applyNumberFormat="1" applyFont="1" applyFill="1"/>
    <xf numFmtId="194" fontId="26" fillId="0" borderId="0" xfId="3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95" fontId="14" fillId="0" borderId="0" xfId="6" applyNumberFormat="1" applyFont="1" applyFill="1"/>
    <xf numFmtId="0" fontId="4" fillId="0" borderId="8" xfId="0" applyFont="1" applyBorder="1" applyAlignment="1">
      <alignment horizontal="center"/>
    </xf>
    <xf numFmtId="0" fontId="4" fillId="0" borderId="16" xfId="0" applyFont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13" xfId="8" applyNumberFormat="1" applyFont="1" applyBorder="1"/>
    <xf numFmtId="10" fontId="4" fillId="0" borderId="11" xfId="30" applyNumberFormat="1" applyFont="1" applyFill="1" applyBorder="1" applyAlignment="1">
      <alignment horizontal="right"/>
    </xf>
    <xf numFmtId="10" fontId="4" fillId="0" borderId="0" xfId="30" applyNumberFormat="1" applyFont="1" applyBorder="1" applyAlignment="1">
      <alignment horizontal="right"/>
    </xf>
    <xf numFmtId="165" fontId="4" fillId="0" borderId="11" xfId="6" applyNumberFormat="1" applyFont="1" applyFill="1" applyBorder="1" applyAlignment="1">
      <alignment horizontal="center"/>
    </xf>
    <xf numFmtId="165" fontId="4" fillId="0" borderId="0" xfId="6" applyNumberFormat="1" applyFont="1" applyFill="1" applyBorder="1" applyAlignment="1">
      <alignment horizontal="center"/>
    </xf>
    <xf numFmtId="164" fontId="4" fillId="0" borderId="0" xfId="8" applyNumberFormat="1" applyFont="1" applyBorder="1"/>
    <xf numFmtId="165" fontId="4" fillId="0" borderId="0" xfId="6" applyNumberFormat="1" applyFont="1" applyFill="1" applyBorder="1"/>
    <xf numFmtId="0" fontId="4" fillId="0" borderId="14" xfId="0" applyFont="1" applyBorder="1" applyAlignment="1">
      <alignment horizontal="center"/>
    </xf>
    <xf numFmtId="164" fontId="4" fillId="0" borderId="15" xfId="8" applyNumberFormat="1" applyFont="1" applyBorder="1"/>
    <xf numFmtId="164" fontId="4" fillId="0" borderId="0" xfId="0" applyNumberFormat="1" applyFont="1"/>
    <xf numFmtId="173" fontId="4" fillId="0" borderId="0" xfId="0" applyNumberFormat="1" applyFont="1"/>
    <xf numFmtId="2" fontId="4" fillId="0" borderId="0" xfId="0" applyNumberFormat="1" applyFont="1"/>
    <xf numFmtId="44" fontId="4" fillId="0" borderId="0" xfId="0" applyNumberFormat="1" applyFont="1"/>
    <xf numFmtId="43" fontId="4" fillId="0" borderId="0" xfId="0" applyNumberFormat="1" applyFont="1"/>
    <xf numFmtId="170" fontId="4" fillId="0" borderId="0" xfId="6" applyNumberFormat="1" applyFont="1"/>
    <xf numFmtId="165" fontId="4" fillId="0" borderId="0" xfId="0" applyNumberFormat="1" applyFont="1"/>
    <xf numFmtId="169" fontId="4" fillId="0" borderId="0" xfId="0" applyNumberFormat="1" applyFont="1" applyBorder="1"/>
    <xf numFmtId="44" fontId="4" fillId="0" borderId="0" xfId="8" applyFont="1" applyBorder="1"/>
    <xf numFmtId="193" fontId="4" fillId="0" borderId="0" xfId="0" applyNumberFormat="1" applyFont="1"/>
    <xf numFmtId="169" fontId="4" fillId="0" borderId="0" xfId="0" applyNumberFormat="1" applyFont="1"/>
    <xf numFmtId="0" fontId="4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0" fillId="0" borderId="0" xfId="6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30" applyNumberFormat="1" applyFont="1" applyAlignment="1">
      <alignment horizontal="right"/>
    </xf>
    <xf numFmtId="43" fontId="0" fillId="0" borderId="0" xfId="6" applyFont="1" applyAlignment="1">
      <alignment horizontal="right"/>
    </xf>
    <xf numFmtId="44" fontId="40" fillId="0" borderId="0" xfId="0" applyNumberFormat="1" applyFont="1"/>
    <xf numFmtId="174" fontId="14" fillId="0" borderId="3" xfId="8" applyNumberFormat="1" applyFont="1" applyBorder="1"/>
    <xf numFmtId="43" fontId="3" fillId="0" borderId="0" xfId="6" applyFont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96" fontId="14" fillId="0" borderId="0" xfId="30" applyNumberFormat="1" applyFont="1" applyFill="1"/>
    <xf numFmtId="43" fontId="3" fillId="0" borderId="3" xfId="6" applyFont="1" applyBorder="1" applyAlignment="1">
      <alignment horizontal="right"/>
    </xf>
    <xf numFmtId="0" fontId="3" fillId="0" borderId="3" xfId="6" applyNumberFormat="1" applyFont="1" applyBorder="1" applyAlignment="1">
      <alignment horizontal="right"/>
    </xf>
    <xf numFmtId="197" fontId="0" fillId="0" borderId="0" xfId="0" applyNumberFormat="1"/>
    <xf numFmtId="165" fontId="14" fillId="10" borderId="0" xfId="6" applyNumberFormat="1" applyFont="1" applyFill="1"/>
    <xf numFmtId="166" fontId="14" fillId="9" borderId="0" xfId="6" applyNumberFormat="1" applyFont="1" applyFill="1"/>
    <xf numFmtId="166" fontId="14" fillId="9" borderId="0" xfId="0" applyNumberFormat="1" applyFont="1" applyFill="1"/>
    <xf numFmtId="15" fontId="3" fillId="0" borderId="3" xfId="0" applyNumberFormat="1" applyFont="1" applyFill="1" applyBorder="1" applyAlignment="1">
      <alignment horizontal="right"/>
    </xf>
    <xf numFmtId="165" fontId="11" fillId="0" borderId="0" xfId="6" applyNumberFormat="1" applyFont="1" applyFill="1"/>
    <xf numFmtId="164" fontId="26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98" fontId="14" fillId="0" borderId="0" xfId="6" applyNumberFormat="1" applyFont="1" applyFill="1" applyBorder="1"/>
    <xf numFmtId="10" fontId="4" fillId="0" borderId="0" xfId="30" applyNumberFormat="1" applyFont="1" applyFill="1" applyBorder="1"/>
    <xf numFmtId="170" fontId="4" fillId="0" borderId="0" xfId="6" quotePrefix="1" applyNumberFormat="1" applyFont="1"/>
    <xf numFmtId="44" fontId="0" fillId="0" borderId="15" xfId="8" applyNumberFormat="1" applyFont="1" applyBorder="1"/>
    <xf numFmtId="0" fontId="136" fillId="0" borderId="0" xfId="0" applyFont="1"/>
    <xf numFmtId="170" fontId="4" fillId="0" borderId="0" xfId="6" applyNumberFormat="1" applyFont="1" applyFill="1"/>
    <xf numFmtId="169" fontId="4" fillId="0" borderId="0" xfId="6" applyNumberFormat="1" applyFont="1" applyFill="1"/>
    <xf numFmtId="0" fontId="4" fillId="0" borderId="0" xfId="0" applyFont="1" applyAlignment="1">
      <alignment horizontal="center"/>
    </xf>
    <xf numFmtId="43" fontId="14" fillId="0" borderId="0" xfId="6" applyNumberFormat="1" applyFont="1"/>
    <xf numFmtId="44" fontId="0" fillId="0" borderId="0" xfId="0" applyNumberFormat="1" applyFill="1"/>
    <xf numFmtId="10" fontId="26" fillId="0" borderId="0" xfId="30" applyNumberFormat="1" applyFont="1" applyFill="1" applyBorder="1" applyAlignment="1">
      <alignment horizontal="right"/>
    </xf>
    <xf numFmtId="43" fontId="26" fillId="0" borderId="0" xfId="0" applyNumberFormat="1" applyFont="1" applyFill="1" applyBorder="1" applyAlignment="1">
      <alignment horizontal="right"/>
    </xf>
    <xf numFmtId="0" fontId="14" fillId="0" borderId="0" xfId="0" quotePrefix="1" applyFont="1"/>
    <xf numFmtId="0" fontId="15" fillId="0" borderId="0" xfId="0" quotePrefix="1" applyFont="1" applyAlignment="1">
      <alignment horizontal="left"/>
    </xf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right" wrapText="1"/>
    </xf>
    <xf numFmtId="0" fontId="15" fillId="0" borderId="5" xfId="0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6" fillId="0" borderId="0" xfId="6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5196">
    <cellStyle name="_Row1" xfId="2161" xr:uid="{00000000-0005-0000-0000-000000000000}"/>
    <cellStyle name="_Row1 2" xfId="2162" xr:uid="{00000000-0005-0000-0000-000001000000}"/>
    <cellStyle name="=C:\WINNT\SYSTEM32\COMMAND.COM" xfId="2163" xr:uid="{00000000-0005-0000-0000-000002000000}"/>
    <cellStyle name="=C:\WINNT\SYSTEM32\COMMAND.COM 2" xfId="2164" xr:uid="{00000000-0005-0000-0000-000003000000}"/>
    <cellStyle name="=C:\WINNT\SYSTEM32\COMMAND.COM 2 2" xfId="2165" xr:uid="{00000000-0005-0000-0000-000004000000}"/>
    <cellStyle name="=C:\WINNT\SYSTEM32\COMMAND.COM 3" xfId="2166" xr:uid="{00000000-0005-0000-0000-000005000000}"/>
    <cellStyle name="=C:\WINNT35\SYSTEM32\COMMAND.COM" xfId="2167" xr:uid="{00000000-0005-0000-0000-000006000000}"/>
    <cellStyle name="20% - Accent1" xfId="15177" builtinId="30" customBuiltin="1"/>
    <cellStyle name="20% - Accent1 10" xfId="66" xr:uid="{00000000-0005-0000-0000-000008000000}"/>
    <cellStyle name="20% - Accent1 10 2" xfId="2168" xr:uid="{00000000-0005-0000-0000-000009000000}"/>
    <cellStyle name="20% - Accent1 10 2 2" xfId="2169" xr:uid="{00000000-0005-0000-0000-00000A000000}"/>
    <cellStyle name="20% - Accent1 10 3" xfId="2170" xr:uid="{00000000-0005-0000-0000-00000B000000}"/>
    <cellStyle name="20% - Accent1 10 4" xfId="2171" xr:uid="{00000000-0005-0000-0000-00000C000000}"/>
    <cellStyle name="20% - Accent1 11" xfId="67" xr:uid="{00000000-0005-0000-0000-00000D000000}"/>
    <cellStyle name="20% - Accent1 11 2" xfId="2172" xr:uid="{00000000-0005-0000-0000-00000E000000}"/>
    <cellStyle name="20% - Accent1 11 2 2" xfId="2173" xr:uid="{00000000-0005-0000-0000-00000F000000}"/>
    <cellStyle name="20% - Accent1 11 3" xfId="2174" xr:uid="{00000000-0005-0000-0000-000010000000}"/>
    <cellStyle name="20% - Accent1 11 4" xfId="2175" xr:uid="{00000000-0005-0000-0000-000011000000}"/>
    <cellStyle name="20% - Accent1 12" xfId="68" xr:uid="{00000000-0005-0000-0000-000012000000}"/>
    <cellStyle name="20% - Accent1 12 2" xfId="2176" xr:uid="{00000000-0005-0000-0000-000013000000}"/>
    <cellStyle name="20% - Accent1 12 3" xfId="2177" xr:uid="{00000000-0005-0000-0000-000014000000}"/>
    <cellStyle name="20% - Accent1 13" xfId="69" xr:uid="{00000000-0005-0000-0000-000015000000}"/>
    <cellStyle name="20% - Accent1 13 2" xfId="2178" xr:uid="{00000000-0005-0000-0000-000016000000}"/>
    <cellStyle name="20% - Accent1 14" xfId="70" xr:uid="{00000000-0005-0000-0000-000017000000}"/>
    <cellStyle name="20% - Accent1 15" xfId="71" xr:uid="{00000000-0005-0000-0000-000018000000}"/>
    <cellStyle name="20% - Accent1 15 2" xfId="72" xr:uid="{00000000-0005-0000-0000-000019000000}"/>
    <cellStyle name="20% - Accent1 15 3" xfId="73" xr:uid="{00000000-0005-0000-0000-00001A000000}"/>
    <cellStyle name="20% - Accent1 15 4" xfId="74" xr:uid="{00000000-0005-0000-0000-00001B000000}"/>
    <cellStyle name="20% - Accent1 15 5" xfId="75" xr:uid="{00000000-0005-0000-0000-00001C000000}"/>
    <cellStyle name="20% - Accent1 16" xfId="76" xr:uid="{00000000-0005-0000-0000-00001D000000}"/>
    <cellStyle name="20% - Accent1 16 2" xfId="77" xr:uid="{00000000-0005-0000-0000-00001E000000}"/>
    <cellStyle name="20% - Accent1 16 3" xfId="78" xr:uid="{00000000-0005-0000-0000-00001F000000}"/>
    <cellStyle name="20% - Accent1 16 4" xfId="79" xr:uid="{00000000-0005-0000-0000-000020000000}"/>
    <cellStyle name="20% - Accent1 16 5" xfId="80" xr:uid="{00000000-0005-0000-0000-000021000000}"/>
    <cellStyle name="20% - Accent1 17" xfId="81" xr:uid="{00000000-0005-0000-0000-000022000000}"/>
    <cellStyle name="20% - Accent1 17 2" xfId="82" xr:uid="{00000000-0005-0000-0000-000023000000}"/>
    <cellStyle name="20% - Accent1 17 3" xfId="83" xr:uid="{00000000-0005-0000-0000-000024000000}"/>
    <cellStyle name="20% - Accent1 17 4" xfId="84" xr:uid="{00000000-0005-0000-0000-000025000000}"/>
    <cellStyle name="20% - Accent1 17 5" xfId="85" xr:uid="{00000000-0005-0000-0000-000026000000}"/>
    <cellStyle name="20% - Accent1 18" xfId="86" xr:uid="{00000000-0005-0000-0000-000027000000}"/>
    <cellStyle name="20% - Accent1 19" xfId="87" xr:uid="{00000000-0005-0000-0000-000028000000}"/>
    <cellStyle name="20% - Accent1 2" xfId="88" xr:uid="{00000000-0005-0000-0000-000029000000}"/>
    <cellStyle name="20% - Accent1 2 2" xfId="89" xr:uid="{00000000-0005-0000-0000-00002A000000}"/>
    <cellStyle name="20% - Accent1 2 2 2" xfId="90" xr:uid="{00000000-0005-0000-0000-00002B000000}"/>
    <cellStyle name="20% - Accent1 2 2 2 2" xfId="91" xr:uid="{00000000-0005-0000-0000-00002C000000}"/>
    <cellStyle name="20% - Accent1 2 2 2 2 2" xfId="2179" xr:uid="{00000000-0005-0000-0000-00002D000000}"/>
    <cellStyle name="20% - Accent1 2 2 2 2 2 2" xfId="2180" xr:uid="{00000000-0005-0000-0000-00002E000000}"/>
    <cellStyle name="20% - Accent1 2 2 2 2 2 2 2" xfId="2181" xr:uid="{00000000-0005-0000-0000-00002F000000}"/>
    <cellStyle name="20% - Accent1 2 2 2 2 2 3" xfId="2182" xr:uid="{00000000-0005-0000-0000-000030000000}"/>
    <cellStyle name="20% - Accent1 2 2 2 2 3" xfId="2183" xr:uid="{00000000-0005-0000-0000-000031000000}"/>
    <cellStyle name="20% - Accent1 2 2 2 2 3 2" xfId="2184" xr:uid="{00000000-0005-0000-0000-000032000000}"/>
    <cellStyle name="20% - Accent1 2 2 2 2 4" xfId="2185" xr:uid="{00000000-0005-0000-0000-000033000000}"/>
    <cellStyle name="20% - Accent1 2 2 2 2 5" xfId="2186" xr:uid="{00000000-0005-0000-0000-000034000000}"/>
    <cellStyle name="20% - Accent1 2 2 2 3" xfId="92" xr:uid="{00000000-0005-0000-0000-000035000000}"/>
    <cellStyle name="20% - Accent1 2 2 2 3 2" xfId="2187" xr:uid="{00000000-0005-0000-0000-000036000000}"/>
    <cellStyle name="20% - Accent1 2 2 2 3 2 2" xfId="2188" xr:uid="{00000000-0005-0000-0000-000037000000}"/>
    <cellStyle name="20% - Accent1 2 2 2 3 3" xfId="2189" xr:uid="{00000000-0005-0000-0000-000038000000}"/>
    <cellStyle name="20% - Accent1 2 2 2 4" xfId="93" xr:uid="{00000000-0005-0000-0000-000039000000}"/>
    <cellStyle name="20% - Accent1 2 2 2 4 2" xfId="2190" xr:uid="{00000000-0005-0000-0000-00003A000000}"/>
    <cellStyle name="20% - Accent1 2 2 2 5" xfId="94" xr:uid="{00000000-0005-0000-0000-00003B000000}"/>
    <cellStyle name="20% - Accent1 2 2 2 6" xfId="2191" xr:uid="{00000000-0005-0000-0000-00003C000000}"/>
    <cellStyle name="20% - Accent1 2 2 3" xfId="95" xr:uid="{00000000-0005-0000-0000-00003D000000}"/>
    <cellStyle name="20% - Accent1 2 2 3 2" xfId="2192" xr:uid="{00000000-0005-0000-0000-00003E000000}"/>
    <cellStyle name="20% - Accent1 2 2 3 2 2" xfId="2193" xr:uid="{00000000-0005-0000-0000-00003F000000}"/>
    <cellStyle name="20% - Accent1 2 2 3 2 2 2" xfId="2194" xr:uid="{00000000-0005-0000-0000-000040000000}"/>
    <cellStyle name="20% - Accent1 2 2 3 2 3" xfId="2195" xr:uid="{00000000-0005-0000-0000-000041000000}"/>
    <cellStyle name="20% - Accent1 2 2 3 3" xfId="2196" xr:uid="{00000000-0005-0000-0000-000042000000}"/>
    <cellStyle name="20% - Accent1 2 2 3 3 2" xfId="2197" xr:uid="{00000000-0005-0000-0000-000043000000}"/>
    <cellStyle name="20% - Accent1 2 2 3 4" xfId="2198" xr:uid="{00000000-0005-0000-0000-000044000000}"/>
    <cellStyle name="20% - Accent1 2 2 3 5" xfId="2199" xr:uid="{00000000-0005-0000-0000-000045000000}"/>
    <cellStyle name="20% - Accent1 2 2 4" xfId="96" xr:uid="{00000000-0005-0000-0000-000046000000}"/>
    <cellStyle name="20% - Accent1 2 2 4 2" xfId="2200" xr:uid="{00000000-0005-0000-0000-000047000000}"/>
    <cellStyle name="20% - Accent1 2 2 4 2 2" xfId="2201" xr:uid="{00000000-0005-0000-0000-000048000000}"/>
    <cellStyle name="20% - Accent1 2 2 4 3" xfId="2202" xr:uid="{00000000-0005-0000-0000-000049000000}"/>
    <cellStyle name="20% - Accent1 2 2 5" xfId="97" xr:uid="{00000000-0005-0000-0000-00004A000000}"/>
    <cellStyle name="20% - Accent1 2 2 5 2" xfId="2203" xr:uid="{00000000-0005-0000-0000-00004B000000}"/>
    <cellStyle name="20% - Accent1 2 2 6" xfId="2204" xr:uid="{00000000-0005-0000-0000-00004C000000}"/>
    <cellStyle name="20% - Accent1 2 2 7" xfId="2205" xr:uid="{00000000-0005-0000-0000-00004D000000}"/>
    <cellStyle name="20% - Accent1 2 3" xfId="98" xr:uid="{00000000-0005-0000-0000-00004E000000}"/>
    <cellStyle name="20% - Accent1 2 3 2" xfId="2206" xr:uid="{00000000-0005-0000-0000-00004F000000}"/>
    <cellStyle name="20% - Accent1 2 3 2 2" xfId="2207" xr:uid="{00000000-0005-0000-0000-000050000000}"/>
    <cellStyle name="20% - Accent1 2 3 2 2 2" xfId="2208" xr:uid="{00000000-0005-0000-0000-000051000000}"/>
    <cellStyle name="20% - Accent1 2 3 2 2 2 2" xfId="2209" xr:uid="{00000000-0005-0000-0000-000052000000}"/>
    <cellStyle name="20% - Accent1 2 3 2 2 3" xfId="2210" xr:uid="{00000000-0005-0000-0000-000053000000}"/>
    <cellStyle name="20% - Accent1 2 3 2 3" xfId="2211" xr:uid="{00000000-0005-0000-0000-000054000000}"/>
    <cellStyle name="20% - Accent1 2 3 2 3 2" xfId="2212" xr:uid="{00000000-0005-0000-0000-000055000000}"/>
    <cellStyle name="20% - Accent1 2 3 2 4" xfId="2213" xr:uid="{00000000-0005-0000-0000-000056000000}"/>
    <cellStyle name="20% - Accent1 2 3 3" xfId="2214" xr:uid="{00000000-0005-0000-0000-000057000000}"/>
    <cellStyle name="20% - Accent1 2 3 3 2" xfId="2215" xr:uid="{00000000-0005-0000-0000-000058000000}"/>
    <cellStyle name="20% - Accent1 2 3 3 2 2" xfId="2216" xr:uid="{00000000-0005-0000-0000-000059000000}"/>
    <cellStyle name="20% - Accent1 2 3 3 3" xfId="2217" xr:uid="{00000000-0005-0000-0000-00005A000000}"/>
    <cellStyle name="20% - Accent1 2 3 4" xfId="2218" xr:uid="{00000000-0005-0000-0000-00005B000000}"/>
    <cellStyle name="20% - Accent1 2 3 4 2" xfId="2219" xr:uid="{00000000-0005-0000-0000-00005C000000}"/>
    <cellStyle name="20% - Accent1 2 3 5" xfId="2220" xr:uid="{00000000-0005-0000-0000-00005D000000}"/>
    <cellStyle name="20% - Accent1 2 3 6" xfId="2221" xr:uid="{00000000-0005-0000-0000-00005E000000}"/>
    <cellStyle name="20% - Accent1 2 4" xfId="99" xr:uid="{00000000-0005-0000-0000-00005F000000}"/>
    <cellStyle name="20% - Accent1 2 4 2" xfId="2222" xr:uid="{00000000-0005-0000-0000-000060000000}"/>
    <cellStyle name="20% - Accent1 2 4 2 2" xfId="2223" xr:uid="{00000000-0005-0000-0000-000061000000}"/>
    <cellStyle name="20% - Accent1 2 4 2 2 2" xfId="2224" xr:uid="{00000000-0005-0000-0000-000062000000}"/>
    <cellStyle name="20% - Accent1 2 4 2 3" xfId="2225" xr:uid="{00000000-0005-0000-0000-000063000000}"/>
    <cellStyle name="20% - Accent1 2 4 3" xfId="2226" xr:uid="{00000000-0005-0000-0000-000064000000}"/>
    <cellStyle name="20% - Accent1 2 4 3 2" xfId="2227" xr:uid="{00000000-0005-0000-0000-000065000000}"/>
    <cellStyle name="20% - Accent1 2 4 4" xfId="2228" xr:uid="{00000000-0005-0000-0000-000066000000}"/>
    <cellStyle name="20% - Accent1 2 4 5" xfId="2229" xr:uid="{00000000-0005-0000-0000-000067000000}"/>
    <cellStyle name="20% - Accent1 2 5" xfId="100" xr:uid="{00000000-0005-0000-0000-000068000000}"/>
    <cellStyle name="20% - Accent1 2 5 2" xfId="2230" xr:uid="{00000000-0005-0000-0000-000069000000}"/>
    <cellStyle name="20% - Accent1 2 5 2 2" xfId="2231" xr:uid="{00000000-0005-0000-0000-00006A000000}"/>
    <cellStyle name="20% - Accent1 2 5 3" xfId="2232" xr:uid="{00000000-0005-0000-0000-00006B000000}"/>
    <cellStyle name="20% - Accent1 2 5 4" xfId="2233" xr:uid="{00000000-0005-0000-0000-00006C000000}"/>
    <cellStyle name="20% - Accent1 2 6" xfId="101" xr:uid="{00000000-0005-0000-0000-00006D000000}"/>
    <cellStyle name="20% - Accent1 2 6 2" xfId="2234" xr:uid="{00000000-0005-0000-0000-00006E000000}"/>
    <cellStyle name="20% - Accent1 2 6 3" xfId="2235" xr:uid="{00000000-0005-0000-0000-00006F000000}"/>
    <cellStyle name="20% - Accent1 2 7" xfId="102" xr:uid="{00000000-0005-0000-0000-000070000000}"/>
    <cellStyle name="20% - Accent1 2 8" xfId="103" xr:uid="{00000000-0005-0000-0000-000071000000}"/>
    <cellStyle name="20% - Accent1 2 9" xfId="104" xr:uid="{00000000-0005-0000-0000-000072000000}"/>
    <cellStyle name="20% - Accent1 20" xfId="105" xr:uid="{00000000-0005-0000-0000-000073000000}"/>
    <cellStyle name="20% - Accent1 21" xfId="106" xr:uid="{00000000-0005-0000-0000-000074000000}"/>
    <cellStyle name="20% - Accent1 22" xfId="107" xr:uid="{00000000-0005-0000-0000-000075000000}"/>
    <cellStyle name="20% - Accent1 23" xfId="108" xr:uid="{00000000-0005-0000-0000-000076000000}"/>
    <cellStyle name="20% - Accent1 24" xfId="109" xr:uid="{00000000-0005-0000-0000-000077000000}"/>
    <cellStyle name="20% - Accent1 25" xfId="110" xr:uid="{00000000-0005-0000-0000-000078000000}"/>
    <cellStyle name="20% - Accent1 26" xfId="111" xr:uid="{00000000-0005-0000-0000-000079000000}"/>
    <cellStyle name="20% - Accent1 27" xfId="112" xr:uid="{00000000-0005-0000-0000-00007A000000}"/>
    <cellStyle name="20% - Accent1 28" xfId="113" xr:uid="{00000000-0005-0000-0000-00007B000000}"/>
    <cellStyle name="20% - Accent1 29" xfId="114" xr:uid="{00000000-0005-0000-0000-00007C000000}"/>
    <cellStyle name="20% - Accent1 3" xfId="115" xr:uid="{00000000-0005-0000-0000-00007D000000}"/>
    <cellStyle name="20% - Accent1 3 2" xfId="2236" xr:uid="{00000000-0005-0000-0000-00007E000000}"/>
    <cellStyle name="20% - Accent1 3 2 2" xfId="2237" xr:uid="{00000000-0005-0000-0000-00007F000000}"/>
    <cellStyle name="20% - Accent1 3 2 2 2" xfId="2238" xr:uid="{00000000-0005-0000-0000-000080000000}"/>
    <cellStyle name="20% - Accent1 3 2 2 2 2" xfId="2239" xr:uid="{00000000-0005-0000-0000-000081000000}"/>
    <cellStyle name="20% - Accent1 3 2 2 2 2 2" xfId="2240" xr:uid="{00000000-0005-0000-0000-000082000000}"/>
    <cellStyle name="20% - Accent1 3 2 2 2 2 2 2" xfId="2241" xr:uid="{00000000-0005-0000-0000-000083000000}"/>
    <cellStyle name="20% - Accent1 3 2 2 2 2 3" xfId="2242" xr:uid="{00000000-0005-0000-0000-000084000000}"/>
    <cellStyle name="20% - Accent1 3 2 2 2 3" xfId="2243" xr:uid="{00000000-0005-0000-0000-000085000000}"/>
    <cellStyle name="20% - Accent1 3 2 2 2 3 2" xfId="2244" xr:uid="{00000000-0005-0000-0000-000086000000}"/>
    <cellStyle name="20% - Accent1 3 2 2 2 4" xfId="2245" xr:uid="{00000000-0005-0000-0000-000087000000}"/>
    <cellStyle name="20% - Accent1 3 2 2 3" xfId="2246" xr:uid="{00000000-0005-0000-0000-000088000000}"/>
    <cellStyle name="20% - Accent1 3 2 2 3 2" xfId="2247" xr:uid="{00000000-0005-0000-0000-000089000000}"/>
    <cellStyle name="20% - Accent1 3 2 2 3 2 2" xfId="2248" xr:uid="{00000000-0005-0000-0000-00008A000000}"/>
    <cellStyle name="20% - Accent1 3 2 2 3 3" xfId="2249" xr:uid="{00000000-0005-0000-0000-00008B000000}"/>
    <cellStyle name="20% - Accent1 3 2 2 4" xfId="2250" xr:uid="{00000000-0005-0000-0000-00008C000000}"/>
    <cellStyle name="20% - Accent1 3 2 2 4 2" xfId="2251" xr:uid="{00000000-0005-0000-0000-00008D000000}"/>
    <cellStyle name="20% - Accent1 3 2 2 5" xfId="2252" xr:uid="{00000000-0005-0000-0000-00008E000000}"/>
    <cellStyle name="20% - Accent1 3 2 2 6" xfId="2253" xr:uid="{00000000-0005-0000-0000-00008F000000}"/>
    <cellStyle name="20% - Accent1 3 2 3" xfId="2254" xr:uid="{00000000-0005-0000-0000-000090000000}"/>
    <cellStyle name="20% - Accent1 3 2 3 2" xfId="2255" xr:uid="{00000000-0005-0000-0000-000091000000}"/>
    <cellStyle name="20% - Accent1 3 2 3 2 2" xfId="2256" xr:uid="{00000000-0005-0000-0000-000092000000}"/>
    <cellStyle name="20% - Accent1 3 2 3 2 2 2" xfId="2257" xr:uid="{00000000-0005-0000-0000-000093000000}"/>
    <cellStyle name="20% - Accent1 3 2 3 2 3" xfId="2258" xr:uid="{00000000-0005-0000-0000-000094000000}"/>
    <cellStyle name="20% - Accent1 3 2 3 3" xfId="2259" xr:uid="{00000000-0005-0000-0000-000095000000}"/>
    <cellStyle name="20% - Accent1 3 2 3 3 2" xfId="2260" xr:uid="{00000000-0005-0000-0000-000096000000}"/>
    <cellStyle name="20% - Accent1 3 2 3 4" xfId="2261" xr:uid="{00000000-0005-0000-0000-000097000000}"/>
    <cellStyle name="20% - Accent1 3 2 4" xfId="2262" xr:uid="{00000000-0005-0000-0000-000098000000}"/>
    <cellStyle name="20% - Accent1 3 2 4 2" xfId="2263" xr:uid="{00000000-0005-0000-0000-000099000000}"/>
    <cellStyle name="20% - Accent1 3 2 4 2 2" xfId="2264" xr:uid="{00000000-0005-0000-0000-00009A000000}"/>
    <cellStyle name="20% - Accent1 3 2 4 3" xfId="2265" xr:uid="{00000000-0005-0000-0000-00009B000000}"/>
    <cellStyle name="20% - Accent1 3 2 5" xfId="2266" xr:uid="{00000000-0005-0000-0000-00009C000000}"/>
    <cellStyle name="20% - Accent1 3 2 5 2" xfId="2267" xr:uid="{00000000-0005-0000-0000-00009D000000}"/>
    <cellStyle name="20% - Accent1 3 2 6" xfId="2268" xr:uid="{00000000-0005-0000-0000-00009E000000}"/>
    <cellStyle name="20% - Accent1 3 2 7" xfId="2269" xr:uid="{00000000-0005-0000-0000-00009F000000}"/>
    <cellStyle name="20% - Accent1 3 3" xfId="2270" xr:uid="{00000000-0005-0000-0000-0000A0000000}"/>
    <cellStyle name="20% - Accent1 3 3 2" xfId="2271" xr:uid="{00000000-0005-0000-0000-0000A1000000}"/>
    <cellStyle name="20% - Accent1 3 3 2 2" xfId="2272" xr:uid="{00000000-0005-0000-0000-0000A2000000}"/>
    <cellStyle name="20% - Accent1 3 3 2 2 2" xfId="2273" xr:uid="{00000000-0005-0000-0000-0000A3000000}"/>
    <cellStyle name="20% - Accent1 3 3 2 2 2 2" xfId="2274" xr:uid="{00000000-0005-0000-0000-0000A4000000}"/>
    <cellStyle name="20% - Accent1 3 3 2 2 3" xfId="2275" xr:uid="{00000000-0005-0000-0000-0000A5000000}"/>
    <cellStyle name="20% - Accent1 3 3 2 3" xfId="2276" xr:uid="{00000000-0005-0000-0000-0000A6000000}"/>
    <cellStyle name="20% - Accent1 3 3 2 3 2" xfId="2277" xr:uid="{00000000-0005-0000-0000-0000A7000000}"/>
    <cellStyle name="20% - Accent1 3 3 2 4" xfId="2278" xr:uid="{00000000-0005-0000-0000-0000A8000000}"/>
    <cellStyle name="20% - Accent1 3 3 3" xfId="2279" xr:uid="{00000000-0005-0000-0000-0000A9000000}"/>
    <cellStyle name="20% - Accent1 3 3 3 2" xfId="2280" xr:uid="{00000000-0005-0000-0000-0000AA000000}"/>
    <cellStyle name="20% - Accent1 3 3 3 2 2" xfId="2281" xr:uid="{00000000-0005-0000-0000-0000AB000000}"/>
    <cellStyle name="20% - Accent1 3 3 3 3" xfId="2282" xr:uid="{00000000-0005-0000-0000-0000AC000000}"/>
    <cellStyle name="20% - Accent1 3 3 4" xfId="2283" xr:uid="{00000000-0005-0000-0000-0000AD000000}"/>
    <cellStyle name="20% - Accent1 3 3 4 2" xfId="2284" xr:uid="{00000000-0005-0000-0000-0000AE000000}"/>
    <cellStyle name="20% - Accent1 3 3 5" xfId="2285" xr:uid="{00000000-0005-0000-0000-0000AF000000}"/>
    <cellStyle name="20% - Accent1 3 3 6" xfId="2286" xr:uid="{00000000-0005-0000-0000-0000B0000000}"/>
    <cellStyle name="20% - Accent1 3 4" xfId="2287" xr:uid="{00000000-0005-0000-0000-0000B1000000}"/>
    <cellStyle name="20% - Accent1 3 4 2" xfId="2288" xr:uid="{00000000-0005-0000-0000-0000B2000000}"/>
    <cellStyle name="20% - Accent1 3 4 2 2" xfId="2289" xr:uid="{00000000-0005-0000-0000-0000B3000000}"/>
    <cellStyle name="20% - Accent1 3 4 2 2 2" xfId="2290" xr:uid="{00000000-0005-0000-0000-0000B4000000}"/>
    <cellStyle name="20% - Accent1 3 4 2 3" xfId="2291" xr:uid="{00000000-0005-0000-0000-0000B5000000}"/>
    <cellStyle name="20% - Accent1 3 4 3" xfId="2292" xr:uid="{00000000-0005-0000-0000-0000B6000000}"/>
    <cellStyle name="20% - Accent1 3 4 3 2" xfId="2293" xr:uid="{00000000-0005-0000-0000-0000B7000000}"/>
    <cellStyle name="20% - Accent1 3 4 4" xfId="2294" xr:uid="{00000000-0005-0000-0000-0000B8000000}"/>
    <cellStyle name="20% - Accent1 3 4 5" xfId="2295" xr:uid="{00000000-0005-0000-0000-0000B9000000}"/>
    <cellStyle name="20% - Accent1 3 5" xfId="2296" xr:uid="{00000000-0005-0000-0000-0000BA000000}"/>
    <cellStyle name="20% - Accent1 3 5 2" xfId="2297" xr:uid="{00000000-0005-0000-0000-0000BB000000}"/>
    <cellStyle name="20% - Accent1 3 5 2 2" xfId="2298" xr:uid="{00000000-0005-0000-0000-0000BC000000}"/>
    <cellStyle name="20% - Accent1 3 5 3" xfId="2299" xr:uid="{00000000-0005-0000-0000-0000BD000000}"/>
    <cellStyle name="20% - Accent1 3 6" xfId="2300" xr:uid="{00000000-0005-0000-0000-0000BE000000}"/>
    <cellStyle name="20% - Accent1 3 6 2" xfId="2301" xr:uid="{00000000-0005-0000-0000-0000BF000000}"/>
    <cellStyle name="20% - Accent1 3 7" xfId="2302" xr:uid="{00000000-0005-0000-0000-0000C0000000}"/>
    <cellStyle name="20% - Accent1 3 8" xfId="2303" xr:uid="{00000000-0005-0000-0000-0000C1000000}"/>
    <cellStyle name="20% - Accent1 3 9" xfId="2304" xr:uid="{00000000-0005-0000-0000-0000C2000000}"/>
    <cellStyle name="20% - Accent1 30" xfId="116" xr:uid="{00000000-0005-0000-0000-0000C3000000}"/>
    <cellStyle name="20% - Accent1 31" xfId="117" xr:uid="{00000000-0005-0000-0000-0000C4000000}"/>
    <cellStyle name="20% - Accent1 32" xfId="118" xr:uid="{00000000-0005-0000-0000-0000C5000000}"/>
    <cellStyle name="20% - Accent1 33" xfId="119" xr:uid="{00000000-0005-0000-0000-0000C6000000}"/>
    <cellStyle name="20% - Accent1 34" xfId="120" xr:uid="{00000000-0005-0000-0000-0000C7000000}"/>
    <cellStyle name="20% - Accent1 35" xfId="121" xr:uid="{00000000-0005-0000-0000-0000C8000000}"/>
    <cellStyle name="20% - Accent1 4" xfId="122" xr:uid="{00000000-0005-0000-0000-0000C9000000}"/>
    <cellStyle name="20% - Accent1 4 2" xfId="2305" xr:uid="{00000000-0005-0000-0000-0000CA000000}"/>
    <cellStyle name="20% - Accent1 4 2 2" xfId="2306" xr:uid="{00000000-0005-0000-0000-0000CB000000}"/>
    <cellStyle name="20% - Accent1 4 2 2 2" xfId="2307" xr:uid="{00000000-0005-0000-0000-0000CC000000}"/>
    <cellStyle name="20% - Accent1 4 2 2 2 2" xfId="2308" xr:uid="{00000000-0005-0000-0000-0000CD000000}"/>
    <cellStyle name="20% - Accent1 4 2 2 2 2 2" xfId="2309" xr:uid="{00000000-0005-0000-0000-0000CE000000}"/>
    <cellStyle name="20% - Accent1 4 2 2 2 3" xfId="2310" xr:uid="{00000000-0005-0000-0000-0000CF000000}"/>
    <cellStyle name="20% - Accent1 4 2 2 3" xfId="2311" xr:uid="{00000000-0005-0000-0000-0000D0000000}"/>
    <cellStyle name="20% - Accent1 4 2 2 3 2" xfId="2312" xr:uid="{00000000-0005-0000-0000-0000D1000000}"/>
    <cellStyle name="20% - Accent1 4 2 2 4" xfId="2313" xr:uid="{00000000-0005-0000-0000-0000D2000000}"/>
    <cellStyle name="20% - Accent1 4 2 3" xfId="2314" xr:uid="{00000000-0005-0000-0000-0000D3000000}"/>
    <cellStyle name="20% - Accent1 4 2 3 2" xfId="2315" xr:uid="{00000000-0005-0000-0000-0000D4000000}"/>
    <cellStyle name="20% - Accent1 4 2 3 2 2" xfId="2316" xr:uid="{00000000-0005-0000-0000-0000D5000000}"/>
    <cellStyle name="20% - Accent1 4 2 3 3" xfId="2317" xr:uid="{00000000-0005-0000-0000-0000D6000000}"/>
    <cellStyle name="20% - Accent1 4 2 4" xfId="2318" xr:uid="{00000000-0005-0000-0000-0000D7000000}"/>
    <cellStyle name="20% - Accent1 4 2 4 2" xfId="2319" xr:uid="{00000000-0005-0000-0000-0000D8000000}"/>
    <cellStyle name="20% - Accent1 4 2 5" xfId="2320" xr:uid="{00000000-0005-0000-0000-0000D9000000}"/>
    <cellStyle name="20% - Accent1 4 2 6" xfId="2321" xr:uid="{00000000-0005-0000-0000-0000DA000000}"/>
    <cellStyle name="20% - Accent1 4 3" xfId="2322" xr:uid="{00000000-0005-0000-0000-0000DB000000}"/>
    <cellStyle name="20% - Accent1 4 3 2" xfId="2323" xr:uid="{00000000-0005-0000-0000-0000DC000000}"/>
    <cellStyle name="20% - Accent1 4 3 2 2" xfId="2324" xr:uid="{00000000-0005-0000-0000-0000DD000000}"/>
    <cellStyle name="20% - Accent1 4 3 2 2 2" xfId="2325" xr:uid="{00000000-0005-0000-0000-0000DE000000}"/>
    <cellStyle name="20% - Accent1 4 3 2 3" xfId="2326" xr:uid="{00000000-0005-0000-0000-0000DF000000}"/>
    <cellStyle name="20% - Accent1 4 3 3" xfId="2327" xr:uid="{00000000-0005-0000-0000-0000E0000000}"/>
    <cellStyle name="20% - Accent1 4 3 3 2" xfId="2328" xr:uid="{00000000-0005-0000-0000-0000E1000000}"/>
    <cellStyle name="20% - Accent1 4 3 4" xfId="2329" xr:uid="{00000000-0005-0000-0000-0000E2000000}"/>
    <cellStyle name="20% - Accent1 4 3 5" xfId="2330" xr:uid="{00000000-0005-0000-0000-0000E3000000}"/>
    <cellStyle name="20% - Accent1 4 4" xfId="2331" xr:uid="{00000000-0005-0000-0000-0000E4000000}"/>
    <cellStyle name="20% - Accent1 4 4 2" xfId="2332" xr:uid="{00000000-0005-0000-0000-0000E5000000}"/>
    <cellStyle name="20% - Accent1 4 4 2 2" xfId="2333" xr:uid="{00000000-0005-0000-0000-0000E6000000}"/>
    <cellStyle name="20% - Accent1 4 4 3" xfId="2334" xr:uid="{00000000-0005-0000-0000-0000E7000000}"/>
    <cellStyle name="20% - Accent1 4 5" xfId="2335" xr:uid="{00000000-0005-0000-0000-0000E8000000}"/>
    <cellStyle name="20% - Accent1 4 5 2" xfId="2336" xr:uid="{00000000-0005-0000-0000-0000E9000000}"/>
    <cellStyle name="20% - Accent1 4 6" xfId="2337" xr:uid="{00000000-0005-0000-0000-0000EA000000}"/>
    <cellStyle name="20% - Accent1 4 7" xfId="2338" xr:uid="{00000000-0005-0000-0000-0000EB000000}"/>
    <cellStyle name="20% - Accent1 5" xfId="123" xr:uid="{00000000-0005-0000-0000-0000EC000000}"/>
    <cellStyle name="20% - Accent1 5 2" xfId="2339" xr:uid="{00000000-0005-0000-0000-0000ED000000}"/>
    <cellStyle name="20% - Accent1 5 2 2" xfId="2340" xr:uid="{00000000-0005-0000-0000-0000EE000000}"/>
    <cellStyle name="20% - Accent1 5 2 2 2" xfId="2341" xr:uid="{00000000-0005-0000-0000-0000EF000000}"/>
    <cellStyle name="20% - Accent1 5 2 2 2 2" xfId="2342" xr:uid="{00000000-0005-0000-0000-0000F0000000}"/>
    <cellStyle name="20% - Accent1 5 2 2 3" xfId="2343" xr:uid="{00000000-0005-0000-0000-0000F1000000}"/>
    <cellStyle name="20% - Accent1 5 2 3" xfId="2344" xr:uid="{00000000-0005-0000-0000-0000F2000000}"/>
    <cellStyle name="20% - Accent1 5 2 3 2" xfId="2345" xr:uid="{00000000-0005-0000-0000-0000F3000000}"/>
    <cellStyle name="20% - Accent1 5 2 4" xfId="2346" xr:uid="{00000000-0005-0000-0000-0000F4000000}"/>
    <cellStyle name="20% - Accent1 5 2 5" xfId="2347" xr:uid="{00000000-0005-0000-0000-0000F5000000}"/>
    <cellStyle name="20% - Accent1 5 3" xfId="2348" xr:uid="{00000000-0005-0000-0000-0000F6000000}"/>
    <cellStyle name="20% - Accent1 5 3 2" xfId="2349" xr:uid="{00000000-0005-0000-0000-0000F7000000}"/>
    <cellStyle name="20% - Accent1 5 3 2 2" xfId="2350" xr:uid="{00000000-0005-0000-0000-0000F8000000}"/>
    <cellStyle name="20% - Accent1 5 3 3" xfId="2351" xr:uid="{00000000-0005-0000-0000-0000F9000000}"/>
    <cellStyle name="20% - Accent1 5 4" xfId="2352" xr:uid="{00000000-0005-0000-0000-0000FA000000}"/>
    <cellStyle name="20% - Accent1 5 4 2" xfId="2353" xr:uid="{00000000-0005-0000-0000-0000FB000000}"/>
    <cellStyle name="20% - Accent1 5 5" xfId="2354" xr:uid="{00000000-0005-0000-0000-0000FC000000}"/>
    <cellStyle name="20% - Accent1 5 6" xfId="2355" xr:uid="{00000000-0005-0000-0000-0000FD000000}"/>
    <cellStyle name="20% - Accent1 6" xfId="124" xr:uid="{00000000-0005-0000-0000-0000FE000000}"/>
    <cellStyle name="20% - Accent1 6 2" xfId="2356" xr:uid="{00000000-0005-0000-0000-0000FF000000}"/>
    <cellStyle name="20% - Accent1 6 2 2" xfId="2357" xr:uid="{00000000-0005-0000-0000-000000010000}"/>
    <cellStyle name="20% - Accent1 6 2 2 2" xfId="2358" xr:uid="{00000000-0005-0000-0000-000001010000}"/>
    <cellStyle name="20% - Accent1 6 2 3" xfId="2359" xr:uid="{00000000-0005-0000-0000-000002010000}"/>
    <cellStyle name="20% - Accent1 6 2 4" xfId="2360" xr:uid="{00000000-0005-0000-0000-000003010000}"/>
    <cellStyle name="20% - Accent1 6 2 5" xfId="2361" xr:uid="{00000000-0005-0000-0000-000004010000}"/>
    <cellStyle name="20% - Accent1 6 3" xfId="2362" xr:uid="{00000000-0005-0000-0000-000005010000}"/>
    <cellStyle name="20% - Accent1 6 3 2" xfId="2363" xr:uid="{00000000-0005-0000-0000-000006010000}"/>
    <cellStyle name="20% - Accent1 6 4" xfId="2364" xr:uid="{00000000-0005-0000-0000-000007010000}"/>
    <cellStyle name="20% - Accent1 6 5" xfId="2365" xr:uid="{00000000-0005-0000-0000-000008010000}"/>
    <cellStyle name="20% - Accent1 7" xfId="125" xr:uid="{00000000-0005-0000-0000-000009010000}"/>
    <cellStyle name="20% - Accent1 7 2" xfId="2366" xr:uid="{00000000-0005-0000-0000-00000A010000}"/>
    <cellStyle name="20% - Accent1 7 2 2" xfId="2367" xr:uid="{00000000-0005-0000-0000-00000B010000}"/>
    <cellStyle name="20% - Accent1 7 2 2 2" xfId="2368" xr:uid="{00000000-0005-0000-0000-00000C010000}"/>
    <cellStyle name="20% - Accent1 7 2 3" xfId="2369" xr:uid="{00000000-0005-0000-0000-00000D010000}"/>
    <cellStyle name="20% - Accent1 7 3" xfId="2370" xr:uid="{00000000-0005-0000-0000-00000E010000}"/>
    <cellStyle name="20% - Accent1 7 3 2" xfId="2371" xr:uid="{00000000-0005-0000-0000-00000F010000}"/>
    <cellStyle name="20% - Accent1 7 4" xfId="2372" xr:uid="{00000000-0005-0000-0000-000010010000}"/>
    <cellStyle name="20% - Accent1 7 5" xfId="2373" xr:uid="{00000000-0005-0000-0000-000011010000}"/>
    <cellStyle name="20% - Accent1 8" xfId="126" xr:uid="{00000000-0005-0000-0000-000012010000}"/>
    <cellStyle name="20% - Accent1 8 2" xfId="2374" xr:uid="{00000000-0005-0000-0000-000013010000}"/>
    <cellStyle name="20% - Accent1 8 2 2" xfId="2375" xr:uid="{00000000-0005-0000-0000-000014010000}"/>
    <cellStyle name="20% - Accent1 8 2 2 2" xfId="2376" xr:uid="{00000000-0005-0000-0000-000015010000}"/>
    <cellStyle name="20% - Accent1 8 2 3" xfId="2377" xr:uid="{00000000-0005-0000-0000-000016010000}"/>
    <cellStyle name="20% - Accent1 8 3" xfId="2378" xr:uid="{00000000-0005-0000-0000-000017010000}"/>
    <cellStyle name="20% - Accent1 8 3 2" xfId="2379" xr:uid="{00000000-0005-0000-0000-000018010000}"/>
    <cellStyle name="20% - Accent1 8 4" xfId="2380" xr:uid="{00000000-0005-0000-0000-000019010000}"/>
    <cellStyle name="20% - Accent1 8 5" xfId="2381" xr:uid="{00000000-0005-0000-0000-00001A010000}"/>
    <cellStyle name="20% - Accent1 9" xfId="127" xr:uid="{00000000-0005-0000-0000-00001B010000}"/>
    <cellStyle name="20% - Accent1 9 2" xfId="2382" xr:uid="{00000000-0005-0000-0000-00001C010000}"/>
    <cellStyle name="20% - Accent1 9 2 2" xfId="2383" xr:uid="{00000000-0005-0000-0000-00001D010000}"/>
    <cellStyle name="20% - Accent1 9 3" xfId="2384" xr:uid="{00000000-0005-0000-0000-00001E010000}"/>
    <cellStyle name="20% - Accent1 9 4" xfId="2385" xr:uid="{00000000-0005-0000-0000-00001F010000}"/>
    <cellStyle name="20% - Accent2" xfId="15180" builtinId="34" customBuiltin="1"/>
    <cellStyle name="20% - Accent2 10" xfId="128" xr:uid="{00000000-0005-0000-0000-000021010000}"/>
    <cellStyle name="20% - Accent2 10 2" xfId="2386" xr:uid="{00000000-0005-0000-0000-000022010000}"/>
    <cellStyle name="20% - Accent2 10 2 2" xfId="2387" xr:uid="{00000000-0005-0000-0000-000023010000}"/>
    <cellStyle name="20% - Accent2 10 3" xfId="2388" xr:uid="{00000000-0005-0000-0000-000024010000}"/>
    <cellStyle name="20% - Accent2 10 4" xfId="2389" xr:uid="{00000000-0005-0000-0000-000025010000}"/>
    <cellStyle name="20% - Accent2 11" xfId="129" xr:uid="{00000000-0005-0000-0000-000026010000}"/>
    <cellStyle name="20% - Accent2 11 2" xfId="2390" xr:uid="{00000000-0005-0000-0000-000027010000}"/>
    <cellStyle name="20% - Accent2 11 2 2" xfId="2391" xr:uid="{00000000-0005-0000-0000-000028010000}"/>
    <cellStyle name="20% - Accent2 11 3" xfId="2392" xr:uid="{00000000-0005-0000-0000-000029010000}"/>
    <cellStyle name="20% - Accent2 11 4" xfId="2393" xr:uid="{00000000-0005-0000-0000-00002A010000}"/>
    <cellStyle name="20% - Accent2 12" xfId="130" xr:uid="{00000000-0005-0000-0000-00002B010000}"/>
    <cellStyle name="20% - Accent2 12 2" xfId="2394" xr:uid="{00000000-0005-0000-0000-00002C010000}"/>
    <cellStyle name="20% - Accent2 12 3" xfId="2395" xr:uid="{00000000-0005-0000-0000-00002D010000}"/>
    <cellStyle name="20% - Accent2 13" xfId="131" xr:uid="{00000000-0005-0000-0000-00002E010000}"/>
    <cellStyle name="20% - Accent2 13 2" xfId="2396" xr:uid="{00000000-0005-0000-0000-00002F010000}"/>
    <cellStyle name="20% - Accent2 14" xfId="132" xr:uid="{00000000-0005-0000-0000-000030010000}"/>
    <cellStyle name="20% - Accent2 15" xfId="133" xr:uid="{00000000-0005-0000-0000-000031010000}"/>
    <cellStyle name="20% - Accent2 15 2" xfId="134" xr:uid="{00000000-0005-0000-0000-000032010000}"/>
    <cellStyle name="20% - Accent2 15 3" xfId="135" xr:uid="{00000000-0005-0000-0000-000033010000}"/>
    <cellStyle name="20% - Accent2 15 4" xfId="136" xr:uid="{00000000-0005-0000-0000-000034010000}"/>
    <cellStyle name="20% - Accent2 15 5" xfId="137" xr:uid="{00000000-0005-0000-0000-000035010000}"/>
    <cellStyle name="20% - Accent2 16" xfId="138" xr:uid="{00000000-0005-0000-0000-000036010000}"/>
    <cellStyle name="20% - Accent2 16 2" xfId="139" xr:uid="{00000000-0005-0000-0000-000037010000}"/>
    <cellStyle name="20% - Accent2 16 3" xfId="140" xr:uid="{00000000-0005-0000-0000-000038010000}"/>
    <cellStyle name="20% - Accent2 16 4" xfId="141" xr:uid="{00000000-0005-0000-0000-000039010000}"/>
    <cellStyle name="20% - Accent2 16 5" xfId="142" xr:uid="{00000000-0005-0000-0000-00003A010000}"/>
    <cellStyle name="20% - Accent2 17" xfId="143" xr:uid="{00000000-0005-0000-0000-00003B010000}"/>
    <cellStyle name="20% - Accent2 17 2" xfId="144" xr:uid="{00000000-0005-0000-0000-00003C010000}"/>
    <cellStyle name="20% - Accent2 17 3" xfId="145" xr:uid="{00000000-0005-0000-0000-00003D010000}"/>
    <cellStyle name="20% - Accent2 17 4" xfId="146" xr:uid="{00000000-0005-0000-0000-00003E010000}"/>
    <cellStyle name="20% - Accent2 17 5" xfId="147" xr:uid="{00000000-0005-0000-0000-00003F010000}"/>
    <cellStyle name="20% - Accent2 18" xfId="148" xr:uid="{00000000-0005-0000-0000-000040010000}"/>
    <cellStyle name="20% - Accent2 19" xfId="149" xr:uid="{00000000-0005-0000-0000-000041010000}"/>
    <cellStyle name="20% - Accent2 2" xfId="150" xr:uid="{00000000-0005-0000-0000-000042010000}"/>
    <cellStyle name="20% - Accent2 2 2" xfId="151" xr:uid="{00000000-0005-0000-0000-000043010000}"/>
    <cellStyle name="20% - Accent2 2 2 2" xfId="152" xr:uid="{00000000-0005-0000-0000-000044010000}"/>
    <cellStyle name="20% - Accent2 2 2 2 2" xfId="153" xr:uid="{00000000-0005-0000-0000-000045010000}"/>
    <cellStyle name="20% - Accent2 2 2 2 2 2" xfId="2397" xr:uid="{00000000-0005-0000-0000-000046010000}"/>
    <cellStyle name="20% - Accent2 2 2 2 2 2 2" xfId="2398" xr:uid="{00000000-0005-0000-0000-000047010000}"/>
    <cellStyle name="20% - Accent2 2 2 2 2 2 2 2" xfId="2399" xr:uid="{00000000-0005-0000-0000-000048010000}"/>
    <cellStyle name="20% - Accent2 2 2 2 2 2 3" xfId="2400" xr:uid="{00000000-0005-0000-0000-000049010000}"/>
    <cellStyle name="20% - Accent2 2 2 2 2 3" xfId="2401" xr:uid="{00000000-0005-0000-0000-00004A010000}"/>
    <cellStyle name="20% - Accent2 2 2 2 2 3 2" xfId="2402" xr:uid="{00000000-0005-0000-0000-00004B010000}"/>
    <cellStyle name="20% - Accent2 2 2 2 2 4" xfId="2403" xr:uid="{00000000-0005-0000-0000-00004C010000}"/>
    <cellStyle name="20% - Accent2 2 2 2 2 5" xfId="2404" xr:uid="{00000000-0005-0000-0000-00004D010000}"/>
    <cellStyle name="20% - Accent2 2 2 2 3" xfId="154" xr:uid="{00000000-0005-0000-0000-00004E010000}"/>
    <cellStyle name="20% - Accent2 2 2 2 3 2" xfId="2405" xr:uid="{00000000-0005-0000-0000-00004F010000}"/>
    <cellStyle name="20% - Accent2 2 2 2 3 2 2" xfId="2406" xr:uid="{00000000-0005-0000-0000-000050010000}"/>
    <cellStyle name="20% - Accent2 2 2 2 3 3" xfId="2407" xr:uid="{00000000-0005-0000-0000-000051010000}"/>
    <cellStyle name="20% - Accent2 2 2 2 4" xfId="155" xr:uid="{00000000-0005-0000-0000-000052010000}"/>
    <cellStyle name="20% - Accent2 2 2 2 4 2" xfId="2408" xr:uid="{00000000-0005-0000-0000-000053010000}"/>
    <cellStyle name="20% - Accent2 2 2 2 5" xfId="156" xr:uid="{00000000-0005-0000-0000-000054010000}"/>
    <cellStyle name="20% - Accent2 2 2 2 6" xfId="2409" xr:uid="{00000000-0005-0000-0000-000055010000}"/>
    <cellStyle name="20% - Accent2 2 2 3" xfId="157" xr:uid="{00000000-0005-0000-0000-000056010000}"/>
    <cellStyle name="20% - Accent2 2 2 3 2" xfId="2410" xr:uid="{00000000-0005-0000-0000-000057010000}"/>
    <cellStyle name="20% - Accent2 2 2 3 2 2" xfId="2411" xr:uid="{00000000-0005-0000-0000-000058010000}"/>
    <cellStyle name="20% - Accent2 2 2 3 2 2 2" xfId="2412" xr:uid="{00000000-0005-0000-0000-000059010000}"/>
    <cellStyle name="20% - Accent2 2 2 3 2 3" xfId="2413" xr:uid="{00000000-0005-0000-0000-00005A010000}"/>
    <cellStyle name="20% - Accent2 2 2 3 3" xfId="2414" xr:uid="{00000000-0005-0000-0000-00005B010000}"/>
    <cellStyle name="20% - Accent2 2 2 3 3 2" xfId="2415" xr:uid="{00000000-0005-0000-0000-00005C010000}"/>
    <cellStyle name="20% - Accent2 2 2 3 4" xfId="2416" xr:uid="{00000000-0005-0000-0000-00005D010000}"/>
    <cellStyle name="20% - Accent2 2 2 3 5" xfId="2417" xr:uid="{00000000-0005-0000-0000-00005E010000}"/>
    <cellStyle name="20% - Accent2 2 2 4" xfId="158" xr:uid="{00000000-0005-0000-0000-00005F010000}"/>
    <cellStyle name="20% - Accent2 2 2 4 2" xfId="2418" xr:uid="{00000000-0005-0000-0000-000060010000}"/>
    <cellStyle name="20% - Accent2 2 2 4 2 2" xfId="2419" xr:uid="{00000000-0005-0000-0000-000061010000}"/>
    <cellStyle name="20% - Accent2 2 2 4 3" xfId="2420" xr:uid="{00000000-0005-0000-0000-000062010000}"/>
    <cellStyle name="20% - Accent2 2 2 5" xfId="159" xr:uid="{00000000-0005-0000-0000-000063010000}"/>
    <cellStyle name="20% - Accent2 2 2 5 2" xfId="2421" xr:uid="{00000000-0005-0000-0000-000064010000}"/>
    <cellStyle name="20% - Accent2 2 2 6" xfId="2422" xr:uid="{00000000-0005-0000-0000-000065010000}"/>
    <cellStyle name="20% - Accent2 2 2 7" xfId="2423" xr:uid="{00000000-0005-0000-0000-000066010000}"/>
    <cellStyle name="20% - Accent2 2 3" xfId="160" xr:uid="{00000000-0005-0000-0000-000067010000}"/>
    <cellStyle name="20% - Accent2 2 3 2" xfId="2424" xr:uid="{00000000-0005-0000-0000-000068010000}"/>
    <cellStyle name="20% - Accent2 2 3 2 2" xfId="2425" xr:uid="{00000000-0005-0000-0000-000069010000}"/>
    <cellStyle name="20% - Accent2 2 3 2 2 2" xfId="2426" xr:uid="{00000000-0005-0000-0000-00006A010000}"/>
    <cellStyle name="20% - Accent2 2 3 2 2 2 2" xfId="2427" xr:uid="{00000000-0005-0000-0000-00006B010000}"/>
    <cellStyle name="20% - Accent2 2 3 2 2 3" xfId="2428" xr:uid="{00000000-0005-0000-0000-00006C010000}"/>
    <cellStyle name="20% - Accent2 2 3 2 3" xfId="2429" xr:uid="{00000000-0005-0000-0000-00006D010000}"/>
    <cellStyle name="20% - Accent2 2 3 2 3 2" xfId="2430" xr:uid="{00000000-0005-0000-0000-00006E010000}"/>
    <cellStyle name="20% - Accent2 2 3 2 4" xfId="2431" xr:uid="{00000000-0005-0000-0000-00006F010000}"/>
    <cellStyle name="20% - Accent2 2 3 3" xfId="2432" xr:uid="{00000000-0005-0000-0000-000070010000}"/>
    <cellStyle name="20% - Accent2 2 3 3 2" xfId="2433" xr:uid="{00000000-0005-0000-0000-000071010000}"/>
    <cellStyle name="20% - Accent2 2 3 3 2 2" xfId="2434" xr:uid="{00000000-0005-0000-0000-000072010000}"/>
    <cellStyle name="20% - Accent2 2 3 3 3" xfId="2435" xr:uid="{00000000-0005-0000-0000-000073010000}"/>
    <cellStyle name="20% - Accent2 2 3 4" xfId="2436" xr:uid="{00000000-0005-0000-0000-000074010000}"/>
    <cellStyle name="20% - Accent2 2 3 4 2" xfId="2437" xr:uid="{00000000-0005-0000-0000-000075010000}"/>
    <cellStyle name="20% - Accent2 2 3 5" xfId="2438" xr:uid="{00000000-0005-0000-0000-000076010000}"/>
    <cellStyle name="20% - Accent2 2 3 6" xfId="2439" xr:uid="{00000000-0005-0000-0000-000077010000}"/>
    <cellStyle name="20% - Accent2 2 4" xfId="161" xr:uid="{00000000-0005-0000-0000-000078010000}"/>
    <cellStyle name="20% - Accent2 2 4 2" xfId="2440" xr:uid="{00000000-0005-0000-0000-000079010000}"/>
    <cellStyle name="20% - Accent2 2 4 2 2" xfId="2441" xr:uid="{00000000-0005-0000-0000-00007A010000}"/>
    <cellStyle name="20% - Accent2 2 4 2 2 2" xfId="2442" xr:uid="{00000000-0005-0000-0000-00007B010000}"/>
    <cellStyle name="20% - Accent2 2 4 2 3" xfId="2443" xr:uid="{00000000-0005-0000-0000-00007C010000}"/>
    <cellStyle name="20% - Accent2 2 4 3" xfId="2444" xr:uid="{00000000-0005-0000-0000-00007D010000}"/>
    <cellStyle name="20% - Accent2 2 4 3 2" xfId="2445" xr:uid="{00000000-0005-0000-0000-00007E010000}"/>
    <cellStyle name="20% - Accent2 2 4 4" xfId="2446" xr:uid="{00000000-0005-0000-0000-00007F010000}"/>
    <cellStyle name="20% - Accent2 2 4 5" xfId="2447" xr:uid="{00000000-0005-0000-0000-000080010000}"/>
    <cellStyle name="20% - Accent2 2 5" xfId="162" xr:uid="{00000000-0005-0000-0000-000081010000}"/>
    <cellStyle name="20% - Accent2 2 5 2" xfId="2448" xr:uid="{00000000-0005-0000-0000-000082010000}"/>
    <cellStyle name="20% - Accent2 2 5 2 2" xfId="2449" xr:uid="{00000000-0005-0000-0000-000083010000}"/>
    <cellStyle name="20% - Accent2 2 5 3" xfId="2450" xr:uid="{00000000-0005-0000-0000-000084010000}"/>
    <cellStyle name="20% - Accent2 2 5 4" xfId="2451" xr:uid="{00000000-0005-0000-0000-000085010000}"/>
    <cellStyle name="20% - Accent2 2 6" xfId="163" xr:uid="{00000000-0005-0000-0000-000086010000}"/>
    <cellStyle name="20% - Accent2 2 6 2" xfId="2452" xr:uid="{00000000-0005-0000-0000-000087010000}"/>
    <cellStyle name="20% - Accent2 2 6 3" xfId="2453" xr:uid="{00000000-0005-0000-0000-000088010000}"/>
    <cellStyle name="20% - Accent2 2 7" xfId="164" xr:uid="{00000000-0005-0000-0000-000089010000}"/>
    <cellStyle name="20% - Accent2 2 8" xfId="165" xr:uid="{00000000-0005-0000-0000-00008A010000}"/>
    <cellStyle name="20% - Accent2 2 9" xfId="166" xr:uid="{00000000-0005-0000-0000-00008B010000}"/>
    <cellStyle name="20% - Accent2 20" xfId="167" xr:uid="{00000000-0005-0000-0000-00008C010000}"/>
    <cellStyle name="20% - Accent2 21" xfId="168" xr:uid="{00000000-0005-0000-0000-00008D010000}"/>
    <cellStyle name="20% - Accent2 22" xfId="169" xr:uid="{00000000-0005-0000-0000-00008E010000}"/>
    <cellStyle name="20% - Accent2 23" xfId="170" xr:uid="{00000000-0005-0000-0000-00008F010000}"/>
    <cellStyle name="20% - Accent2 24" xfId="171" xr:uid="{00000000-0005-0000-0000-000090010000}"/>
    <cellStyle name="20% - Accent2 25" xfId="172" xr:uid="{00000000-0005-0000-0000-000091010000}"/>
    <cellStyle name="20% - Accent2 26" xfId="173" xr:uid="{00000000-0005-0000-0000-000092010000}"/>
    <cellStyle name="20% - Accent2 27" xfId="174" xr:uid="{00000000-0005-0000-0000-000093010000}"/>
    <cellStyle name="20% - Accent2 28" xfId="175" xr:uid="{00000000-0005-0000-0000-000094010000}"/>
    <cellStyle name="20% - Accent2 29" xfId="176" xr:uid="{00000000-0005-0000-0000-000095010000}"/>
    <cellStyle name="20% - Accent2 3" xfId="177" xr:uid="{00000000-0005-0000-0000-000096010000}"/>
    <cellStyle name="20% - Accent2 3 2" xfId="2454" xr:uid="{00000000-0005-0000-0000-000097010000}"/>
    <cellStyle name="20% - Accent2 3 2 2" xfId="2455" xr:uid="{00000000-0005-0000-0000-000098010000}"/>
    <cellStyle name="20% - Accent2 3 2 2 2" xfId="2456" xr:uid="{00000000-0005-0000-0000-000099010000}"/>
    <cellStyle name="20% - Accent2 3 2 2 2 2" xfId="2457" xr:uid="{00000000-0005-0000-0000-00009A010000}"/>
    <cellStyle name="20% - Accent2 3 2 2 2 2 2" xfId="2458" xr:uid="{00000000-0005-0000-0000-00009B010000}"/>
    <cellStyle name="20% - Accent2 3 2 2 2 2 2 2" xfId="2459" xr:uid="{00000000-0005-0000-0000-00009C010000}"/>
    <cellStyle name="20% - Accent2 3 2 2 2 2 3" xfId="2460" xr:uid="{00000000-0005-0000-0000-00009D010000}"/>
    <cellStyle name="20% - Accent2 3 2 2 2 3" xfId="2461" xr:uid="{00000000-0005-0000-0000-00009E010000}"/>
    <cellStyle name="20% - Accent2 3 2 2 2 3 2" xfId="2462" xr:uid="{00000000-0005-0000-0000-00009F010000}"/>
    <cellStyle name="20% - Accent2 3 2 2 2 4" xfId="2463" xr:uid="{00000000-0005-0000-0000-0000A0010000}"/>
    <cellStyle name="20% - Accent2 3 2 2 3" xfId="2464" xr:uid="{00000000-0005-0000-0000-0000A1010000}"/>
    <cellStyle name="20% - Accent2 3 2 2 3 2" xfId="2465" xr:uid="{00000000-0005-0000-0000-0000A2010000}"/>
    <cellStyle name="20% - Accent2 3 2 2 3 2 2" xfId="2466" xr:uid="{00000000-0005-0000-0000-0000A3010000}"/>
    <cellStyle name="20% - Accent2 3 2 2 3 3" xfId="2467" xr:uid="{00000000-0005-0000-0000-0000A4010000}"/>
    <cellStyle name="20% - Accent2 3 2 2 4" xfId="2468" xr:uid="{00000000-0005-0000-0000-0000A5010000}"/>
    <cellStyle name="20% - Accent2 3 2 2 4 2" xfId="2469" xr:uid="{00000000-0005-0000-0000-0000A6010000}"/>
    <cellStyle name="20% - Accent2 3 2 2 5" xfId="2470" xr:uid="{00000000-0005-0000-0000-0000A7010000}"/>
    <cellStyle name="20% - Accent2 3 2 2 6" xfId="2471" xr:uid="{00000000-0005-0000-0000-0000A8010000}"/>
    <cellStyle name="20% - Accent2 3 2 3" xfId="2472" xr:uid="{00000000-0005-0000-0000-0000A9010000}"/>
    <cellStyle name="20% - Accent2 3 2 3 2" xfId="2473" xr:uid="{00000000-0005-0000-0000-0000AA010000}"/>
    <cellStyle name="20% - Accent2 3 2 3 2 2" xfId="2474" xr:uid="{00000000-0005-0000-0000-0000AB010000}"/>
    <cellStyle name="20% - Accent2 3 2 3 2 2 2" xfId="2475" xr:uid="{00000000-0005-0000-0000-0000AC010000}"/>
    <cellStyle name="20% - Accent2 3 2 3 2 3" xfId="2476" xr:uid="{00000000-0005-0000-0000-0000AD010000}"/>
    <cellStyle name="20% - Accent2 3 2 3 3" xfId="2477" xr:uid="{00000000-0005-0000-0000-0000AE010000}"/>
    <cellStyle name="20% - Accent2 3 2 3 3 2" xfId="2478" xr:uid="{00000000-0005-0000-0000-0000AF010000}"/>
    <cellStyle name="20% - Accent2 3 2 3 4" xfId="2479" xr:uid="{00000000-0005-0000-0000-0000B0010000}"/>
    <cellStyle name="20% - Accent2 3 2 4" xfId="2480" xr:uid="{00000000-0005-0000-0000-0000B1010000}"/>
    <cellStyle name="20% - Accent2 3 2 4 2" xfId="2481" xr:uid="{00000000-0005-0000-0000-0000B2010000}"/>
    <cellStyle name="20% - Accent2 3 2 4 2 2" xfId="2482" xr:uid="{00000000-0005-0000-0000-0000B3010000}"/>
    <cellStyle name="20% - Accent2 3 2 4 3" xfId="2483" xr:uid="{00000000-0005-0000-0000-0000B4010000}"/>
    <cellStyle name="20% - Accent2 3 2 5" xfId="2484" xr:uid="{00000000-0005-0000-0000-0000B5010000}"/>
    <cellStyle name="20% - Accent2 3 2 5 2" xfId="2485" xr:uid="{00000000-0005-0000-0000-0000B6010000}"/>
    <cellStyle name="20% - Accent2 3 2 6" xfId="2486" xr:uid="{00000000-0005-0000-0000-0000B7010000}"/>
    <cellStyle name="20% - Accent2 3 2 7" xfId="2487" xr:uid="{00000000-0005-0000-0000-0000B8010000}"/>
    <cellStyle name="20% - Accent2 3 3" xfId="2488" xr:uid="{00000000-0005-0000-0000-0000B9010000}"/>
    <cellStyle name="20% - Accent2 3 3 2" xfId="2489" xr:uid="{00000000-0005-0000-0000-0000BA010000}"/>
    <cellStyle name="20% - Accent2 3 3 2 2" xfId="2490" xr:uid="{00000000-0005-0000-0000-0000BB010000}"/>
    <cellStyle name="20% - Accent2 3 3 2 2 2" xfId="2491" xr:uid="{00000000-0005-0000-0000-0000BC010000}"/>
    <cellStyle name="20% - Accent2 3 3 2 2 2 2" xfId="2492" xr:uid="{00000000-0005-0000-0000-0000BD010000}"/>
    <cellStyle name="20% - Accent2 3 3 2 2 3" xfId="2493" xr:uid="{00000000-0005-0000-0000-0000BE010000}"/>
    <cellStyle name="20% - Accent2 3 3 2 3" xfId="2494" xr:uid="{00000000-0005-0000-0000-0000BF010000}"/>
    <cellStyle name="20% - Accent2 3 3 2 3 2" xfId="2495" xr:uid="{00000000-0005-0000-0000-0000C0010000}"/>
    <cellStyle name="20% - Accent2 3 3 2 4" xfId="2496" xr:uid="{00000000-0005-0000-0000-0000C1010000}"/>
    <cellStyle name="20% - Accent2 3 3 3" xfId="2497" xr:uid="{00000000-0005-0000-0000-0000C2010000}"/>
    <cellStyle name="20% - Accent2 3 3 3 2" xfId="2498" xr:uid="{00000000-0005-0000-0000-0000C3010000}"/>
    <cellStyle name="20% - Accent2 3 3 3 2 2" xfId="2499" xr:uid="{00000000-0005-0000-0000-0000C4010000}"/>
    <cellStyle name="20% - Accent2 3 3 3 3" xfId="2500" xr:uid="{00000000-0005-0000-0000-0000C5010000}"/>
    <cellStyle name="20% - Accent2 3 3 4" xfId="2501" xr:uid="{00000000-0005-0000-0000-0000C6010000}"/>
    <cellStyle name="20% - Accent2 3 3 4 2" xfId="2502" xr:uid="{00000000-0005-0000-0000-0000C7010000}"/>
    <cellStyle name="20% - Accent2 3 3 5" xfId="2503" xr:uid="{00000000-0005-0000-0000-0000C8010000}"/>
    <cellStyle name="20% - Accent2 3 3 6" xfId="2504" xr:uid="{00000000-0005-0000-0000-0000C9010000}"/>
    <cellStyle name="20% - Accent2 3 4" xfId="2505" xr:uid="{00000000-0005-0000-0000-0000CA010000}"/>
    <cellStyle name="20% - Accent2 3 4 2" xfId="2506" xr:uid="{00000000-0005-0000-0000-0000CB010000}"/>
    <cellStyle name="20% - Accent2 3 4 2 2" xfId="2507" xr:uid="{00000000-0005-0000-0000-0000CC010000}"/>
    <cellStyle name="20% - Accent2 3 4 2 2 2" xfId="2508" xr:uid="{00000000-0005-0000-0000-0000CD010000}"/>
    <cellStyle name="20% - Accent2 3 4 2 3" xfId="2509" xr:uid="{00000000-0005-0000-0000-0000CE010000}"/>
    <cellStyle name="20% - Accent2 3 4 3" xfId="2510" xr:uid="{00000000-0005-0000-0000-0000CF010000}"/>
    <cellStyle name="20% - Accent2 3 4 3 2" xfId="2511" xr:uid="{00000000-0005-0000-0000-0000D0010000}"/>
    <cellStyle name="20% - Accent2 3 4 4" xfId="2512" xr:uid="{00000000-0005-0000-0000-0000D1010000}"/>
    <cellStyle name="20% - Accent2 3 4 5" xfId="2513" xr:uid="{00000000-0005-0000-0000-0000D2010000}"/>
    <cellStyle name="20% - Accent2 3 5" xfId="2514" xr:uid="{00000000-0005-0000-0000-0000D3010000}"/>
    <cellStyle name="20% - Accent2 3 5 2" xfId="2515" xr:uid="{00000000-0005-0000-0000-0000D4010000}"/>
    <cellStyle name="20% - Accent2 3 5 2 2" xfId="2516" xr:uid="{00000000-0005-0000-0000-0000D5010000}"/>
    <cellStyle name="20% - Accent2 3 5 3" xfId="2517" xr:uid="{00000000-0005-0000-0000-0000D6010000}"/>
    <cellStyle name="20% - Accent2 3 6" xfId="2518" xr:uid="{00000000-0005-0000-0000-0000D7010000}"/>
    <cellStyle name="20% - Accent2 3 6 2" xfId="2519" xr:uid="{00000000-0005-0000-0000-0000D8010000}"/>
    <cellStyle name="20% - Accent2 3 7" xfId="2520" xr:uid="{00000000-0005-0000-0000-0000D9010000}"/>
    <cellStyle name="20% - Accent2 3 8" xfId="2521" xr:uid="{00000000-0005-0000-0000-0000DA010000}"/>
    <cellStyle name="20% - Accent2 3 9" xfId="2522" xr:uid="{00000000-0005-0000-0000-0000DB010000}"/>
    <cellStyle name="20% - Accent2 30" xfId="178" xr:uid="{00000000-0005-0000-0000-0000DC010000}"/>
    <cellStyle name="20% - Accent2 31" xfId="179" xr:uid="{00000000-0005-0000-0000-0000DD010000}"/>
    <cellStyle name="20% - Accent2 32" xfId="180" xr:uid="{00000000-0005-0000-0000-0000DE010000}"/>
    <cellStyle name="20% - Accent2 33" xfId="181" xr:uid="{00000000-0005-0000-0000-0000DF010000}"/>
    <cellStyle name="20% - Accent2 34" xfId="182" xr:uid="{00000000-0005-0000-0000-0000E0010000}"/>
    <cellStyle name="20% - Accent2 35" xfId="183" xr:uid="{00000000-0005-0000-0000-0000E1010000}"/>
    <cellStyle name="20% - Accent2 4" xfId="184" xr:uid="{00000000-0005-0000-0000-0000E2010000}"/>
    <cellStyle name="20% - Accent2 4 2" xfId="2523" xr:uid="{00000000-0005-0000-0000-0000E3010000}"/>
    <cellStyle name="20% - Accent2 4 2 2" xfId="2524" xr:uid="{00000000-0005-0000-0000-0000E4010000}"/>
    <cellStyle name="20% - Accent2 4 2 2 2" xfId="2525" xr:uid="{00000000-0005-0000-0000-0000E5010000}"/>
    <cellStyle name="20% - Accent2 4 2 2 2 2" xfId="2526" xr:uid="{00000000-0005-0000-0000-0000E6010000}"/>
    <cellStyle name="20% - Accent2 4 2 2 2 2 2" xfId="2527" xr:uid="{00000000-0005-0000-0000-0000E7010000}"/>
    <cellStyle name="20% - Accent2 4 2 2 2 3" xfId="2528" xr:uid="{00000000-0005-0000-0000-0000E8010000}"/>
    <cellStyle name="20% - Accent2 4 2 2 3" xfId="2529" xr:uid="{00000000-0005-0000-0000-0000E9010000}"/>
    <cellStyle name="20% - Accent2 4 2 2 3 2" xfId="2530" xr:uid="{00000000-0005-0000-0000-0000EA010000}"/>
    <cellStyle name="20% - Accent2 4 2 2 4" xfId="2531" xr:uid="{00000000-0005-0000-0000-0000EB010000}"/>
    <cellStyle name="20% - Accent2 4 2 3" xfId="2532" xr:uid="{00000000-0005-0000-0000-0000EC010000}"/>
    <cellStyle name="20% - Accent2 4 2 3 2" xfId="2533" xr:uid="{00000000-0005-0000-0000-0000ED010000}"/>
    <cellStyle name="20% - Accent2 4 2 3 2 2" xfId="2534" xr:uid="{00000000-0005-0000-0000-0000EE010000}"/>
    <cellStyle name="20% - Accent2 4 2 3 3" xfId="2535" xr:uid="{00000000-0005-0000-0000-0000EF010000}"/>
    <cellStyle name="20% - Accent2 4 2 4" xfId="2536" xr:uid="{00000000-0005-0000-0000-0000F0010000}"/>
    <cellStyle name="20% - Accent2 4 2 4 2" xfId="2537" xr:uid="{00000000-0005-0000-0000-0000F1010000}"/>
    <cellStyle name="20% - Accent2 4 2 5" xfId="2538" xr:uid="{00000000-0005-0000-0000-0000F2010000}"/>
    <cellStyle name="20% - Accent2 4 2 6" xfId="2539" xr:uid="{00000000-0005-0000-0000-0000F3010000}"/>
    <cellStyle name="20% - Accent2 4 3" xfId="2540" xr:uid="{00000000-0005-0000-0000-0000F4010000}"/>
    <cellStyle name="20% - Accent2 4 3 2" xfId="2541" xr:uid="{00000000-0005-0000-0000-0000F5010000}"/>
    <cellStyle name="20% - Accent2 4 3 2 2" xfId="2542" xr:uid="{00000000-0005-0000-0000-0000F6010000}"/>
    <cellStyle name="20% - Accent2 4 3 2 2 2" xfId="2543" xr:uid="{00000000-0005-0000-0000-0000F7010000}"/>
    <cellStyle name="20% - Accent2 4 3 2 3" xfId="2544" xr:uid="{00000000-0005-0000-0000-0000F8010000}"/>
    <cellStyle name="20% - Accent2 4 3 3" xfId="2545" xr:uid="{00000000-0005-0000-0000-0000F9010000}"/>
    <cellStyle name="20% - Accent2 4 3 3 2" xfId="2546" xr:uid="{00000000-0005-0000-0000-0000FA010000}"/>
    <cellStyle name="20% - Accent2 4 3 4" xfId="2547" xr:uid="{00000000-0005-0000-0000-0000FB010000}"/>
    <cellStyle name="20% - Accent2 4 3 5" xfId="2548" xr:uid="{00000000-0005-0000-0000-0000FC010000}"/>
    <cellStyle name="20% - Accent2 4 4" xfId="2549" xr:uid="{00000000-0005-0000-0000-0000FD010000}"/>
    <cellStyle name="20% - Accent2 4 4 2" xfId="2550" xr:uid="{00000000-0005-0000-0000-0000FE010000}"/>
    <cellStyle name="20% - Accent2 4 4 2 2" xfId="2551" xr:uid="{00000000-0005-0000-0000-0000FF010000}"/>
    <cellStyle name="20% - Accent2 4 4 3" xfId="2552" xr:uid="{00000000-0005-0000-0000-000000020000}"/>
    <cellStyle name="20% - Accent2 4 5" xfId="2553" xr:uid="{00000000-0005-0000-0000-000001020000}"/>
    <cellStyle name="20% - Accent2 4 5 2" xfId="2554" xr:uid="{00000000-0005-0000-0000-000002020000}"/>
    <cellStyle name="20% - Accent2 4 6" xfId="2555" xr:uid="{00000000-0005-0000-0000-000003020000}"/>
    <cellStyle name="20% - Accent2 4 7" xfId="2556" xr:uid="{00000000-0005-0000-0000-000004020000}"/>
    <cellStyle name="20% - Accent2 5" xfId="185" xr:uid="{00000000-0005-0000-0000-000005020000}"/>
    <cellStyle name="20% - Accent2 5 2" xfId="2557" xr:uid="{00000000-0005-0000-0000-000006020000}"/>
    <cellStyle name="20% - Accent2 5 2 2" xfId="2558" xr:uid="{00000000-0005-0000-0000-000007020000}"/>
    <cellStyle name="20% - Accent2 5 2 2 2" xfId="2559" xr:uid="{00000000-0005-0000-0000-000008020000}"/>
    <cellStyle name="20% - Accent2 5 2 2 2 2" xfId="2560" xr:uid="{00000000-0005-0000-0000-000009020000}"/>
    <cellStyle name="20% - Accent2 5 2 2 3" xfId="2561" xr:uid="{00000000-0005-0000-0000-00000A020000}"/>
    <cellStyle name="20% - Accent2 5 2 3" xfId="2562" xr:uid="{00000000-0005-0000-0000-00000B020000}"/>
    <cellStyle name="20% - Accent2 5 2 3 2" xfId="2563" xr:uid="{00000000-0005-0000-0000-00000C020000}"/>
    <cellStyle name="20% - Accent2 5 2 4" xfId="2564" xr:uid="{00000000-0005-0000-0000-00000D020000}"/>
    <cellStyle name="20% - Accent2 5 2 5" xfId="2565" xr:uid="{00000000-0005-0000-0000-00000E020000}"/>
    <cellStyle name="20% - Accent2 5 3" xfId="2566" xr:uid="{00000000-0005-0000-0000-00000F020000}"/>
    <cellStyle name="20% - Accent2 5 3 2" xfId="2567" xr:uid="{00000000-0005-0000-0000-000010020000}"/>
    <cellStyle name="20% - Accent2 5 3 2 2" xfId="2568" xr:uid="{00000000-0005-0000-0000-000011020000}"/>
    <cellStyle name="20% - Accent2 5 3 3" xfId="2569" xr:uid="{00000000-0005-0000-0000-000012020000}"/>
    <cellStyle name="20% - Accent2 5 4" xfId="2570" xr:uid="{00000000-0005-0000-0000-000013020000}"/>
    <cellStyle name="20% - Accent2 5 4 2" xfId="2571" xr:uid="{00000000-0005-0000-0000-000014020000}"/>
    <cellStyle name="20% - Accent2 5 5" xfId="2572" xr:uid="{00000000-0005-0000-0000-000015020000}"/>
    <cellStyle name="20% - Accent2 5 6" xfId="2573" xr:uid="{00000000-0005-0000-0000-000016020000}"/>
    <cellStyle name="20% - Accent2 6" xfId="186" xr:uid="{00000000-0005-0000-0000-000017020000}"/>
    <cellStyle name="20% - Accent2 6 2" xfId="2574" xr:uid="{00000000-0005-0000-0000-000018020000}"/>
    <cellStyle name="20% - Accent2 6 2 2" xfId="2575" xr:uid="{00000000-0005-0000-0000-000019020000}"/>
    <cellStyle name="20% - Accent2 6 2 2 2" xfId="2576" xr:uid="{00000000-0005-0000-0000-00001A020000}"/>
    <cellStyle name="20% - Accent2 6 2 3" xfId="2577" xr:uid="{00000000-0005-0000-0000-00001B020000}"/>
    <cellStyle name="20% - Accent2 6 2 4" xfId="2578" xr:uid="{00000000-0005-0000-0000-00001C020000}"/>
    <cellStyle name="20% - Accent2 6 2 5" xfId="2579" xr:uid="{00000000-0005-0000-0000-00001D020000}"/>
    <cellStyle name="20% - Accent2 6 3" xfId="2580" xr:uid="{00000000-0005-0000-0000-00001E020000}"/>
    <cellStyle name="20% - Accent2 6 3 2" xfId="2581" xr:uid="{00000000-0005-0000-0000-00001F020000}"/>
    <cellStyle name="20% - Accent2 6 4" xfId="2582" xr:uid="{00000000-0005-0000-0000-000020020000}"/>
    <cellStyle name="20% - Accent2 6 5" xfId="2583" xr:uid="{00000000-0005-0000-0000-000021020000}"/>
    <cellStyle name="20% - Accent2 7" xfId="187" xr:uid="{00000000-0005-0000-0000-000022020000}"/>
    <cellStyle name="20% - Accent2 7 2" xfId="2584" xr:uid="{00000000-0005-0000-0000-000023020000}"/>
    <cellStyle name="20% - Accent2 7 2 2" xfId="2585" xr:uid="{00000000-0005-0000-0000-000024020000}"/>
    <cellStyle name="20% - Accent2 7 2 2 2" xfId="2586" xr:uid="{00000000-0005-0000-0000-000025020000}"/>
    <cellStyle name="20% - Accent2 7 2 3" xfId="2587" xr:uid="{00000000-0005-0000-0000-000026020000}"/>
    <cellStyle name="20% - Accent2 7 3" xfId="2588" xr:uid="{00000000-0005-0000-0000-000027020000}"/>
    <cellStyle name="20% - Accent2 7 3 2" xfId="2589" xr:uid="{00000000-0005-0000-0000-000028020000}"/>
    <cellStyle name="20% - Accent2 7 4" xfId="2590" xr:uid="{00000000-0005-0000-0000-000029020000}"/>
    <cellStyle name="20% - Accent2 7 5" xfId="2591" xr:uid="{00000000-0005-0000-0000-00002A020000}"/>
    <cellStyle name="20% - Accent2 8" xfId="188" xr:uid="{00000000-0005-0000-0000-00002B020000}"/>
    <cellStyle name="20% - Accent2 8 2" xfId="2592" xr:uid="{00000000-0005-0000-0000-00002C020000}"/>
    <cellStyle name="20% - Accent2 8 2 2" xfId="2593" xr:uid="{00000000-0005-0000-0000-00002D020000}"/>
    <cellStyle name="20% - Accent2 8 2 2 2" xfId="2594" xr:uid="{00000000-0005-0000-0000-00002E020000}"/>
    <cellStyle name="20% - Accent2 8 2 3" xfId="2595" xr:uid="{00000000-0005-0000-0000-00002F020000}"/>
    <cellStyle name="20% - Accent2 8 3" xfId="2596" xr:uid="{00000000-0005-0000-0000-000030020000}"/>
    <cellStyle name="20% - Accent2 8 3 2" xfId="2597" xr:uid="{00000000-0005-0000-0000-000031020000}"/>
    <cellStyle name="20% - Accent2 8 4" xfId="2598" xr:uid="{00000000-0005-0000-0000-000032020000}"/>
    <cellStyle name="20% - Accent2 8 5" xfId="2599" xr:uid="{00000000-0005-0000-0000-000033020000}"/>
    <cellStyle name="20% - Accent2 9" xfId="189" xr:uid="{00000000-0005-0000-0000-000034020000}"/>
    <cellStyle name="20% - Accent2 9 2" xfId="2600" xr:uid="{00000000-0005-0000-0000-000035020000}"/>
    <cellStyle name="20% - Accent2 9 2 2" xfId="2601" xr:uid="{00000000-0005-0000-0000-000036020000}"/>
    <cellStyle name="20% - Accent2 9 3" xfId="2602" xr:uid="{00000000-0005-0000-0000-000037020000}"/>
    <cellStyle name="20% - Accent2 9 4" xfId="2603" xr:uid="{00000000-0005-0000-0000-000038020000}"/>
    <cellStyle name="20% - Accent3" xfId="15183" builtinId="38" customBuiltin="1"/>
    <cellStyle name="20% - Accent3 10" xfId="190" xr:uid="{00000000-0005-0000-0000-00003A020000}"/>
    <cellStyle name="20% - Accent3 10 2" xfId="2604" xr:uid="{00000000-0005-0000-0000-00003B020000}"/>
    <cellStyle name="20% - Accent3 10 2 2" xfId="2605" xr:uid="{00000000-0005-0000-0000-00003C020000}"/>
    <cellStyle name="20% - Accent3 10 3" xfId="2606" xr:uid="{00000000-0005-0000-0000-00003D020000}"/>
    <cellStyle name="20% - Accent3 10 4" xfId="2607" xr:uid="{00000000-0005-0000-0000-00003E020000}"/>
    <cellStyle name="20% - Accent3 11" xfId="191" xr:uid="{00000000-0005-0000-0000-00003F020000}"/>
    <cellStyle name="20% - Accent3 11 2" xfId="2608" xr:uid="{00000000-0005-0000-0000-000040020000}"/>
    <cellStyle name="20% - Accent3 11 2 2" xfId="2609" xr:uid="{00000000-0005-0000-0000-000041020000}"/>
    <cellStyle name="20% - Accent3 11 3" xfId="2610" xr:uid="{00000000-0005-0000-0000-000042020000}"/>
    <cellStyle name="20% - Accent3 11 4" xfId="2611" xr:uid="{00000000-0005-0000-0000-000043020000}"/>
    <cellStyle name="20% - Accent3 12" xfId="192" xr:uid="{00000000-0005-0000-0000-000044020000}"/>
    <cellStyle name="20% - Accent3 12 2" xfId="2612" xr:uid="{00000000-0005-0000-0000-000045020000}"/>
    <cellStyle name="20% - Accent3 12 3" xfId="2613" xr:uid="{00000000-0005-0000-0000-000046020000}"/>
    <cellStyle name="20% - Accent3 13" xfId="193" xr:uid="{00000000-0005-0000-0000-000047020000}"/>
    <cellStyle name="20% - Accent3 13 2" xfId="2614" xr:uid="{00000000-0005-0000-0000-000048020000}"/>
    <cellStyle name="20% - Accent3 14" xfId="194" xr:uid="{00000000-0005-0000-0000-000049020000}"/>
    <cellStyle name="20% - Accent3 15" xfId="195" xr:uid="{00000000-0005-0000-0000-00004A020000}"/>
    <cellStyle name="20% - Accent3 15 2" xfId="196" xr:uid="{00000000-0005-0000-0000-00004B020000}"/>
    <cellStyle name="20% - Accent3 15 3" xfId="197" xr:uid="{00000000-0005-0000-0000-00004C020000}"/>
    <cellStyle name="20% - Accent3 15 4" xfId="198" xr:uid="{00000000-0005-0000-0000-00004D020000}"/>
    <cellStyle name="20% - Accent3 15 5" xfId="199" xr:uid="{00000000-0005-0000-0000-00004E020000}"/>
    <cellStyle name="20% - Accent3 16" xfId="200" xr:uid="{00000000-0005-0000-0000-00004F020000}"/>
    <cellStyle name="20% - Accent3 16 2" xfId="201" xr:uid="{00000000-0005-0000-0000-000050020000}"/>
    <cellStyle name="20% - Accent3 16 3" xfId="202" xr:uid="{00000000-0005-0000-0000-000051020000}"/>
    <cellStyle name="20% - Accent3 16 4" xfId="203" xr:uid="{00000000-0005-0000-0000-000052020000}"/>
    <cellStyle name="20% - Accent3 16 5" xfId="204" xr:uid="{00000000-0005-0000-0000-000053020000}"/>
    <cellStyle name="20% - Accent3 17" xfId="205" xr:uid="{00000000-0005-0000-0000-000054020000}"/>
    <cellStyle name="20% - Accent3 17 2" xfId="206" xr:uid="{00000000-0005-0000-0000-000055020000}"/>
    <cellStyle name="20% - Accent3 17 3" xfId="207" xr:uid="{00000000-0005-0000-0000-000056020000}"/>
    <cellStyle name="20% - Accent3 17 4" xfId="208" xr:uid="{00000000-0005-0000-0000-000057020000}"/>
    <cellStyle name="20% - Accent3 17 5" xfId="209" xr:uid="{00000000-0005-0000-0000-000058020000}"/>
    <cellStyle name="20% - Accent3 18" xfId="210" xr:uid="{00000000-0005-0000-0000-000059020000}"/>
    <cellStyle name="20% - Accent3 19" xfId="211" xr:uid="{00000000-0005-0000-0000-00005A020000}"/>
    <cellStyle name="20% - Accent3 2" xfId="212" xr:uid="{00000000-0005-0000-0000-00005B020000}"/>
    <cellStyle name="20% - Accent3 2 2" xfId="213" xr:uid="{00000000-0005-0000-0000-00005C020000}"/>
    <cellStyle name="20% - Accent3 2 2 2" xfId="214" xr:uid="{00000000-0005-0000-0000-00005D020000}"/>
    <cellStyle name="20% - Accent3 2 2 2 2" xfId="215" xr:uid="{00000000-0005-0000-0000-00005E020000}"/>
    <cellStyle name="20% - Accent3 2 2 2 2 2" xfId="2615" xr:uid="{00000000-0005-0000-0000-00005F020000}"/>
    <cellStyle name="20% - Accent3 2 2 2 2 2 2" xfId="2616" xr:uid="{00000000-0005-0000-0000-000060020000}"/>
    <cellStyle name="20% - Accent3 2 2 2 2 2 2 2" xfId="2617" xr:uid="{00000000-0005-0000-0000-000061020000}"/>
    <cellStyle name="20% - Accent3 2 2 2 2 2 3" xfId="2618" xr:uid="{00000000-0005-0000-0000-000062020000}"/>
    <cellStyle name="20% - Accent3 2 2 2 2 3" xfId="2619" xr:uid="{00000000-0005-0000-0000-000063020000}"/>
    <cellStyle name="20% - Accent3 2 2 2 2 3 2" xfId="2620" xr:uid="{00000000-0005-0000-0000-000064020000}"/>
    <cellStyle name="20% - Accent3 2 2 2 2 4" xfId="2621" xr:uid="{00000000-0005-0000-0000-000065020000}"/>
    <cellStyle name="20% - Accent3 2 2 2 2 5" xfId="2622" xr:uid="{00000000-0005-0000-0000-000066020000}"/>
    <cellStyle name="20% - Accent3 2 2 2 3" xfId="216" xr:uid="{00000000-0005-0000-0000-000067020000}"/>
    <cellStyle name="20% - Accent3 2 2 2 3 2" xfId="2623" xr:uid="{00000000-0005-0000-0000-000068020000}"/>
    <cellStyle name="20% - Accent3 2 2 2 3 2 2" xfId="2624" xr:uid="{00000000-0005-0000-0000-000069020000}"/>
    <cellStyle name="20% - Accent3 2 2 2 3 3" xfId="2625" xr:uid="{00000000-0005-0000-0000-00006A020000}"/>
    <cellStyle name="20% - Accent3 2 2 2 4" xfId="217" xr:uid="{00000000-0005-0000-0000-00006B020000}"/>
    <cellStyle name="20% - Accent3 2 2 2 4 2" xfId="2626" xr:uid="{00000000-0005-0000-0000-00006C020000}"/>
    <cellStyle name="20% - Accent3 2 2 2 5" xfId="218" xr:uid="{00000000-0005-0000-0000-00006D020000}"/>
    <cellStyle name="20% - Accent3 2 2 2 6" xfId="2627" xr:uid="{00000000-0005-0000-0000-00006E020000}"/>
    <cellStyle name="20% - Accent3 2 2 3" xfId="219" xr:uid="{00000000-0005-0000-0000-00006F020000}"/>
    <cellStyle name="20% - Accent3 2 2 3 2" xfId="2628" xr:uid="{00000000-0005-0000-0000-000070020000}"/>
    <cellStyle name="20% - Accent3 2 2 3 2 2" xfId="2629" xr:uid="{00000000-0005-0000-0000-000071020000}"/>
    <cellStyle name="20% - Accent3 2 2 3 2 2 2" xfId="2630" xr:uid="{00000000-0005-0000-0000-000072020000}"/>
    <cellStyle name="20% - Accent3 2 2 3 2 3" xfId="2631" xr:uid="{00000000-0005-0000-0000-000073020000}"/>
    <cellStyle name="20% - Accent3 2 2 3 3" xfId="2632" xr:uid="{00000000-0005-0000-0000-000074020000}"/>
    <cellStyle name="20% - Accent3 2 2 3 3 2" xfId="2633" xr:uid="{00000000-0005-0000-0000-000075020000}"/>
    <cellStyle name="20% - Accent3 2 2 3 4" xfId="2634" xr:uid="{00000000-0005-0000-0000-000076020000}"/>
    <cellStyle name="20% - Accent3 2 2 3 5" xfId="2635" xr:uid="{00000000-0005-0000-0000-000077020000}"/>
    <cellStyle name="20% - Accent3 2 2 4" xfId="220" xr:uid="{00000000-0005-0000-0000-000078020000}"/>
    <cellStyle name="20% - Accent3 2 2 4 2" xfId="2636" xr:uid="{00000000-0005-0000-0000-000079020000}"/>
    <cellStyle name="20% - Accent3 2 2 4 2 2" xfId="2637" xr:uid="{00000000-0005-0000-0000-00007A020000}"/>
    <cellStyle name="20% - Accent3 2 2 4 3" xfId="2638" xr:uid="{00000000-0005-0000-0000-00007B020000}"/>
    <cellStyle name="20% - Accent3 2 2 5" xfId="221" xr:uid="{00000000-0005-0000-0000-00007C020000}"/>
    <cellStyle name="20% - Accent3 2 2 5 2" xfId="2639" xr:uid="{00000000-0005-0000-0000-00007D020000}"/>
    <cellStyle name="20% - Accent3 2 2 6" xfId="2640" xr:uid="{00000000-0005-0000-0000-00007E020000}"/>
    <cellStyle name="20% - Accent3 2 2 7" xfId="2641" xr:uid="{00000000-0005-0000-0000-00007F020000}"/>
    <cellStyle name="20% - Accent3 2 3" xfId="222" xr:uid="{00000000-0005-0000-0000-000080020000}"/>
    <cellStyle name="20% - Accent3 2 3 2" xfId="2642" xr:uid="{00000000-0005-0000-0000-000081020000}"/>
    <cellStyle name="20% - Accent3 2 3 2 2" xfId="2643" xr:uid="{00000000-0005-0000-0000-000082020000}"/>
    <cellStyle name="20% - Accent3 2 3 2 2 2" xfId="2644" xr:uid="{00000000-0005-0000-0000-000083020000}"/>
    <cellStyle name="20% - Accent3 2 3 2 2 2 2" xfId="2645" xr:uid="{00000000-0005-0000-0000-000084020000}"/>
    <cellStyle name="20% - Accent3 2 3 2 2 3" xfId="2646" xr:uid="{00000000-0005-0000-0000-000085020000}"/>
    <cellStyle name="20% - Accent3 2 3 2 3" xfId="2647" xr:uid="{00000000-0005-0000-0000-000086020000}"/>
    <cellStyle name="20% - Accent3 2 3 2 3 2" xfId="2648" xr:uid="{00000000-0005-0000-0000-000087020000}"/>
    <cellStyle name="20% - Accent3 2 3 2 4" xfId="2649" xr:uid="{00000000-0005-0000-0000-000088020000}"/>
    <cellStyle name="20% - Accent3 2 3 3" xfId="2650" xr:uid="{00000000-0005-0000-0000-000089020000}"/>
    <cellStyle name="20% - Accent3 2 3 3 2" xfId="2651" xr:uid="{00000000-0005-0000-0000-00008A020000}"/>
    <cellStyle name="20% - Accent3 2 3 3 2 2" xfId="2652" xr:uid="{00000000-0005-0000-0000-00008B020000}"/>
    <cellStyle name="20% - Accent3 2 3 3 3" xfId="2653" xr:uid="{00000000-0005-0000-0000-00008C020000}"/>
    <cellStyle name="20% - Accent3 2 3 4" xfId="2654" xr:uid="{00000000-0005-0000-0000-00008D020000}"/>
    <cellStyle name="20% - Accent3 2 3 4 2" xfId="2655" xr:uid="{00000000-0005-0000-0000-00008E020000}"/>
    <cellStyle name="20% - Accent3 2 3 5" xfId="2656" xr:uid="{00000000-0005-0000-0000-00008F020000}"/>
    <cellStyle name="20% - Accent3 2 3 6" xfId="2657" xr:uid="{00000000-0005-0000-0000-000090020000}"/>
    <cellStyle name="20% - Accent3 2 4" xfId="223" xr:uid="{00000000-0005-0000-0000-000091020000}"/>
    <cellStyle name="20% - Accent3 2 4 2" xfId="2658" xr:uid="{00000000-0005-0000-0000-000092020000}"/>
    <cellStyle name="20% - Accent3 2 4 2 2" xfId="2659" xr:uid="{00000000-0005-0000-0000-000093020000}"/>
    <cellStyle name="20% - Accent3 2 4 2 2 2" xfId="2660" xr:uid="{00000000-0005-0000-0000-000094020000}"/>
    <cellStyle name="20% - Accent3 2 4 2 3" xfId="2661" xr:uid="{00000000-0005-0000-0000-000095020000}"/>
    <cellStyle name="20% - Accent3 2 4 3" xfId="2662" xr:uid="{00000000-0005-0000-0000-000096020000}"/>
    <cellStyle name="20% - Accent3 2 4 3 2" xfId="2663" xr:uid="{00000000-0005-0000-0000-000097020000}"/>
    <cellStyle name="20% - Accent3 2 4 4" xfId="2664" xr:uid="{00000000-0005-0000-0000-000098020000}"/>
    <cellStyle name="20% - Accent3 2 4 5" xfId="2665" xr:uid="{00000000-0005-0000-0000-000099020000}"/>
    <cellStyle name="20% - Accent3 2 5" xfId="224" xr:uid="{00000000-0005-0000-0000-00009A020000}"/>
    <cellStyle name="20% - Accent3 2 5 2" xfId="2666" xr:uid="{00000000-0005-0000-0000-00009B020000}"/>
    <cellStyle name="20% - Accent3 2 5 2 2" xfId="2667" xr:uid="{00000000-0005-0000-0000-00009C020000}"/>
    <cellStyle name="20% - Accent3 2 5 3" xfId="2668" xr:uid="{00000000-0005-0000-0000-00009D020000}"/>
    <cellStyle name="20% - Accent3 2 5 4" xfId="2669" xr:uid="{00000000-0005-0000-0000-00009E020000}"/>
    <cellStyle name="20% - Accent3 2 6" xfId="225" xr:uid="{00000000-0005-0000-0000-00009F020000}"/>
    <cellStyle name="20% - Accent3 2 6 2" xfId="2670" xr:uid="{00000000-0005-0000-0000-0000A0020000}"/>
    <cellStyle name="20% - Accent3 2 6 3" xfId="2671" xr:uid="{00000000-0005-0000-0000-0000A1020000}"/>
    <cellStyle name="20% - Accent3 2 7" xfId="226" xr:uid="{00000000-0005-0000-0000-0000A2020000}"/>
    <cellStyle name="20% - Accent3 2 8" xfId="227" xr:uid="{00000000-0005-0000-0000-0000A3020000}"/>
    <cellStyle name="20% - Accent3 2 9" xfId="228" xr:uid="{00000000-0005-0000-0000-0000A4020000}"/>
    <cellStyle name="20% - Accent3 20" xfId="229" xr:uid="{00000000-0005-0000-0000-0000A5020000}"/>
    <cellStyle name="20% - Accent3 21" xfId="230" xr:uid="{00000000-0005-0000-0000-0000A6020000}"/>
    <cellStyle name="20% - Accent3 22" xfId="231" xr:uid="{00000000-0005-0000-0000-0000A7020000}"/>
    <cellStyle name="20% - Accent3 23" xfId="232" xr:uid="{00000000-0005-0000-0000-0000A8020000}"/>
    <cellStyle name="20% - Accent3 24" xfId="233" xr:uid="{00000000-0005-0000-0000-0000A9020000}"/>
    <cellStyle name="20% - Accent3 25" xfId="234" xr:uid="{00000000-0005-0000-0000-0000AA020000}"/>
    <cellStyle name="20% - Accent3 26" xfId="235" xr:uid="{00000000-0005-0000-0000-0000AB020000}"/>
    <cellStyle name="20% - Accent3 27" xfId="236" xr:uid="{00000000-0005-0000-0000-0000AC020000}"/>
    <cellStyle name="20% - Accent3 28" xfId="237" xr:uid="{00000000-0005-0000-0000-0000AD020000}"/>
    <cellStyle name="20% - Accent3 29" xfId="238" xr:uid="{00000000-0005-0000-0000-0000AE020000}"/>
    <cellStyle name="20% - Accent3 3" xfId="239" xr:uid="{00000000-0005-0000-0000-0000AF020000}"/>
    <cellStyle name="20% - Accent3 3 2" xfId="2672" xr:uid="{00000000-0005-0000-0000-0000B0020000}"/>
    <cellStyle name="20% - Accent3 3 2 2" xfId="2673" xr:uid="{00000000-0005-0000-0000-0000B1020000}"/>
    <cellStyle name="20% - Accent3 3 2 2 2" xfId="2674" xr:uid="{00000000-0005-0000-0000-0000B2020000}"/>
    <cellStyle name="20% - Accent3 3 2 2 2 2" xfId="2675" xr:uid="{00000000-0005-0000-0000-0000B3020000}"/>
    <cellStyle name="20% - Accent3 3 2 2 2 2 2" xfId="2676" xr:uid="{00000000-0005-0000-0000-0000B4020000}"/>
    <cellStyle name="20% - Accent3 3 2 2 2 2 2 2" xfId="2677" xr:uid="{00000000-0005-0000-0000-0000B5020000}"/>
    <cellStyle name="20% - Accent3 3 2 2 2 2 3" xfId="2678" xr:uid="{00000000-0005-0000-0000-0000B6020000}"/>
    <cellStyle name="20% - Accent3 3 2 2 2 3" xfId="2679" xr:uid="{00000000-0005-0000-0000-0000B7020000}"/>
    <cellStyle name="20% - Accent3 3 2 2 2 3 2" xfId="2680" xr:uid="{00000000-0005-0000-0000-0000B8020000}"/>
    <cellStyle name="20% - Accent3 3 2 2 2 4" xfId="2681" xr:uid="{00000000-0005-0000-0000-0000B9020000}"/>
    <cellStyle name="20% - Accent3 3 2 2 3" xfId="2682" xr:uid="{00000000-0005-0000-0000-0000BA020000}"/>
    <cellStyle name="20% - Accent3 3 2 2 3 2" xfId="2683" xr:uid="{00000000-0005-0000-0000-0000BB020000}"/>
    <cellStyle name="20% - Accent3 3 2 2 3 2 2" xfId="2684" xr:uid="{00000000-0005-0000-0000-0000BC020000}"/>
    <cellStyle name="20% - Accent3 3 2 2 3 3" xfId="2685" xr:uid="{00000000-0005-0000-0000-0000BD020000}"/>
    <cellStyle name="20% - Accent3 3 2 2 4" xfId="2686" xr:uid="{00000000-0005-0000-0000-0000BE020000}"/>
    <cellStyle name="20% - Accent3 3 2 2 4 2" xfId="2687" xr:uid="{00000000-0005-0000-0000-0000BF020000}"/>
    <cellStyle name="20% - Accent3 3 2 2 5" xfId="2688" xr:uid="{00000000-0005-0000-0000-0000C0020000}"/>
    <cellStyle name="20% - Accent3 3 2 2 6" xfId="2689" xr:uid="{00000000-0005-0000-0000-0000C1020000}"/>
    <cellStyle name="20% - Accent3 3 2 3" xfId="2690" xr:uid="{00000000-0005-0000-0000-0000C2020000}"/>
    <cellStyle name="20% - Accent3 3 2 3 2" xfId="2691" xr:uid="{00000000-0005-0000-0000-0000C3020000}"/>
    <cellStyle name="20% - Accent3 3 2 3 2 2" xfId="2692" xr:uid="{00000000-0005-0000-0000-0000C4020000}"/>
    <cellStyle name="20% - Accent3 3 2 3 2 2 2" xfId="2693" xr:uid="{00000000-0005-0000-0000-0000C5020000}"/>
    <cellStyle name="20% - Accent3 3 2 3 2 3" xfId="2694" xr:uid="{00000000-0005-0000-0000-0000C6020000}"/>
    <cellStyle name="20% - Accent3 3 2 3 3" xfId="2695" xr:uid="{00000000-0005-0000-0000-0000C7020000}"/>
    <cellStyle name="20% - Accent3 3 2 3 3 2" xfId="2696" xr:uid="{00000000-0005-0000-0000-0000C8020000}"/>
    <cellStyle name="20% - Accent3 3 2 3 4" xfId="2697" xr:uid="{00000000-0005-0000-0000-0000C9020000}"/>
    <cellStyle name="20% - Accent3 3 2 4" xfId="2698" xr:uid="{00000000-0005-0000-0000-0000CA020000}"/>
    <cellStyle name="20% - Accent3 3 2 4 2" xfId="2699" xr:uid="{00000000-0005-0000-0000-0000CB020000}"/>
    <cellStyle name="20% - Accent3 3 2 4 2 2" xfId="2700" xr:uid="{00000000-0005-0000-0000-0000CC020000}"/>
    <cellStyle name="20% - Accent3 3 2 4 3" xfId="2701" xr:uid="{00000000-0005-0000-0000-0000CD020000}"/>
    <cellStyle name="20% - Accent3 3 2 5" xfId="2702" xr:uid="{00000000-0005-0000-0000-0000CE020000}"/>
    <cellStyle name="20% - Accent3 3 2 5 2" xfId="2703" xr:uid="{00000000-0005-0000-0000-0000CF020000}"/>
    <cellStyle name="20% - Accent3 3 2 6" xfId="2704" xr:uid="{00000000-0005-0000-0000-0000D0020000}"/>
    <cellStyle name="20% - Accent3 3 2 7" xfId="2705" xr:uid="{00000000-0005-0000-0000-0000D1020000}"/>
    <cellStyle name="20% - Accent3 3 3" xfId="2706" xr:uid="{00000000-0005-0000-0000-0000D2020000}"/>
    <cellStyle name="20% - Accent3 3 3 2" xfId="2707" xr:uid="{00000000-0005-0000-0000-0000D3020000}"/>
    <cellStyle name="20% - Accent3 3 3 2 2" xfId="2708" xr:uid="{00000000-0005-0000-0000-0000D4020000}"/>
    <cellStyle name="20% - Accent3 3 3 2 2 2" xfId="2709" xr:uid="{00000000-0005-0000-0000-0000D5020000}"/>
    <cellStyle name="20% - Accent3 3 3 2 2 2 2" xfId="2710" xr:uid="{00000000-0005-0000-0000-0000D6020000}"/>
    <cellStyle name="20% - Accent3 3 3 2 2 3" xfId="2711" xr:uid="{00000000-0005-0000-0000-0000D7020000}"/>
    <cellStyle name="20% - Accent3 3 3 2 3" xfId="2712" xr:uid="{00000000-0005-0000-0000-0000D8020000}"/>
    <cellStyle name="20% - Accent3 3 3 2 3 2" xfId="2713" xr:uid="{00000000-0005-0000-0000-0000D9020000}"/>
    <cellStyle name="20% - Accent3 3 3 2 4" xfId="2714" xr:uid="{00000000-0005-0000-0000-0000DA020000}"/>
    <cellStyle name="20% - Accent3 3 3 3" xfId="2715" xr:uid="{00000000-0005-0000-0000-0000DB020000}"/>
    <cellStyle name="20% - Accent3 3 3 3 2" xfId="2716" xr:uid="{00000000-0005-0000-0000-0000DC020000}"/>
    <cellStyle name="20% - Accent3 3 3 3 2 2" xfId="2717" xr:uid="{00000000-0005-0000-0000-0000DD020000}"/>
    <cellStyle name="20% - Accent3 3 3 3 3" xfId="2718" xr:uid="{00000000-0005-0000-0000-0000DE020000}"/>
    <cellStyle name="20% - Accent3 3 3 4" xfId="2719" xr:uid="{00000000-0005-0000-0000-0000DF020000}"/>
    <cellStyle name="20% - Accent3 3 3 4 2" xfId="2720" xr:uid="{00000000-0005-0000-0000-0000E0020000}"/>
    <cellStyle name="20% - Accent3 3 3 5" xfId="2721" xr:uid="{00000000-0005-0000-0000-0000E1020000}"/>
    <cellStyle name="20% - Accent3 3 3 6" xfId="2722" xr:uid="{00000000-0005-0000-0000-0000E2020000}"/>
    <cellStyle name="20% - Accent3 3 4" xfId="2723" xr:uid="{00000000-0005-0000-0000-0000E3020000}"/>
    <cellStyle name="20% - Accent3 3 4 2" xfId="2724" xr:uid="{00000000-0005-0000-0000-0000E4020000}"/>
    <cellStyle name="20% - Accent3 3 4 2 2" xfId="2725" xr:uid="{00000000-0005-0000-0000-0000E5020000}"/>
    <cellStyle name="20% - Accent3 3 4 2 2 2" xfId="2726" xr:uid="{00000000-0005-0000-0000-0000E6020000}"/>
    <cellStyle name="20% - Accent3 3 4 2 3" xfId="2727" xr:uid="{00000000-0005-0000-0000-0000E7020000}"/>
    <cellStyle name="20% - Accent3 3 4 3" xfId="2728" xr:uid="{00000000-0005-0000-0000-0000E8020000}"/>
    <cellStyle name="20% - Accent3 3 4 3 2" xfId="2729" xr:uid="{00000000-0005-0000-0000-0000E9020000}"/>
    <cellStyle name="20% - Accent3 3 4 4" xfId="2730" xr:uid="{00000000-0005-0000-0000-0000EA020000}"/>
    <cellStyle name="20% - Accent3 3 4 5" xfId="2731" xr:uid="{00000000-0005-0000-0000-0000EB020000}"/>
    <cellStyle name="20% - Accent3 3 5" xfId="2732" xr:uid="{00000000-0005-0000-0000-0000EC020000}"/>
    <cellStyle name="20% - Accent3 3 5 2" xfId="2733" xr:uid="{00000000-0005-0000-0000-0000ED020000}"/>
    <cellStyle name="20% - Accent3 3 5 2 2" xfId="2734" xr:uid="{00000000-0005-0000-0000-0000EE020000}"/>
    <cellStyle name="20% - Accent3 3 5 3" xfId="2735" xr:uid="{00000000-0005-0000-0000-0000EF020000}"/>
    <cellStyle name="20% - Accent3 3 6" xfId="2736" xr:uid="{00000000-0005-0000-0000-0000F0020000}"/>
    <cellStyle name="20% - Accent3 3 6 2" xfId="2737" xr:uid="{00000000-0005-0000-0000-0000F1020000}"/>
    <cellStyle name="20% - Accent3 3 7" xfId="2738" xr:uid="{00000000-0005-0000-0000-0000F2020000}"/>
    <cellStyle name="20% - Accent3 3 8" xfId="2739" xr:uid="{00000000-0005-0000-0000-0000F3020000}"/>
    <cellStyle name="20% - Accent3 3 9" xfId="2740" xr:uid="{00000000-0005-0000-0000-0000F4020000}"/>
    <cellStyle name="20% - Accent3 30" xfId="240" xr:uid="{00000000-0005-0000-0000-0000F5020000}"/>
    <cellStyle name="20% - Accent3 31" xfId="241" xr:uid="{00000000-0005-0000-0000-0000F6020000}"/>
    <cellStyle name="20% - Accent3 32" xfId="242" xr:uid="{00000000-0005-0000-0000-0000F7020000}"/>
    <cellStyle name="20% - Accent3 33" xfId="243" xr:uid="{00000000-0005-0000-0000-0000F8020000}"/>
    <cellStyle name="20% - Accent3 34" xfId="244" xr:uid="{00000000-0005-0000-0000-0000F9020000}"/>
    <cellStyle name="20% - Accent3 35" xfId="245" xr:uid="{00000000-0005-0000-0000-0000FA020000}"/>
    <cellStyle name="20% - Accent3 4" xfId="246" xr:uid="{00000000-0005-0000-0000-0000FB020000}"/>
    <cellStyle name="20% - Accent3 4 2" xfId="2741" xr:uid="{00000000-0005-0000-0000-0000FC020000}"/>
    <cellStyle name="20% - Accent3 4 2 2" xfId="2742" xr:uid="{00000000-0005-0000-0000-0000FD020000}"/>
    <cellStyle name="20% - Accent3 4 2 2 2" xfId="2743" xr:uid="{00000000-0005-0000-0000-0000FE020000}"/>
    <cellStyle name="20% - Accent3 4 2 2 2 2" xfId="2744" xr:uid="{00000000-0005-0000-0000-0000FF020000}"/>
    <cellStyle name="20% - Accent3 4 2 2 2 2 2" xfId="2745" xr:uid="{00000000-0005-0000-0000-000000030000}"/>
    <cellStyle name="20% - Accent3 4 2 2 2 3" xfId="2746" xr:uid="{00000000-0005-0000-0000-000001030000}"/>
    <cellStyle name="20% - Accent3 4 2 2 3" xfId="2747" xr:uid="{00000000-0005-0000-0000-000002030000}"/>
    <cellStyle name="20% - Accent3 4 2 2 3 2" xfId="2748" xr:uid="{00000000-0005-0000-0000-000003030000}"/>
    <cellStyle name="20% - Accent3 4 2 2 4" xfId="2749" xr:uid="{00000000-0005-0000-0000-000004030000}"/>
    <cellStyle name="20% - Accent3 4 2 3" xfId="2750" xr:uid="{00000000-0005-0000-0000-000005030000}"/>
    <cellStyle name="20% - Accent3 4 2 3 2" xfId="2751" xr:uid="{00000000-0005-0000-0000-000006030000}"/>
    <cellStyle name="20% - Accent3 4 2 3 2 2" xfId="2752" xr:uid="{00000000-0005-0000-0000-000007030000}"/>
    <cellStyle name="20% - Accent3 4 2 3 3" xfId="2753" xr:uid="{00000000-0005-0000-0000-000008030000}"/>
    <cellStyle name="20% - Accent3 4 2 4" xfId="2754" xr:uid="{00000000-0005-0000-0000-000009030000}"/>
    <cellStyle name="20% - Accent3 4 2 4 2" xfId="2755" xr:uid="{00000000-0005-0000-0000-00000A030000}"/>
    <cellStyle name="20% - Accent3 4 2 5" xfId="2756" xr:uid="{00000000-0005-0000-0000-00000B030000}"/>
    <cellStyle name="20% - Accent3 4 2 6" xfId="2757" xr:uid="{00000000-0005-0000-0000-00000C030000}"/>
    <cellStyle name="20% - Accent3 4 3" xfId="2758" xr:uid="{00000000-0005-0000-0000-00000D030000}"/>
    <cellStyle name="20% - Accent3 4 3 2" xfId="2759" xr:uid="{00000000-0005-0000-0000-00000E030000}"/>
    <cellStyle name="20% - Accent3 4 3 2 2" xfId="2760" xr:uid="{00000000-0005-0000-0000-00000F030000}"/>
    <cellStyle name="20% - Accent3 4 3 2 2 2" xfId="2761" xr:uid="{00000000-0005-0000-0000-000010030000}"/>
    <cellStyle name="20% - Accent3 4 3 2 3" xfId="2762" xr:uid="{00000000-0005-0000-0000-000011030000}"/>
    <cellStyle name="20% - Accent3 4 3 3" xfId="2763" xr:uid="{00000000-0005-0000-0000-000012030000}"/>
    <cellStyle name="20% - Accent3 4 3 3 2" xfId="2764" xr:uid="{00000000-0005-0000-0000-000013030000}"/>
    <cellStyle name="20% - Accent3 4 3 4" xfId="2765" xr:uid="{00000000-0005-0000-0000-000014030000}"/>
    <cellStyle name="20% - Accent3 4 3 5" xfId="2766" xr:uid="{00000000-0005-0000-0000-000015030000}"/>
    <cellStyle name="20% - Accent3 4 4" xfId="2767" xr:uid="{00000000-0005-0000-0000-000016030000}"/>
    <cellStyle name="20% - Accent3 4 4 2" xfId="2768" xr:uid="{00000000-0005-0000-0000-000017030000}"/>
    <cellStyle name="20% - Accent3 4 4 2 2" xfId="2769" xr:uid="{00000000-0005-0000-0000-000018030000}"/>
    <cellStyle name="20% - Accent3 4 4 3" xfId="2770" xr:uid="{00000000-0005-0000-0000-000019030000}"/>
    <cellStyle name="20% - Accent3 4 5" xfId="2771" xr:uid="{00000000-0005-0000-0000-00001A030000}"/>
    <cellStyle name="20% - Accent3 4 5 2" xfId="2772" xr:uid="{00000000-0005-0000-0000-00001B030000}"/>
    <cellStyle name="20% - Accent3 4 6" xfId="2773" xr:uid="{00000000-0005-0000-0000-00001C030000}"/>
    <cellStyle name="20% - Accent3 4 7" xfId="2774" xr:uid="{00000000-0005-0000-0000-00001D030000}"/>
    <cellStyle name="20% - Accent3 5" xfId="247" xr:uid="{00000000-0005-0000-0000-00001E030000}"/>
    <cellStyle name="20% - Accent3 5 2" xfId="2775" xr:uid="{00000000-0005-0000-0000-00001F030000}"/>
    <cellStyle name="20% - Accent3 5 2 2" xfId="2776" xr:uid="{00000000-0005-0000-0000-000020030000}"/>
    <cellStyle name="20% - Accent3 5 2 2 2" xfId="2777" xr:uid="{00000000-0005-0000-0000-000021030000}"/>
    <cellStyle name="20% - Accent3 5 2 2 2 2" xfId="2778" xr:uid="{00000000-0005-0000-0000-000022030000}"/>
    <cellStyle name="20% - Accent3 5 2 2 3" xfId="2779" xr:uid="{00000000-0005-0000-0000-000023030000}"/>
    <cellStyle name="20% - Accent3 5 2 3" xfId="2780" xr:uid="{00000000-0005-0000-0000-000024030000}"/>
    <cellStyle name="20% - Accent3 5 2 3 2" xfId="2781" xr:uid="{00000000-0005-0000-0000-000025030000}"/>
    <cellStyle name="20% - Accent3 5 2 4" xfId="2782" xr:uid="{00000000-0005-0000-0000-000026030000}"/>
    <cellStyle name="20% - Accent3 5 2 5" xfId="2783" xr:uid="{00000000-0005-0000-0000-000027030000}"/>
    <cellStyle name="20% - Accent3 5 3" xfId="2784" xr:uid="{00000000-0005-0000-0000-000028030000}"/>
    <cellStyle name="20% - Accent3 5 3 2" xfId="2785" xr:uid="{00000000-0005-0000-0000-000029030000}"/>
    <cellStyle name="20% - Accent3 5 3 2 2" xfId="2786" xr:uid="{00000000-0005-0000-0000-00002A030000}"/>
    <cellStyle name="20% - Accent3 5 3 3" xfId="2787" xr:uid="{00000000-0005-0000-0000-00002B030000}"/>
    <cellStyle name="20% - Accent3 5 4" xfId="2788" xr:uid="{00000000-0005-0000-0000-00002C030000}"/>
    <cellStyle name="20% - Accent3 5 4 2" xfId="2789" xr:uid="{00000000-0005-0000-0000-00002D030000}"/>
    <cellStyle name="20% - Accent3 5 5" xfId="2790" xr:uid="{00000000-0005-0000-0000-00002E030000}"/>
    <cellStyle name="20% - Accent3 5 6" xfId="2791" xr:uid="{00000000-0005-0000-0000-00002F030000}"/>
    <cellStyle name="20% - Accent3 6" xfId="248" xr:uid="{00000000-0005-0000-0000-000030030000}"/>
    <cellStyle name="20% - Accent3 6 2" xfId="2792" xr:uid="{00000000-0005-0000-0000-000031030000}"/>
    <cellStyle name="20% - Accent3 6 2 2" xfId="2793" xr:uid="{00000000-0005-0000-0000-000032030000}"/>
    <cellStyle name="20% - Accent3 6 2 2 2" xfId="2794" xr:uid="{00000000-0005-0000-0000-000033030000}"/>
    <cellStyle name="20% - Accent3 6 2 3" xfId="2795" xr:uid="{00000000-0005-0000-0000-000034030000}"/>
    <cellStyle name="20% - Accent3 6 2 4" xfId="2796" xr:uid="{00000000-0005-0000-0000-000035030000}"/>
    <cellStyle name="20% - Accent3 6 2 5" xfId="2797" xr:uid="{00000000-0005-0000-0000-000036030000}"/>
    <cellStyle name="20% - Accent3 6 3" xfId="2798" xr:uid="{00000000-0005-0000-0000-000037030000}"/>
    <cellStyle name="20% - Accent3 6 3 2" xfId="2799" xr:uid="{00000000-0005-0000-0000-000038030000}"/>
    <cellStyle name="20% - Accent3 6 4" xfId="2800" xr:uid="{00000000-0005-0000-0000-000039030000}"/>
    <cellStyle name="20% - Accent3 6 5" xfId="2801" xr:uid="{00000000-0005-0000-0000-00003A030000}"/>
    <cellStyle name="20% - Accent3 7" xfId="249" xr:uid="{00000000-0005-0000-0000-00003B030000}"/>
    <cellStyle name="20% - Accent3 7 2" xfId="2802" xr:uid="{00000000-0005-0000-0000-00003C030000}"/>
    <cellStyle name="20% - Accent3 7 2 2" xfId="2803" xr:uid="{00000000-0005-0000-0000-00003D030000}"/>
    <cellStyle name="20% - Accent3 7 2 2 2" xfId="2804" xr:uid="{00000000-0005-0000-0000-00003E030000}"/>
    <cellStyle name="20% - Accent3 7 2 3" xfId="2805" xr:uid="{00000000-0005-0000-0000-00003F030000}"/>
    <cellStyle name="20% - Accent3 7 3" xfId="2806" xr:uid="{00000000-0005-0000-0000-000040030000}"/>
    <cellStyle name="20% - Accent3 7 3 2" xfId="2807" xr:uid="{00000000-0005-0000-0000-000041030000}"/>
    <cellStyle name="20% - Accent3 7 4" xfId="2808" xr:uid="{00000000-0005-0000-0000-000042030000}"/>
    <cellStyle name="20% - Accent3 7 5" xfId="2809" xr:uid="{00000000-0005-0000-0000-000043030000}"/>
    <cellStyle name="20% - Accent3 8" xfId="250" xr:uid="{00000000-0005-0000-0000-000044030000}"/>
    <cellStyle name="20% - Accent3 8 2" xfId="2810" xr:uid="{00000000-0005-0000-0000-000045030000}"/>
    <cellStyle name="20% - Accent3 8 2 2" xfId="2811" xr:uid="{00000000-0005-0000-0000-000046030000}"/>
    <cellStyle name="20% - Accent3 8 2 2 2" xfId="2812" xr:uid="{00000000-0005-0000-0000-000047030000}"/>
    <cellStyle name="20% - Accent3 8 2 3" xfId="2813" xr:uid="{00000000-0005-0000-0000-000048030000}"/>
    <cellStyle name="20% - Accent3 8 3" xfId="2814" xr:uid="{00000000-0005-0000-0000-000049030000}"/>
    <cellStyle name="20% - Accent3 8 3 2" xfId="2815" xr:uid="{00000000-0005-0000-0000-00004A030000}"/>
    <cellStyle name="20% - Accent3 8 4" xfId="2816" xr:uid="{00000000-0005-0000-0000-00004B030000}"/>
    <cellStyle name="20% - Accent3 8 5" xfId="2817" xr:uid="{00000000-0005-0000-0000-00004C030000}"/>
    <cellStyle name="20% - Accent3 9" xfId="251" xr:uid="{00000000-0005-0000-0000-00004D030000}"/>
    <cellStyle name="20% - Accent3 9 2" xfId="2818" xr:uid="{00000000-0005-0000-0000-00004E030000}"/>
    <cellStyle name="20% - Accent3 9 2 2" xfId="2819" xr:uid="{00000000-0005-0000-0000-00004F030000}"/>
    <cellStyle name="20% - Accent3 9 3" xfId="2820" xr:uid="{00000000-0005-0000-0000-000050030000}"/>
    <cellStyle name="20% - Accent3 9 4" xfId="2821" xr:uid="{00000000-0005-0000-0000-000051030000}"/>
    <cellStyle name="20% - Accent4" xfId="15186" builtinId="42" customBuiltin="1"/>
    <cellStyle name="20% - Accent4 10" xfId="252" xr:uid="{00000000-0005-0000-0000-000053030000}"/>
    <cellStyle name="20% - Accent4 10 2" xfId="2822" xr:uid="{00000000-0005-0000-0000-000054030000}"/>
    <cellStyle name="20% - Accent4 10 2 2" xfId="2823" xr:uid="{00000000-0005-0000-0000-000055030000}"/>
    <cellStyle name="20% - Accent4 10 3" xfId="2824" xr:uid="{00000000-0005-0000-0000-000056030000}"/>
    <cellStyle name="20% - Accent4 10 4" xfId="2825" xr:uid="{00000000-0005-0000-0000-000057030000}"/>
    <cellStyle name="20% - Accent4 11" xfId="253" xr:uid="{00000000-0005-0000-0000-000058030000}"/>
    <cellStyle name="20% - Accent4 11 2" xfId="2826" xr:uid="{00000000-0005-0000-0000-000059030000}"/>
    <cellStyle name="20% - Accent4 11 2 2" xfId="2827" xr:uid="{00000000-0005-0000-0000-00005A030000}"/>
    <cellStyle name="20% - Accent4 11 3" xfId="2828" xr:uid="{00000000-0005-0000-0000-00005B030000}"/>
    <cellStyle name="20% - Accent4 11 4" xfId="2829" xr:uid="{00000000-0005-0000-0000-00005C030000}"/>
    <cellStyle name="20% - Accent4 12" xfId="254" xr:uid="{00000000-0005-0000-0000-00005D030000}"/>
    <cellStyle name="20% - Accent4 12 2" xfId="2830" xr:uid="{00000000-0005-0000-0000-00005E030000}"/>
    <cellStyle name="20% - Accent4 12 2 2" xfId="2831" xr:uid="{00000000-0005-0000-0000-00005F030000}"/>
    <cellStyle name="20% - Accent4 12 3" xfId="2832" xr:uid="{00000000-0005-0000-0000-000060030000}"/>
    <cellStyle name="20% - Accent4 12 4" xfId="2833" xr:uid="{00000000-0005-0000-0000-000061030000}"/>
    <cellStyle name="20% - Accent4 13" xfId="255" xr:uid="{00000000-0005-0000-0000-000062030000}"/>
    <cellStyle name="20% - Accent4 13 2" xfId="2834" xr:uid="{00000000-0005-0000-0000-000063030000}"/>
    <cellStyle name="20% - Accent4 13 3" xfId="2835" xr:uid="{00000000-0005-0000-0000-000064030000}"/>
    <cellStyle name="20% - Accent4 14" xfId="256" xr:uid="{00000000-0005-0000-0000-000065030000}"/>
    <cellStyle name="20% - Accent4 14 2" xfId="2836" xr:uid="{00000000-0005-0000-0000-000066030000}"/>
    <cellStyle name="20% - Accent4 15" xfId="257" xr:uid="{00000000-0005-0000-0000-000067030000}"/>
    <cellStyle name="20% - Accent4 15 2" xfId="258" xr:uid="{00000000-0005-0000-0000-000068030000}"/>
    <cellStyle name="20% - Accent4 15 3" xfId="259" xr:uid="{00000000-0005-0000-0000-000069030000}"/>
    <cellStyle name="20% - Accent4 15 4" xfId="260" xr:uid="{00000000-0005-0000-0000-00006A030000}"/>
    <cellStyle name="20% - Accent4 15 5" xfId="261" xr:uid="{00000000-0005-0000-0000-00006B030000}"/>
    <cellStyle name="20% - Accent4 16" xfId="262" xr:uid="{00000000-0005-0000-0000-00006C030000}"/>
    <cellStyle name="20% - Accent4 16 2" xfId="263" xr:uid="{00000000-0005-0000-0000-00006D030000}"/>
    <cellStyle name="20% - Accent4 16 3" xfId="264" xr:uid="{00000000-0005-0000-0000-00006E030000}"/>
    <cellStyle name="20% - Accent4 16 4" xfId="265" xr:uid="{00000000-0005-0000-0000-00006F030000}"/>
    <cellStyle name="20% - Accent4 16 5" xfId="266" xr:uid="{00000000-0005-0000-0000-000070030000}"/>
    <cellStyle name="20% - Accent4 17" xfId="267" xr:uid="{00000000-0005-0000-0000-000071030000}"/>
    <cellStyle name="20% - Accent4 17 2" xfId="268" xr:uid="{00000000-0005-0000-0000-000072030000}"/>
    <cellStyle name="20% - Accent4 17 3" xfId="269" xr:uid="{00000000-0005-0000-0000-000073030000}"/>
    <cellStyle name="20% - Accent4 17 4" xfId="270" xr:uid="{00000000-0005-0000-0000-000074030000}"/>
    <cellStyle name="20% - Accent4 17 5" xfId="271" xr:uid="{00000000-0005-0000-0000-000075030000}"/>
    <cellStyle name="20% - Accent4 18" xfId="272" xr:uid="{00000000-0005-0000-0000-000076030000}"/>
    <cellStyle name="20% - Accent4 19" xfId="273" xr:uid="{00000000-0005-0000-0000-000077030000}"/>
    <cellStyle name="20% - Accent4 2" xfId="274" xr:uid="{00000000-0005-0000-0000-000078030000}"/>
    <cellStyle name="20% - Accent4 2 10" xfId="2837" xr:uid="{00000000-0005-0000-0000-000079030000}"/>
    <cellStyle name="20% - Accent4 2 11" xfId="2838" xr:uid="{00000000-0005-0000-0000-00007A030000}"/>
    <cellStyle name="20% - Accent4 2 12" xfId="2839" xr:uid="{00000000-0005-0000-0000-00007B030000}"/>
    <cellStyle name="20% - Accent4 2 13" xfId="2840" xr:uid="{00000000-0005-0000-0000-00007C030000}"/>
    <cellStyle name="20% - Accent4 2 2" xfId="275" xr:uid="{00000000-0005-0000-0000-00007D030000}"/>
    <cellStyle name="20% - Accent4 2 2 10" xfId="2841" xr:uid="{00000000-0005-0000-0000-00007E030000}"/>
    <cellStyle name="20% - Accent4 2 2 2" xfId="276" xr:uid="{00000000-0005-0000-0000-00007F030000}"/>
    <cellStyle name="20% - Accent4 2 2 2 2" xfId="277" xr:uid="{00000000-0005-0000-0000-000080030000}"/>
    <cellStyle name="20% - Accent4 2 2 2 2 2" xfId="2842" xr:uid="{00000000-0005-0000-0000-000081030000}"/>
    <cellStyle name="20% - Accent4 2 2 2 2 2 2" xfId="2843" xr:uid="{00000000-0005-0000-0000-000082030000}"/>
    <cellStyle name="20% - Accent4 2 2 2 2 2 2 2" xfId="2844" xr:uid="{00000000-0005-0000-0000-000083030000}"/>
    <cellStyle name="20% - Accent4 2 2 2 2 2 3" xfId="2845" xr:uid="{00000000-0005-0000-0000-000084030000}"/>
    <cellStyle name="20% - Accent4 2 2 2 2 3" xfId="2846" xr:uid="{00000000-0005-0000-0000-000085030000}"/>
    <cellStyle name="20% - Accent4 2 2 2 2 3 2" xfId="2847" xr:uid="{00000000-0005-0000-0000-000086030000}"/>
    <cellStyle name="20% - Accent4 2 2 2 2 4" xfId="2848" xr:uid="{00000000-0005-0000-0000-000087030000}"/>
    <cellStyle name="20% - Accent4 2 2 2 2 5" xfId="2849" xr:uid="{00000000-0005-0000-0000-000088030000}"/>
    <cellStyle name="20% - Accent4 2 2 2 2 6" xfId="2850" xr:uid="{00000000-0005-0000-0000-000089030000}"/>
    <cellStyle name="20% - Accent4 2 2 2 3" xfId="278" xr:uid="{00000000-0005-0000-0000-00008A030000}"/>
    <cellStyle name="20% - Accent4 2 2 2 3 2" xfId="2851" xr:uid="{00000000-0005-0000-0000-00008B030000}"/>
    <cellStyle name="20% - Accent4 2 2 2 3 2 2" xfId="2852" xr:uid="{00000000-0005-0000-0000-00008C030000}"/>
    <cellStyle name="20% - Accent4 2 2 2 3 3" xfId="2853" xr:uid="{00000000-0005-0000-0000-00008D030000}"/>
    <cellStyle name="20% - Accent4 2 2 2 4" xfId="279" xr:uid="{00000000-0005-0000-0000-00008E030000}"/>
    <cellStyle name="20% - Accent4 2 2 2 4 2" xfId="2854" xr:uid="{00000000-0005-0000-0000-00008F030000}"/>
    <cellStyle name="20% - Accent4 2 2 2 5" xfId="280" xr:uid="{00000000-0005-0000-0000-000090030000}"/>
    <cellStyle name="20% - Accent4 2 2 2 6" xfId="2855" xr:uid="{00000000-0005-0000-0000-000091030000}"/>
    <cellStyle name="20% - Accent4 2 2 2 7" xfId="2856" xr:uid="{00000000-0005-0000-0000-000092030000}"/>
    <cellStyle name="20% - Accent4 2 2 3" xfId="281" xr:uid="{00000000-0005-0000-0000-000093030000}"/>
    <cellStyle name="20% - Accent4 2 2 3 2" xfId="2857" xr:uid="{00000000-0005-0000-0000-000094030000}"/>
    <cellStyle name="20% - Accent4 2 2 3 2 2" xfId="2858" xr:uid="{00000000-0005-0000-0000-000095030000}"/>
    <cellStyle name="20% - Accent4 2 2 3 2 2 2" xfId="2859" xr:uid="{00000000-0005-0000-0000-000096030000}"/>
    <cellStyle name="20% - Accent4 2 2 3 2 3" xfId="2860" xr:uid="{00000000-0005-0000-0000-000097030000}"/>
    <cellStyle name="20% - Accent4 2 2 3 3" xfId="2861" xr:uid="{00000000-0005-0000-0000-000098030000}"/>
    <cellStyle name="20% - Accent4 2 2 3 3 2" xfId="2862" xr:uid="{00000000-0005-0000-0000-000099030000}"/>
    <cellStyle name="20% - Accent4 2 2 3 4" xfId="2863" xr:uid="{00000000-0005-0000-0000-00009A030000}"/>
    <cellStyle name="20% - Accent4 2 2 3 5" xfId="2864" xr:uid="{00000000-0005-0000-0000-00009B030000}"/>
    <cellStyle name="20% - Accent4 2 2 3 6" xfId="2865" xr:uid="{00000000-0005-0000-0000-00009C030000}"/>
    <cellStyle name="20% - Accent4 2 2 4" xfId="282" xr:uid="{00000000-0005-0000-0000-00009D030000}"/>
    <cellStyle name="20% - Accent4 2 2 4 2" xfId="2866" xr:uid="{00000000-0005-0000-0000-00009E030000}"/>
    <cellStyle name="20% - Accent4 2 2 4 2 2" xfId="2867" xr:uid="{00000000-0005-0000-0000-00009F030000}"/>
    <cellStyle name="20% - Accent4 2 2 4 3" xfId="2868" xr:uid="{00000000-0005-0000-0000-0000A0030000}"/>
    <cellStyle name="20% - Accent4 2 2 4 4" xfId="2869" xr:uid="{00000000-0005-0000-0000-0000A1030000}"/>
    <cellStyle name="20% - Accent4 2 2 5" xfId="283" xr:uid="{00000000-0005-0000-0000-0000A2030000}"/>
    <cellStyle name="20% - Accent4 2 2 5 2" xfId="2870" xr:uid="{00000000-0005-0000-0000-0000A3030000}"/>
    <cellStyle name="20% - Accent4 2 2 5 3" xfId="2871" xr:uid="{00000000-0005-0000-0000-0000A4030000}"/>
    <cellStyle name="20% - Accent4 2 2 6" xfId="2872" xr:uid="{00000000-0005-0000-0000-0000A5030000}"/>
    <cellStyle name="20% - Accent4 2 2 6 2" xfId="2873" xr:uid="{00000000-0005-0000-0000-0000A6030000}"/>
    <cellStyle name="20% - Accent4 2 2 7" xfId="2874" xr:uid="{00000000-0005-0000-0000-0000A7030000}"/>
    <cellStyle name="20% - Accent4 2 2 8" xfId="2875" xr:uid="{00000000-0005-0000-0000-0000A8030000}"/>
    <cellStyle name="20% - Accent4 2 2 9" xfId="2876" xr:uid="{00000000-0005-0000-0000-0000A9030000}"/>
    <cellStyle name="20% - Accent4 2 3" xfId="284" xr:uid="{00000000-0005-0000-0000-0000AA030000}"/>
    <cellStyle name="20% - Accent4 2 3 2" xfId="2877" xr:uid="{00000000-0005-0000-0000-0000AB030000}"/>
    <cellStyle name="20% - Accent4 2 3 2 2" xfId="2878" xr:uid="{00000000-0005-0000-0000-0000AC030000}"/>
    <cellStyle name="20% - Accent4 2 3 2 2 2" xfId="2879" xr:uid="{00000000-0005-0000-0000-0000AD030000}"/>
    <cellStyle name="20% - Accent4 2 3 2 2 2 2" xfId="2880" xr:uid="{00000000-0005-0000-0000-0000AE030000}"/>
    <cellStyle name="20% - Accent4 2 3 2 2 3" xfId="2881" xr:uid="{00000000-0005-0000-0000-0000AF030000}"/>
    <cellStyle name="20% - Accent4 2 3 2 2 4" xfId="2882" xr:uid="{00000000-0005-0000-0000-0000B0030000}"/>
    <cellStyle name="20% - Accent4 2 3 2 3" xfId="2883" xr:uid="{00000000-0005-0000-0000-0000B1030000}"/>
    <cellStyle name="20% - Accent4 2 3 2 3 2" xfId="2884" xr:uid="{00000000-0005-0000-0000-0000B2030000}"/>
    <cellStyle name="20% - Accent4 2 3 2 4" xfId="2885" xr:uid="{00000000-0005-0000-0000-0000B3030000}"/>
    <cellStyle name="20% - Accent4 2 3 2 5" xfId="2886" xr:uid="{00000000-0005-0000-0000-0000B4030000}"/>
    <cellStyle name="20% - Accent4 2 3 3" xfId="2887" xr:uid="{00000000-0005-0000-0000-0000B5030000}"/>
    <cellStyle name="20% - Accent4 2 3 3 2" xfId="2888" xr:uid="{00000000-0005-0000-0000-0000B6030000}"/>
    <cellStyle name="20% - Accent4 2 3 3 2 2" xfId="2889" xr:uid="{00000000-0005-0000-0000-0000B7030000}"/>
    <cellStyle name="20% - Accent4 2 3 3 3" xfId="2890" xr:uid="{00000000-0005-0000-0000-0000B8030000}"/>
    <cellStyle name="20% - Accent4 2 3 3 4" xfId="2891" xr:uid="{00000000-0005-0000-0000-0000B9030000}"/>
    <cellStyle name="20% - Accent4 2 3 4" xfId="2892" xr:uid="{00000000-0005-0000-0000-0000BA030000}"/>
    <cellStyle name="20% - Accent4 2 3 4 2" xfId="2893" xr:uid="{00000000-0005-0000-0000-0000BB030000}"/>
    <cellStyle name="20% - Accent4 2 3 5" xfId="2894" xr:uid="{00000000-0005-0000-0000-0000BC030000}"/>
    <cellStyle name="20% - Accent4 2 3 6" xfId="2895" xr:uid="{00000000-0005-0000-0000-0000BD030000}"/>
    <cellStyle name="20% - Accent4 2 3 7" xfId="2896" xr:uid="{00000000-0005-0000-0000-0000BE030000}"/>
    <cellStyle name="20% - Accent4 2 4" xfId="285" xr:uid="{00000000-0005-0000-0000-0000BF030000}"/>
    <cellStyle name="20% - Accent4 2 4 2" xfId="2897" xr:uid="{00000000-0005-0000-0000-0000C0030000}"/>
    <cellStyle name="20% - Accent4 2 4 2 2" xfId="2898" xr:uid="{00000000-0005-0000-0000-0000C1030000}"/>
    <cellStyle name="20% - Accent4 2 4 2 2 2" xfId="2899" xr:uid="{00000000-0005-0000-0000-0000C2030000}"/>
    <cellStyle name="20% - Accent4 2 4 2 2 2 2" xfId="2900" xr:uid="{00000000-0005-0000-0000-0000C3030000}"/>
    <cellStyle name="20% - Accent4 2 4 2 2 3" xfId="2901" xr:uid="{00000000-0005-0000-0000-0000C4030000}"/>
    <cellStyle name="20% - Accent4 2 4 2 2 4" xfId="2902" xr:uid="{00000000-0005-0000-0000-0000C5030000}"/>
    <cellStyle name="20% - Accent4 2 4 2 3" xfId="2903" xr:uid="{00000000-0005-0000-0000-0000C6030000}"/>
    <cellStyle name="20% - Accent4 2 4 2 3 2" xfId="2904" xr:uid="{00000000-0005-0000-0000-0000C7030000}"/>
    <cellStyle name="20% - Accent4 2 4 2 4" xfId="2905" xr:uid="{00000000-0005-0000-0000-0000C8030000}"/>
    <cellStyle name="20% - Accent4 2 4 2 5" xfId="2906" xr:uid="{00000000-0005-0000-0000-0000C9030000}"/>
    <cellStyle name="20% - Accent4 2 4 3" xfId="2907" xr:uid="{00000000-0005-0000-0000-0000CA030000}"/>
    <cellStyle name="20% - Accent4 2 4 3 2" xfId="2908" xr:uid="{00000000-0005-0000-0000-0000CB030000}"/>
    <cellStyle name="20% - Accent4 2 4 3 2 2" xfId="2909" xr:uid="{00000000-0005-0000-0000-0000CC030000}"/>
    <cellStyle name="20% - Accent4 2 4 3 3" xfId="2910" xr:uid="{00000000-0005-0000-0000-0000CD030000}"/>
    <cellStyle name="20% - Accent4 2 4 3 4" xfId="2911" xr:uid="{00000000-0005-0000-0000-0000CE030000}"/>
    <cellStyle name="20% - Accent4 2 4 4" xfId="2912" xr:uid="{00000000-0005-0000-0000-0000CF030000}"/>
    <cellStyle name="20% - Accent4 2 4 4 2" xfId="2913" xr:uid="{00000000-0005-0000-0000-0000D0030000}"/>
    <cellStyle name="20% - Accent4 2 4 5" xfId="2914" xr:uid="{00000000-0005-0000-0000-0000D1030000}"/>
    <cellStyle name="20% - Accent4 2 4 6" xfId="2915" xr:uid="{00000000-0005-0000-0000-0000D2030000}"/>
    <cellStyle name="20% - Accent4 2 4 7" xfId="2916" xr:uid="{00000000-0005-0000-0000-0000D3030000}"/>
    <cellStyle name="20% - Accent4 2 5" xfId="286" xr:uid="{00000000-0005-0000-0000-0000D4030000}"/>
    <cellStyle name="20% - Accent4 2 5 2" xfId="2917" xr:uid="{00000000-0005-0000-0000-0000D5030000}"/>
    <cellStyle name="20% - Accent4 2 5 2 2" xfId="2918" xr:uid="{00000000-0005-0000-0000-0000D6030000}"/>
    <cellStyle name="20% - Accent4 2 5 2 2 2" xfId="2919" xr:uid="{00000000-0005-0000-0000-0000D7030000}"/>
    <cellStyle name="20% - Accent4 2 5 2 3" xfId="2920" xr:uid="{00000000-0005-0000-0000-0000D8030000}"/>
    <cellStyle name="20% - Accent4 2 5 2 4" xfId="2921" xr:uid="{00000000-0005-0000-0000-0000D9030000}"/>
    <cellStyle name="20% - Accent4 2 5 3" xfId="2922" xr:uid="{00000000-0005-0000-0000-0000DA030000}"/>
    <cellStyle name="20% - Accent4 2 5 3 2" xfId="2923" xr:uid="{00000000-0005-0000-0000-0000DB030000}"/>
    <cellStyle name="20% - Accent4 2 5 4" xfId="2924" xr:uid="{00000000-0005-0000-0000-0000DC030000}"/>
    <cellStyle name="20% - Accent4 2 5 5" xfId="2925" xr:uid="{00000000-0005-0000-0000-0000DD030000}"/>
    <cellStyle name="20% - Accent4 2 5 6" xfId="2926" xr:uid="{00000000-0005-0000-0000-0000DE030000}"/>
    <cellStyle name="20% - Accent4 2 6" xfId="287" xr:uid="{00000000-0005-0000-0000-0000DF030000}"/>
    <cellStyle name="20% - Accent4 2 6 2" xfId="2927" xr:uid="{00000000-0005-0000-0000-0000E0030000}"/>
    <cellStyle name="20% - Accent4 2 6 2 2" xfId="2928" xr:uid="{00000000-0005-0000-0000-0000E1030000}"/>
    <cellStyle name="20% - Accent4 2 6 3" xfId="2929" xr:uid="{00000000-0005-0000-0000-0000E2030000}"/>
    <cellStyle name="20% - Accent4 2 6 4" xfId="2930" xr:uid="{00000000-0005-0000-0000-0000E3030000}"/>
    <cellStyle name="20% - Accent4 2 6 5" xfId="2931" xr:uid="{00000000-0005-0000-0000-0000E4030000}"/>
    <cellStyle name="20% - Accent4 2 7" xfId="288" xr:uid="{00000000-0005-0000-0000-0000E5030000}"/>
    <cellStyle name="20% - Accent4 2 7 2" xfId="2932" xr:uid="{00000000-0005-0000-0000-0000E6030000}"/>
    <cellStyle name="20% - Accent4 2 7 3" xfId="2933" xr:uid="{00000000-0005-0000-0000-0000E7030000}"/>
    <cellStyle name="20% - Accent4 2 7 4" xfId="2934" xr:uid="{00000000-0005-0000-0000-0000E8030000}"/>
    <cellStyle name="20% - Accent4 2 8" xfId="289" xr:uid="{00000000-0005-0000-0000-0000E9030000}"/>
    <cellStyle name="20% - Accent4 2 8 2" xfId="2935" xr:uid="{00000000-0005-0000-0000-0000EA030000}"/>
    <cellStyle name="20% - Accent4 2 8 3" xfId="2936" xr:uid="{00000000-0005-0000-0000-0000EB030000}"/>
    <cellStyle name="20% - Accent4 2 9" xfId="290" xr:uid="{00000000-0005-0000-0000-0000EC030000}"/>
    <cellStyle name="20% - Accent4 2 9 2" xfId="2937" xr:uid="{00000000-0005-0000-0000-0000ED030000}"/>
    <cellStyle name="20% - Accent4 20" xfId="291" xr:uid="{00000000-0005-0000-0000-0000EE030000}"/>
    <cellStyle name="20% - Accent4 21" xfId="292" xr:uid="{00000000-0005-0000-0000-0000EF030000}"/>
    <cellStyle name="20% - Accent4 22" xfId="293" xr:uid="{00000000-0005-0000-0000-0000F0030000}"/>
    <cellStyle name="20% - Accent4 23" xfId="294" xr:uid="{00000000-0005-0000-0000-0000F1030000}"/>
    <cellStyle name="20% - Accent4 24" xfId="295" xr:uid="{00000000-0005-0000-0000-0000F2030000}"/>
    <cellStyle name="20% - Accent4 25" xfId="296" xr:uid="{00000000-0005-0000-0000-0000F3030000}"/>
    <cellStyle name="20% - Accent4 26" xfId="297" xr:uid="{00000000-0005-0000-0000-0000F4030000}"/>
    <cellStyle name="20% - Accent4 27" xfId="298" xr:uid="{00000000-0005-0000-0000-0000F5030000}"/>
    <cellStyle name="20% - Accent4 28" xfId="299" xr:uid="{00000000-0005-0000-0000-0000F6030000}"/>
    <cellStyle name="20% - Accent4 29" xfId="300" xr:uid="{00000000-0005-0000-0000-0000F7030000}"/>
    <cellStyle name="20% - Accent4 3" xfId="301" xr:uid="{00000000-0005-0000-0000-0000F8030000}"/>
    <cellStyle name="20% - Accent4 3 2" xfId="2938" xr:uid="{00000000-0005-0000-0000-0000F9030000}"/>
    <cellStyle name="20% - Accent4 3 2 2" xfId="2939" xr:uid="{00000000-0005-0000-0000-0000FA030000}"/>
    <cellStyle name="20% - Accent4 3 2 2 2" xfId="2940" xr:uid="{00000000-0005-0000-0000-0000FB030000}"/>
    <cellStyle name="20% - Accent4 3 2 2 2 2" xfId="2941" xr:uid="{00000000-0005-0000-0000-0000FC030000}"/>
    <cellStyle name="20% - Accent4 3 2 2 2 2 2" xfId="2942" xr:uid="{00000000-0005-0000-0000-0000FD030000}"/>
    <cellStyle name="20% - Accent4 3 2 2 2 2 2 2" xfId="2943" xr:uid="{00000000-0005-0000-0000-0000FE030000}"/>
    <cellStyle name="20% - Accent4 3 2 2 2 2 3" xfId="2944" xr:uid="{00000000-0005-0000-0000-0000FF030000}"/>
    <cellStyle name="20% - Accent4 3 2 2 2 3" xfId="2945" xr:uid="{00000000-0005-0000-0000-000000040000}"/>
    <cellStyle name="20% - Accent4 3 2 2 2 3 2" xfId="2946" xr:uid="{00000000-0005-0000-0000-000001040000}"/>
    <cellStyle name="20% - Accent4 3 2 2 2 4" xfId="2947" xr:uid="{00000000-0005-0000-0000-000002040000}"/>
    <cellStyle name="20% - Accent4 3 2 2 2 5" xfId="2948" xr:uid="{00000000-0005-0000-0000-000003040000}"/>
    <cellStyle name="20% - Accent4 3 2 2 3" xfId="2949" xr:uid="{00000000-0005-0000-0000-000004040000}"/>
    <cellStyle name="20% - Accent4 3 2 2 3 2" xfId="2950" xr:uid="{00000000-0005-0000-0000-000005040000}"/>
    <cellStyle name="20% - Accent4 3 2 2 3 2 2" xfId="2951" xr:uid="{00000000-0005-0000-0000-000006040000}"/>
    <cellStyle name="20% - Accent4 3 2 2 3 3" xfId="2952" xr:uid="{00000000-0005-0000-0000-000007040000}"/>
    <cellStyle name="20% - Accent4 3 2 2 4" xfId="2953" xr:uid="{00000000-0005-0000-0000-000008040000}"/>
    <cellStyle name="20% - Accent4 3 2 2 4 2" xfId="2954" xr:uid="{00000000-0005-0000-0000-000009040000}"/>
    <cellStyle name="20% - Accent4 3 2 2 5" xfId="2955" xr:uid="{00000000-0005-0000-0000-00000A040000}"/>
    <cellStyle name="20% - Accent4 3 2 2 6" xfId="2956" xr:uid="{00000000-0005-0000-0000-00000B040000}"/>
    <cellStyle name="20% - Accent4 3 2 2 7" xfId="2957" xr:uid="{00000000-0005-0000-0000-00000C040000}"/>
    <cellStyle name="20% - Accent4 3 2 3" xfId="2958" xr:uid="{00000000-0005-0000-0000-00000D040000}"/>
    <cellStyle name="20% - Accent4 3 2 3 2" xfId="2959" xr:uid="{00000000-0005-0000-0000-00000E040000}"/>
    <cellStyle name="20% - Accent4 3 2 3 2 2" xfId="2960" xr:uid="{00000000-0005-0000-0000-00000F040000}"/>
    <cellStyle name="20% - Accent4 3 2 3 2 2 2" xfId="2961" xr:uid="{00000000-0005-0000-0000-000010040000}"/>
    <cellStyle name="20% - Accent4 3 2 3 2 3" xfId="2962" xr:uid="{00000000-0005-0000-0000-000011040000}"/>
    <cellStyle name="20% - Accent4 3 2 3 3" xfId="2963" xr:uid="{00000000-0005-0000-0000-000012040000}"/>
    <cellStyle name="20% - Accent4 3 2 3 3 2" xfId="2964" xr:uid="{00000000-0005-0000-0000-000013040000}"/>
    <cellStyle name="20% - Accent4 3 2 3 4" xfId="2965" xr:uid="{00000000-0005-0000-0000-000014040000}"/>
    <cellStyle name="20% - Accent4 3 2 3 5" xfId="2966" xr:uid="{00000000-0005-0000-0000-000015040000}"/>
    <cellStyle name="20% - Accent4 3 2 4" xfId="2967" xr:uid="{00000000-0005-0000-0000-000016040000}"/>
    <cellStyle name="20% - Accent4 3 2 4 2" xfId="2968" xr:uid="{00000000-0005-0000-0000-000017040000}"/>
    <cellStyle name="20% - Accent4 3 2 4 2 2" xfId="2969" xr:uid="{00000000-0005-0000-0000-000018040000}"/>
    <cellStyle name="20% - Accent4 3 2 4 3" xfId="2970" xr:uid="{00000000-0005-0000-0000-000019040000}"/>
    <cellStyle name="20% - Accent4 3 2 4 4" xfId="2971" xr:uid="{00000000-0005-0000-0000-00001A040000}"/>
    <cellStyle name="20% - Accent4 3 2 5" xfId="2972" xr:uid="{00000000-0005-0000-0000-00001B040000}"/>
    <cellStyle name="20% - Accent4 3 2 5 2" xfId="2973" xr:uid="{00000000-0005-0000-0000-00001C040000}"/>
    <cellStyle name="20% - Accent4 3 2 6" xfId="2974" xr:uid="{00000000-0005-0000-0000-00001D040000}"/>
    <cellStyle name="20% - Accent4 3 2 7" xfId="2975" xr:uid="{00000000-0005-0000-0000-00001E040000}"/>
    <cellStyle name="20% - Accent4 3 2 8" xfId="2976" xr:uid="{00000000-0005-0000-0000-00001F040000}"/>
    <cellStyle name="20% - Accent4 3 2 9" xfId="2977" xr:uid="{00000000-0005-0000-0000-000020040000}"/>
    <cellStyle name="20% - Accent4 3 3" xfId="2978" xr:uid="{00000000-0005-0000-0000-000021040000}"/>
    <cellStyle name="20% - Accent4 3 3 2" xfId="2979" xr:uid="{00000000-0005-0000-0000-000022040000}"/>
    <cellStyle name="20% - Accent4 3 3 2 2" xfId="2980" xr:uid="{00000000-0005-0000-0000-000023040000}"/>
    <cellStyle name="20% - Accent4 3 3 2 2 2" xfId="2981" xr:uid="{00000000-0005-0000-0000-000024040000}"/>
    <cellStyle name="20% - Accent4 3 3 2 2 2 2" xfId="2982" xr:uid="{00000000-0005-0000-0000-000025040000}"/>
    <cellStyle name="20% - Accent4 3 3 2 2 3" xfId="2983" xr:uid="{00000000-0005-0000-0000-000026040000}"/>
    <cellStyle name="20% - Accent4 3 3 2 2 4" xfId="2984" xr:uid="{00000000-0005-0000-0000-000027040000}"/>
    <cellStyle name="20% - Accent4 3 3 2 3" xfId="2985" xr:uid="{00000000-0005-0000-0000-000028040000}"/>
    <cellStyle name="20% - Accent4 3 3 2 3 2" xfId="2986" xr:uid="{00000000-0005-0000-0000-000029040000}"/>
    <cellStyle name="20% - Accent4 3 3 2 4" xfId="2987" xr:uid="{00000000-0005-0000-0000-00002A040000}"/>
    <cellStyle name="20% - Accent4 3 3 2 5" xfId="2988" xr:uid="{00000000-0005-0000-0000-00002B040000}"/>
    <cellStyle name="20% - Accent4 3 3 3" xfId="2989" xr:uid="{00000000-0005-0000-0000-00002C040000}"/>
    <cellStyle name="20% - Accent4 3 3 3 2" xfId="2990" xr:uid="{00000000-0005-0000-0000-00002D040000}"/>
    <cellStyle name="20% - Accent4 3 3 3 2 2" xfId="2991" xr:uid="{00000000-0005-0000-0000-00002E040000}"/>
    <cellStyle name="20% - Accent4 3 3 3 3" xfId="2992" xr:uid="{00000000-0005-0000-0000-00002F040000}"/>
    <cellStyle name="20% - Accent4 3 3 3 4" xfId="2993" xr:uid="{00000000-0005-0000-0000-000030040000}"/>
    <cellStyle name="20% - Accent4 3 3 4" xfId="2994" xr:uid="{00000000-0005-0000-0000-000031040000}"/>
    <cellStyle name="20% - Accent4 3 3 4 2" xfId="2995" xr:uid="{00000000-0005-0000-0000-000032040000}"/>
    <cellStyle name="20% - Accent4 3 3 4 3" xfId="2996" xr:uid="{00000000-0005-0000-0000-000033040000}"/>
    <cellStyle name="20% - Accent4 3 3 4 4" xfId="2997" xr:uid="{00000000-0005-0000-0000-000034040000}"/>
    <cellStyle name="20% - Accent4 3 3 5" xfId="2998" xr:uid="{00000000-0005-0000-0000-000035040000}"/>
    <cellStyle name="20% - Accent4 3 3 5 2" xfId="2999" xr:uid="{00000000-0005-0000-0000-000036040000}"/>
    <cellStyle name="20% - Accent4 3 3 6" xfId="3000" xr:uid="{00000000-0005-0000-0000-000037040000}"/>
    <cellStyle name="20% - Accent4 3 3 7" xfId="3001" xr:uid="{00000000-0005-0000-0000-000038040000}"/>
    <cellStyle name="20% - Accent4 3 3 8" xfId="3002" xr:uid="{00000000-0005-0000-0000-000039040000}"/>
    <cellStyle name="20% - Accent4 3 3 9" xfId="3003" xr:uid="{00000000-0005-0000-0000-00003A040000}"/>
    <cellStyle name="20% - Accent4 3 4" xfId="3004" xr:uid="{00000000-0005-0000-0000-00003B040000}"/>
    <cellStyle name="20% - Accent4 3 4 2" xfId="3005" xr:uid="{00000000-0005-0000-0000-00003C040000}"/>
    <cellStyle name="20% - Accent4 3 4 2 2" xfId="3006" xr:uid="{00000000-0005-0000-0000-00003D040000}"/>
    <cellStyle name="20% - Accent4 3 4 2 2 2" xfId="3007" xr:uid="{00000000-0005-0000-0000-00003E040000}"/>
    <cellStyle name="20% - Accent4 3 4 2 2 2 2" xfId="3008" xr:uid="{00000000-0005-0000-0000-00003F040000}"/>
    <cellStyle name="20% - Accent4 3 4 2 2 3" xfId="3009" xr:uid="{00000000-0005-0000-0000-000040040000}"/>
    <cellStyle name="20% - Accent4 3 4 2 2 4" xfId="3010" xr:uid="{00000000-0005-0000-0000-000041040000}"/>
    <cellStyle name="20% - Accent4 3 4 2 3" xfId="3011" xr:uid="{00000000-0005-0000-0000-000042040000}"/>
    <cellStyle name="20% - Accent4 3 4 2 3 2" xfId="3012" xr:uid="{00000000-0005-0000-0000-000043040000}"/>
    <cellStyle name="20% - Accent4 3 4 2 4" xfId="3013" xr:uid="{00000000-0005-0000-0000-000044040000}"/>
    <cellStyle name="20% - Accent4 3 4 2 5" xfId="3014" xr:uid="{00000000-0005-0000-0000-000045040000}"/>
    <cellStyle name="20% - Accent4 3 4 3" xfId="3015" xr:uid="{00000000-0005-0000-0000-000046040000}"/>
    <cellStyle name="20% - Accent4 3 4 3 2" xfId="3016" xr:uid="{00000000-0005-0000-0000-000047040000}"/>
    <cellStyle name="20% - Accent4 3 4 3 2 2" xfId="3017" xr:uid="{00000000-0005-0000-0000-000048040000}"/>
    <cellStyle name="20% - Accent4 3 4 3 3" xfId="3018" xr:uid="{00000000-0005-0000-0000-000049040000}"/>
    <cellStyle name="20% - Accent4 3 4 3 4" xfId="3019" xr:uid="{00000000-0005-0000-0000-00004A040000}"/>
    <cellStyle name="20% - Accent4 3 4 4" xfId="3020" xr:uid="{00000000-0005-0000-0000-00004B040000}"/>
    <cellStyle name="20% - Accent4 3 4 4 2" xfId="3021" xr:uid="{00000000-0005-0000-0000-00004C040000}"/>
    <cellStyle name="20% - Accent4 3 4 4 3" xfId="3022" xr:uid="{00000000-0005-0000-0000-00004D040000}"/>
    <cellStyle name="20% - Accent4 3 4 4 4" xfId="3023" xr:uid="{00000000-0005-0000-0000-00004E040000}"/>
    <cellStyle name="20% - Accent4 3 4 5" xfId="3024" xr:uid="{00000000-0005-0000-0000-00004F040000}"/>
    <cellStyle name="20% - Accent4 3 4 5 2" xfId="3025" xr:uid="{00000000-0005-0000-0000-000050040000}"/>
    <cellStyle name="20% - Accent4 3 4 6" xfId="3026" xr:uid="{00000000-0005-0000-0000-000051040000}"/>
    <cellStyle name="20% - Accent4 3 4 7" xfId="3027" xr:uid="{00000000-0005-0000-0000-000052040000}"/>
    <cellStyle name="20% - Accent4 3 4 8" xfId="3028" xr:uid="{00000000-0005-0000-0000-000053040000}"/>
    <cellStyle name="20% - Accent4 3 4 9" xfId="3029" xr:uid="{00000000-0005-0000-0000-000054040000}"/>
    <cellStyle name="20% - Accent4 3 5" xfId="3030" xr:uid="{00000000-0005-0000-0000-000055040000}"/>
    <cellStyle name="20% - Accent4 3 5 2" xfId="3031" xr:uid="{00000000-0005-0000-0000-000056040000}"/>
    <cellStyle name="20% - Accent4 3 5 2 2" xfId="3032" xr:uid="{00000000-0005-0000-0000-000057040000}"/>
    <cellStyle name="20% - Accent4 3 5 2 2 2" xfId="3033" xr:uid="{00000000-0005-0000-0000-000058040000}"/>
    <cellStyle name="20% - Accent4 3 5 2 3" xfId="3034" xr:uid="{00000000-0005-0000-0000-000059040000}"/>
    <cellStyle name="20% - Accent4 3 5 2 4" xfId="3035" xr:uid="{00000000-0005-0000-0000-00005A040000}"/>
    <cellStyle name="20% - Accent4 3 5 3" xfId="3036" xr:uid="{00000000-0005-0000-0000-00005B040000}"/>
    <cellStyle name="20% - Accent4 3 5 3 2" xfId="3037" xr:uid="{00000000-0005-0000-0000-00005C040000}"/>
    <cellStyle name="20% - Accent4 3 5 4" xfId="3038" xr:uid="{00000000-0005-0000-0000-00005D040000}"/>
    <cellStyle name="20% - Accent4 3 5 5" xfId="3039" xr:uid="{00000000-0005-0000-0000-00005E040000}"/>
    <cellStyle name="20% - Accent4 3 6" xfId="3040" xr:uid="{00000000-0005-0000-0000-00005F040000}"/>
    <cellStyle name="20% - Accent4 3 6 2" xfId="3041" xr:uid="{00000000-0005-0000-0000-000060040000}"/>
    <cellStyle name="20% - Accent4 3 6 2 2" xfId="3042" xr:uid="{00000000-0005-0000-0000-000061040000}"/>
    <cellStyle name="20% - Accent4 3 6 3" xfId="3043" xr:uid="{00000000-0005-0000-0000-000062040000}"/>
    <cellStyle name="20% - Accent4 3 6 4" xfId="3044" xr:uid="{00000000-0005-0000-0000-000063040000}"/>
    <cellStyle name="20% - Accent4 3 7" xfId="3045" xr:uid="{00000000-0005-0000-0000-000064040000}"/>
    <cellStyle name="20% - Accent4 3 7 2" xfId="3046" xr:uid="{00000000-0005-0000-0000-000065040000}"/>
    <cellStyle name="20% - Accent4 3 7 3" xfId="3047" xr:uid="{00000000-0005-0000-0000-000066040000}"/>
    <cellStyle name="20% - Accent4 3 7 4" xfId="3048" xr:uid="{00000000-0005-0000-0000-000067040000}"/>
    <cellStyle name="20% - Accent4 3 8" xfId="3049" xr:uid="{00000000-0005-0000-0000-000068040000}"/>
    <cellStyle name="20% - Accent4 3 9" xfId="3050" xr:uid="{00000000-0005-0000-0000-000069040000}"/>
    <cellStyle name="20% - Accent4 30" xfId="302" xr:uid="{00000000-0005-0000-0000-00006A040000}"/>
    <cellStyle name="20% - Accent4 31" xfId="303" xr:uid="{00000000-0005-0000-0000-00006B040000}"/>
    <cellStyle name="20% - Accent4 32" xfId="304" xr:uid="{00000000-0005-0000-0000-00006C040000}"/>
    <cellStyle name="20% - Accent4 33" xfId="305" xr:uid="{00000000-0005-0000-0000-00006D040000}"/>
    <cellStyle name="20% - Accent4 34" xfId="306" xr:uid="{00000000-0005-0000-0000-00006E040000}"/>
    <cellStyle name="20% - Accent4 35" xfId="307" xr:uid="{00000000-0005-0000-0000-00006F040000}"/>
    <cellStyle name="20% - Accent4 4" xfId="308" xr:uid="{00000000-0005-0000-0000-000070040000}"/>
    <cellStyle name="20% - Accent4 4 2" xfId="3051" xr:uid="{00000000-0005-0000-0000-000071040000}"/>
    <cellStyle name="20% - Accent4 4 2 2" xfId="3052" xr:uid="{00000000-0005-0000-0000-000072040000}"/>
    <cellStyle name="20% - Accent4 4 2 2 2" xfId="3053" xr:uid="{00000000-0005-0000-0000-000073040000}"/>
    <cellStyle name="20% - Accent4 4 2 2 2 2" xfId="3054" xr:uid="{00000000-0005-0000-0000-000074040000}"/>
    <cellStyle name="20% - Accent4 4 2 2 2 2 2" xfId="3055" xr:uid="{00000000-0005-0000-0000-000075040000}"/>
    <cellStyle name="20% - Accent4 4 2 2 2 2 2 2" xfId="3056" xr:uid="{00000000-0005-0000-0000-000076040000}"/>
    <cellStyle name="20% - Accent4 4 2 2 2 2 3" xfId="3057" xr:uid="{00000000-0005-0000-0000-000077040000}"/>
    <cellStyle name="20% - Accent4 4 2 2 2 3" xfId="3058" xr:uid="{00000000-0005-0000-0000-000078040000}"/>
    <cellStyle name="20% - Accent4 4 2 2 2 3 2" xfId="3059" xr:uid="{00000000-0005-0000-0000-000079040000}"/>
    <cellStyle name="20% - Accent4 4 2 2 2 4" xfId="3060" xr:uid="{00000000-0005-0000-0000-00007A040000}"/>
    <cellStyle name="20% - Accent4 4 2 2 2 5" xfId="3061" xr:uid="{00000000-0005-0000-0000-00007B040000}"/>
    <cellStyle name="20% - Accent4 4 2 2 3" xfId="3062" xr:uid="{00000000-0005-0000-0000-00007C040000}"/>
    <cellStyle name="20% - Accent4 4 2 2 3 2" xfId="3063" xr:uid="{00000000-0005-0000-0000-00007D040000}"/>
    <cellStyle name="20% - Accent4 4 2 2 3 2 2" xfId="3064" xr:uid="{00000000-0005-0000-0000-00007E040000}"/>
    <cellStyle name="20% - Accent4 4 2 2 3 3" xfId="3065" xr:uid="{00000000-0005-0000-0000-00007F040000}"/>
    <cellStyle name="20% - Accent4 4 2 2 4" xfId="3066" xr:uid="{00000000-0005-0000-0000-000080040000}"/>
    <cellStyle name="20% - Accent4 4 2 2 4 2" xfId="3067" xr:uid="{00000000-0005-0000-0000-000081040000}"/>
    <cellStyle name="20% - Accent4 4 2 2 5" xfId="3068" xr:uid="{00000000-0005-0000-0000-000082040000}"/>
    <cellStyle name="20% - Accent4 4 2 2 6" xfId="3069" xr:uid="{00000000-0005-0000-0000-000083040000}"/>
    <cellStyle name="20% - Accent4 4 2 3" xfId="3070" xr:uid="{00000000-0005-0000-0000-000084040000}"/>
    <cellStyle name="20% - Accent4 4 2 3 2" xfId="3071" xr:uid="{00000000-0005-0000-0000-000085040000}"/>
    <cellStyle name="20% - Accent4 4 2 3 2 2" xfId="3072" xr:uid="{00000000-0005-0000-0000-000086040000}"/>
    <cellStyle name="20% - Accent4 4 2 3 2 2 2" xfId="3073" xr:uid="{00000000-0005-0000-0000-000087040000}"/>
    <cellStyle name="20% - Accent4 4 2 3 2 3" xfId="3074" xr:uid="{00000000-0005-0000-0000-000088040000}"/>
    <cellStyle name="20% - Accent4 4 2 3 3" xfId="3075" xr:uid="{00000000-0005-0000-0000-000089040000}"/>
    <cellStyle name="20% - Accent4 4 2 3 3 2" xfId="3076" xr:uid="{00000000-0005-0000-0000-00008A040000}"/>
    <cellStyle name="20% - Accent4 4 2 3 4" xfId="3077" xr:uid="{00000000-0005-0000-0000-00008B040000}"/>
    <cellStyle name="20% - Accent4 4 2 3 5" xfId="3078" xr:uid="{00000000-0005-0000-0000-00008C040000}"/>
    <cellStyle name="20% - Accent4 4 2 4" xfId="3079" xr:uid="{00000000-0005-0000-0000-00008D040000}"/>
    <cellStyle name="20% - Accent4 4 2 4 2" xfId="3080" xr:uid="{00000000-0005-0000-0000-00008E040000}"/>
    <cellStyle name="20% - Accent4 4 2 4 2 2" xfId="3081" xr:uid="{00000000-0005-0000-0000-00008F040000}"/>
    <cellStyle name="20% - Accent4 4 2 4 3" xfId="3082" xr:uid="{00000000-0005-0000-0000-000090040000}"/>
    <cellStyle name="20% - Accent4 4 2 4 4" xfId="3083" xr:uid="{00000000-0005-0000-0000-000091040000}"/>
    <cellStyle name="20% - Accent4 4 2 5" xfId="3084" xr:uid="{00000000-0005-0000-0000-000092040000}"/>
    <cellStyle name="20% - Accent4 4 2 5 2" xfId="3085" xr:uid="{00000000-0005-0000-0000-000093040000}"/>
    <cellStyle name="20% - Accent4 4 2 6" xfId="3086" xr:uid="{00000000-0005-0000-0000-000094040000}"/>
    <cellStyle name="20% - Accent4 4 2 7" xfId="3087" xr:uid="{00000000-0005-0000-0000-000095040000}"/>
    <cellStyle name="20% - Accent4 4 2 8" xfId="3088" xr:uid="{00000000-0005-0000-0000-000096040000}"/>
    <cellStyle name="20% - Accent4 4 2 9" xfId="3089" xr:uid="{00000000-0005-0000-0000-000097040000}"/>
    <cellStyle name="20% - Accent4 4 3" xfId="3090" xr:uid="{00000000-0005-0000-0000-000098040000}"/>
    <cellStyle name="20% - Accent4 4 3 2" xfId="3091" xr:uid="{00000000-0005-0000-0000-000099040000}"/>
    <cellStyle name="20% - Accent4 4 3 2 2" xfId="3092" xr:uid="{00000000-0005-0000-0000-00009A040000}"/>
    <cellStyle name="20% - Accent4 4 3 2 2 2" xfId="3093" xr:uid="{00000000-0005-0000-0000-00009B040000}"/>
    <cellStyle name="20% - Accent4 4 3 2 2 2 2" xfId="3094" xr:uid="{00000000-0005-0000-0000-00009C040000}"/>
    <cellStyle name="20% - Accent4 4 3 2 2 3" xfId="3095" xr:uid="{00000000-0005-0000-0000-00009D040000}"/>
    <cellStyle name="20% - Accent4 4 3 2 2 4" xfId="3096" xr:uid="{00000000-0005-0000-0000-00009E040000}"/>
    <cellStyle name="20% - Accent4 4 3 2 3" xfId="3097" xr:uid="{00000000-0005-0000-0000-00009F040000}"/>
    <cellStyle name="20% - Accent4 4 3 2 3 2" xfId="3098" xr:uid="{00000000-0005-0000-0000-0000A0040000}"/>
    <cellStyle name="20% - Accent4 4 3 2 4" xfId="3099" xr:uid="{00000000-0005-0000-0000-0000A1040000}"/>
    <cellStyle name="20% - Accent4 4 3 2 5" xfId="3100" xr:uid="{00000000-0005-0000-0000-0000A2040000}"/>
    <cellStyle name="20% - Accent4 4 3 3" xfId="3101" xr:uid="{00000000-0005-0000-0000-0000A3040000}"/>
    <cellStyle name="20% - Accent4 4 3 3 2" xfId="3102" xr:uid="{00000000-0005-0000-0000-0000A4040000}"/>
    <cellStyle name="20% - Accent4 4 3 3 2 2" xfId="3103" xr:uid="{00000000-0005-0000-0000-0000A5040000}"/>
    <cellStyle name="20% - Accent4 4 3 3 3" xfId="3104" xr:uid="{00000000-0005-0000-0000-0000A6040000}"/>
    <cellStyle name="20% - Accent4 4 3 3 4" xfId="3105" xr:uid="{00000000-0005-0000-0000-0000A7040000}"/>
    <cellStyle name="20% - Accent4 4 3 4" xfId="3106" xr:uid="{00000000-0005-0000-0000-0000A8040000}"/>
    <cellStyle name="20% - Accent4 4 3 4 2" xfId="3107" xr:uid="{00000000-0005-0000-0000-0000A9040000}"/>
    <cellStyle name="20% - Accent4 4 3 4 3" xfId="3108" xr:uid="{00000000-0005-0000-0000-0000AA040000}"/>
    <cellStyle name="20% - Accent4 4 3 4 4" xfId="3109" xr:uid="{00000000-0005-0000-0000-0000AB040000}"/>
    <cellStyle name="20% - Accent4 4 3 5" xfId="3110" xr:uid="{00000000-0005-0000-0000-0000AC040000}"/>
    <cellStyle name="20% - Accent4 4 3 5 2" xfId="3111" xr:uid="{00000000-0005-0000-0000-0000AD040000}"/>
    <cellStyle name="20% - Accent4 4 3 6" xfId="3112" xr:uid="{00000000-0005-0000-0000-0000AE040000}"/>
    <cellStyle name="20% - Accent4 4 3 7" xfId="3113" xr:uid="{00000000-0005-0000-0000-0000AF040000}"/>
    <cellStyle name="20% - Accent4 4 3 8" xfId="3114" xr:uid="{00000000-0005-0000-0000-0000B0040000}"/>
    <cellStyle name="20% - Accent4 4 3 9" xfId="3115" xr:uid="{00000000-0005-0000-0000-0000B1040000}"/>
    <cellStyle name="20% - Accent4 4 4" xfId="3116" xr:uid="{00000000-0005-0000-0000-0000B2040000}"/>
    <cellStyle name="20% - Accent4 4 4 2" xfId="3117" xr:uid="{00000000-0005-0000-0000-0000B3040000}"/>
    <cellStyle name="20% - Accent4 4 4 2 2" xfId="3118" xr:uid="{00000000-0005-0000-0000-0000B4040000}"/>
    <cellStyle name="20% - Accent4 4 4 2 2 2" xfId="3119" xr:uid="{00000000-0005-0000-0000-0000B5040000}"/>
    <cellStyle name="20% - Accent4 4 4 2 2 2 2" xfId="3120" xr:uid="{00000000-0005-0000-0000-0000B6040000}"/>
    <cellStyle name="20% - Accent4 4 4 2 2 3" xfId="3121" xr:uid="{00000000-0005-0000-0000-0000B7040000}"/>
    <cellStyle name="20% - Accent4 4 4 2 2 4" xfId="3122" xr:uid="{00000000-0005-0000-0000-0000B8040000}"/>
    <cellStyle name="20% - Accent4 4 4 2 3" xfId="3123" xr:uid="{00000000-0005-0000-0000-0000B9040000}"/>
    <cellStyle name="20% - Accent4 4 4 2 3 2" xfId="3124" xr:uid="{00000000-0005-0000-0000-0000BA040000}"/>
    <cellStyle name="20% - Accent4 4 4 2 4" xfId="3125" xr:uid="{00000000-0005-0000-0000-0000BB040000}"/>
    <cellStyle name="20% - Accent4 4 4 2 5" xfId="3126" xr:uid="{00000000-0005-0000-0000-0000BC040000}"/>
    <cellStyle name="20% - Accent4 4 4 3" xfId="3127" xr:uid="{00000000-0005-0000-0000-0000BD040000}"/>
    <cellStyle name="20% - Accent4 4 4 3 2" xfId="3128" xr:uid="{00000000-0005-0000-0000-0000BE040000}"/>
    <cellStyle name="20% - Accent4 4 4 3 2 2" xfId="3129" xr:uid="{00000000-0005-0000-0000-0000BF040000}"/>
    <cellStyle name="20% - Accent4 4 4 3 3" xfId="3130" xr:uid="{00000000-0005-0000-0000-0000C0040000}"/>
    <cellStyle name="20% - Accent4 4 4 3 4" xfId="3131" xr:uid="{00000000-0005-0000-0000-0000C1040000}"/>
    <cellStyle name="20% - Accent4 4 4 4" xfId="3132" xr:uid="{00000000-0005-0000-0000-0000C2040000}"/>
    <cellStyle name="20% - Accent4 4 4 4 2" xfId="3133" xr:uid="{00000000-0005-0000-0000-0000C3040000}"/>
    <cellStyle name="20% - Accent4 4 4 5" xfId="3134" xr:uid="{00000000-0005-0000-0000-0000C4040000}"/>
    <cellStyle name="20% - Accent4 4 4 6" xfId="3135" xr:uid="{00000000-0005-0000-0000-0000C5040000}"/>
    <cellStyle name="20% - Accent4 4 5" xfId="3136" xr:uid="{00000000-0005-0000-0000-0000C6040000}"/>
    <cellStyle name="20% - Accent4 4 5 2" xfId="3137" xr:uid="{00000000-0005-0000-0000-0000C7040000}"/>
    <cellStyle name="20% - Accent4 4 5 2 2" xfId="3138" xr:uid="{00000000-0005-0000-0000-0000C8040000}"/>
    <cellStyle name="20% - Accent4 4 5 2 2 2" xfId="3139" xr:uid="{00000000-0005-0000-0000-0000C9040000}"/>
    <cellStyle name="20% - Accent4 4 5 2 3" xfId="3140" xr:uid="{00000000-0005-0000-0000-0000CA040000}"/>
    <cellStyle name="20% - Accent4 4 5 2 4" xfId="3141" xr:uid="{00000000-0005-0000-0000-0000CB040000}"/>
    <cellStyle name="20% - Accent4 4 5 3" xfId="3142" xr:uid="{00000000-0005-0000-0000-0000CC040000}"/>
    <cellStyle name="20% - Accent4 4 5 3 2" xfId="3143" xr:uid="{00000000-0005-0000-0000-0000CD040000}"/>
    <cellStyle name="20% - Accent4 4 5 4" xfId="3144" xr:uid="{00000000-0005-0000-0000-0000CE040000}"/>
    <cellStyle name="20% - Accent4 4 5 5" xfId="3145" xr:uid="{00000000-0005-0000-0000-0000CF040000}"/>
    <cellStyle name="20% - Accent4 4 6" xfId="3146" xr:uid="{00000000-0005-0000-0000-0000D0040000}"/>
    <cellStyle name="20% - Accent4 4 6 2" xfId="3147" xr:uid="{00000000-0005-0000-0000-0000D1040000}"/>
    <cellStyle name="20% - Accent4 4 6 2 2" xfId="3148" xr:uid="{00000000-0005-0000-0000-0000D2040000}"/>
    <cellStyle name="20% - Accent4 4 6 3" xfId="3149" xr:uid="{00000000-0005-0000-0000-0000D3040000}"/>
    <cellStyle name="20% - Accent4 4 6 4" xfId="3150" xr:uid="{00000000-0005-0000-0000-0000D4040000}"/>
    <cellStyle name="20% - Accent4 4 7" xfId="3151" xr:uid="{00000000-0005-0000-0000-0000D5040000}"/>
    <cellStyle name="20% - Accent4 4 7 2" xfId="3152" xr:uid="{00000000-0005-0000-0000-0000D6040000}"/>
    <cellStyle name="20% - Accent4 4 7 3" xfId="3153" xr:uid="{00000000-0005-0000-0000-0000D7040000}"/>
    <cellStyle name="20% - Accent4 4 7 4" xfId="3154" xr:uid="{00000000-0005-0000-0000-0000D8040000}"/>
    <cellStyle name="20% - Accent4 4 8" xfId="3155" xr:uid="{00000000-0005-0000-0000-0000D9040000}"/>
    <cellStyle name="20% - Accent4 4 9" xfId="3156" xr:uid="{00000000-0005-0000-0000-0000DA040000}"/>
    <cellStyle name="20% - Accent4 5" xfId="309" xr:uid="{00000000-0005-0000-0000-0000DB040000}"/>
    <cellStyle name="20% - Accent4 5 2" xfId="3157" xr:uid="{00000000-0005-0000-0000-0000DC040000}"/>
    <cellStyle name="20% - Accent4 5 2 2" xfId="3158" xr:uid="{00000000-0005-0000-0000-0000DD040000}"/>
    <cellStyle name="20% - Accent4 5 2 2 2" xfId="3159" xr:uid="{00000000-0005-0000-0000-0000DE040000}"/>
    <cellStyle name="20% - Accent4 5 2 2 2 2" xfId="3160" xr:uid="{00000000-0005-0000-0000-0000DF040000}"/>
    <cellStyle name="20% - Accent4 5 2 2 2 2 2" xfId="3161" xr:uid="{00000000-0005-0000-0000-0000E0040000}"/>
    <cellStyle name="20% - Accent4 5 2 2 2 3" xfId="3162" xr:uid="{00000000-0005-0000-0000-0000E1040000}"/>
    <cellStyle name="20% - Accent4 5 2 2 3" xfId="3163" xr:uid="{00000000-0005-0000-0000-0000E2040000}"/>
    <cellStyle name="20% - Accent4 5 2 2 3 2" xfId="3164" xr:uid="{00000000-0005-0000-0000-0000E3040000}"/>
    <cellStyle name="20% - Accent4 5 2 2 4" xfId="3165" xr:uid="{00000000-0005-0000-0000-0000E4040000}"/>
    <cellStyle name="20% - Accent4 5 2 3" xfId="3166" xr:uid="{00000000-0005-0000-0000-0000E5040000}"/>
    <cellStyle name="20% - Accent4 5 2 3 2" xfId="3167" xr:uid="{00000000-0005-0000-0000-0000E6040000}"/>
    <cellStyle name="20% - Accent4 5 2 3 2 2" xfId="3168" xr:uid="{00000000-0005-0000-0000-0000E7040000}"/>
    <cellStyle name="20% - Accent4 5 2 3 3" xfId="3169" xr:uid="{00000000-0005-0000-0000-0000E8040000}"/>
    <cellStyle name="20% - Accent4 5 2 4" xfId="3170" xr:uid="{00000000-0005-0000-0000-0000E9040000}"/>
    <cellStyle name="20% - Accent4 5 2 4 2" xfId="3171" xr:uid="{00000000-0005-0000-0000-0000EA040000}"/>
    <cellStyle name="20% - Accent4 5 2 5" xfId="3172" xr:uid="{00000000-0005-0000-0000-0000EB040000}"/>
    <cellStyle name="20% - Accent4 5 2 6" xfId="3173" xr:uid="{00000000-0005-0000-0000-0000EC040000}"/>
    <cellStyle name="20% - Accent4 5 3" xfId="3174" xr:uid="{00000000-0005-0000-0000-0000ED040000}"/>
    <cellStyle name="20% - Accent4 5 3 2" xfId="3175" xr:uid="{00000000-0005-0000-0000-0000EE040000}"/>
    <cellStyle name="20% - Accent4 5 3 2 2" xfId="3176" xr:uid="{00000000-0005-0000-0000-0000EF040000}"/>
    <cellStyle name="20% - Accent4 5 3 2 2 2" xfId="3177" xr:uid="{00000000-0005-0000-0000-0000F0040000}"/>
    <cellStyle name="20% - Accent4 5 3 2 3" xfId="3178" xr:uid="{00000000-0005-0000-0000-0000F1040000}"/>
    <cellStyle name="20% - Accent4 5 3 3" xfId="3179" xr:uid="{00000000-0005-0000-0000-0000F2040000}"/>
    <cellStyle name="20% - Accent4 5 3 3 2" xfId="3180" xr:uid="{00000000-0005-0000-0000-0000F3040000}"/>
    <cellStyle name="20% - Accent4 5 3 4" xfId="3181" xr:uid="{00000000-0005-0000-0000-0000F4040000}"/>
    <cellStyle name="20% - Accent4 5 4" xfId="3182" xr:uid="{00000000-0005-0000-0000-0000F5040000}"/>
    <cellStyle name="20% - Accent4 5 4 2" xfId="3183" xr:uid="{00000000-0005-0000-0000-0000F6040000}"/>
    <cellStyle name="20% - Accent4 5 4 2 2" xfId="3184" xr:uid="{00000000-0005-0000-0000-0000F7040000}"/>
    <cellStyle name="20% - Accent4 5 4 3" xfId="3185" xr:uid="{00000000-0005-0000-0000-0000F8040000}"/>
    <cellStyle name="20% - Accent4 5 5" xfId="3186" xr:uid="{00000000-0005-0000-0000-0000F9040000}"/>
    <cellStyle name="20% - Accent4 5 5 2" xfId="3187" xr:uid="{00000000-0005-0000-0000-0000FA040000}"/>
    <cellStyle name="20% - Accent4 5 6" xfId="3188" xr:uid="{00000000-0005-0000-0000-0000FB040000}"/>
    <cellStyle name="20% - Accent4 5 7" xfId="3189" xr:uid="{00000000-0005-0000-0000-0000FC040000}"/>
    <cellStyle name="20% - Accent4 5 8" xfId="3190" xr:uid="{00000000-0005-0000-0000-0000FD040000}"/>
    <cellStyle name="20% - Accent4 6" xfId="310" xr:uid="{00000000-0005-0000-0000-0000FE040000}"/>
    <cellStyle name="20% - Accent4 6 2" xfId="3191" xr:uid="{00000000-0005-0000-0000-0000FF040000}"/>
    <cellStyle name="20% - Accent4 6 2 2" xfId="3192" xr:uid="{00000000-0005-0000-0000-000000050000}"/>
    <cellStyle name="20% - Accent4 6 2 2 2" xfId="3193" xr:uid="{00000000-0005-0000-0000-000001050000}"/>
    <cellStyle name="20% - Accent4 6 2 2 2 2" xfId="3194" xr:uid="{00000000-0005-0000-0000-000002050000}"/>
    <cellStyle name="20% - Accent4 6 2 2 3" xfId="3195" xr:uid="{00000000-0005-0000-0000-000003050000}"/>
    <cellStyle name="20% - Accent4 6 2 3" xfId="3196" xr:uid="{00000000-0005-0000-0000-000004050000}"/>
    <cellStyle name="20% - Accent4 6 2 3 2" xfId="3197" xr:uid="{00000000-0005-0000-0000-000005050000}"/>
    <cellStyle name="20% - Accent4 6 2 4" xfId="3198" xr:uid="{00000000-0005-0000-0000-000006050000}"/>
    <cellStyle name="20% - Accent4 6 2 5" xfId="3199" xr:uid="{00000000-0005-0000-0000-000007050000}"/>
    <cellStyle name="20% - Accent4 6 3" xfId="3200" xr:uid="{00000000-0005-0000-0000-000008050000}"/>
    <cellStyle name="20% - Accent4 6 3 2" xfId="3201" xr:uid="{00000000-0005-0000-0000-000009050000}"/>
    <cellStyle name="20% - Accent4 6 3 2 2" xfId="3202" xr:uid="{00000000-0005-0000-0000-00000A050000}"/>
    <cellStyle name="20% - Accent4 6 3 3" xfId="3203" xr:uid="{00000000-0005-0000-0000-00000B050000}"/>
    <cellStyle name="20% - Accent4 6 4" xfId="3204" xr:uid="{00000000-0005-0000-0000-00000C050000}"/>
    <cellStyle name="20% - Accent4 6 4 2" xfId="3205" xr:uid="{00000000-0005-0000-0000-00000D050000}"/>
    <cellStyle name="20% - Accent4 6 5" xfId="3206" xr:uid="{00000000-0005-0000-0000-00000E050000}"/>
    <cellStyle name="20% - Accent4 6 6" xfId="3207" xr:uid="{00000000-0005-0000-0000-00000F050000}"/>
    <cellStyle name="20% - Accent4 7" xfId="311" xr:uid="{00000000-0005-0000-0000-000010050000}"/>
    <cellStyle name="20% - Accent4 7 2" xfId="3208" xr:uid="{00000000-0005-0000-0000-000011050000}"/>
    <cellStyle name="20% - Accent4 7 2 2" xfId="3209" xr:uid="{00000000-0005-0000-0000-000012050000}"/>
    <cellStyle name="20% - Accent4 7 2 2 2" xfId="3210" xr:uid="{00000000-0005-0000-0000-000013050000}"/>
    <cellStyle name="20% - Accent4 7 2 3" xfId="3211" xr:uid="{00000000-0005-0000-0000-000014050000}"/>
    <cellStyle name="20% - Accent4 7 3" xfId="3212" xr:uid="{00000000-0005-0000-0000-000015050000}"/>
    <cellStyle name="20% - Accent4 7 3 2" xfId="3213" xr:uid="{00000000-0005-0000-0000-000016050000}"/>
    <cellStyle name="20% - Accent4 7 4" xfId="3214" xr:uid="{00000000-0005-0000-0000-000017050000}"/>
    <cellStyle name="20% - Accent4 7 5" xfId="3215" xr:uid="{00000000-0005-0000-0000-000018050000}"/>
    <cellStyle name="20% - Accent4 8" xfId="312" xr:uid="{00000000-0005-0000-0000-000019050000}"/>
    <cellStyle name="20% - Accent4 8 2" xfId="3216" xr:uid="{00000000-0005-0000-0000-00001A050000}"/>
    <cellStyle name="20% - Accent4 8 2 2" xfId="3217" xr:uid="{00000000-0005-0000-0000-00001B050000}"/>
    <cellStyle name="20% - Accent4 8 2 2 2" xfId="3218" xr:uid="{00000000-0005-0000-0000-00001C050000}"/>
    <cellStyle name="20% - Accent4 8 2 3" xfId="3219" xr:uid="{00000000-0005-0000-0000-00001D050000}"/>
    <cellStyle name="20% - Accent4 8 3" xfId="3220" xr:uid="{00000000-0005-0000-0000-00001E050000}"/>
    <cellStyle name="20% - Accent4 8 3 2" xfId="3221" xr:uid="{00000000-0005-0000-0000-00001F050000}"/>
    <cellStyle name="20% - Accent4 8 4" xfId="3222" xr:uid="{00000000-0005-0000-0000-000020050000}"/>
    <cellStyle name="20% - Accent4 8 5" xfId="3223" xr:uid="{00000000-0005-0000-0000-000021050000}"/>
    <cellStyle name="20% - Accent4 9" xfId="313" xr:uid="{00000000-0005-0000-0000-000022050000}"/>
    <cellStyle name="20% - Accent4 9 2" xfId="3224" xr:uid="{00000000-0005-0000-0000-000023050000}"/>
    <cellStyle name="20% - Accent4 9 2 2" xfId="3225" xr:uid="{00000000-0005-0000-0000-000024050000}"/>
    <cellStyle name="20% - Accent4 9 2 2 2" xfId="3226" xr:uid="{00000000-0005-0000-0000-000025050000}"/>
    <cellStyle name="20% - Accent4 9 2 3" xfId="3227" xr:uid="{00000000-0005-0000-0000-000026050000}"/>
    <cellStyle name="20% - Accent4 9 3" xfId="3228" xr:uid="{00000000-0005-0000-0000-000027050000}"/>
    <cellStyle name="20% - Accent4 9 3 2" xfId="3229" xr:uid="{00000000-0005-0000-0000-000028050000}"/>
    <cellStyle name="20% - Accent4 9 4" xfId="3230" xr:uid="{00000000-0005-0000-0000-000029050000}"/>
    <cellStyle name="20% - Accent4 9 5" xfId="3231" xr:uid="{00000000-0005-0000-0000-00002A050000}"/>
    <cellStyle name="20% - Accent5" xfId="15189" builtinId="46" customBuiltin="1"/>
    <cellStyle name="20% - Accent5 10" xfId="314" xr:uid="{00000000-0005-0000-0000-00002C050000}"/>
    <cellStyle name="20% - Accent5 10 2" xfId="3232" xr:uid="{00000000-0005-0000-0000-00002D050000}"/>
    <cellStyle name="20% - Accent5 10 2 2" xfId="3233" xr:uid="{00000000-0005-0000-0000-00002E050000}"/>
    <cellStyle name="20% - Accent5 10 3" xfId="3234" xr:uid="{00000000-0005-0000-0000-00002F050000}"/>
    <cellStyle name="20% - Accent5 10 4" xfId="3235" xr:uid="{00000000-0005-0000-0000-000030050000}"/>
    <cellStyle name="20% - Accent5 11" xfId="315" xr:uid="{00000000-0005-0000-0000-000031050000}"/>
    <cellStyle name="20% - Accent5 11 2" xfId="3236" xr:uid="{00000000-0005-0000-0000-000032050000}"/>
    <cellStyle name="20% - Accent5 11 2 2" xfId="3237" xr:uid="{00000000-0005-0000-0000-000033050000}"/>
    <cellStyle name="20% - Accent5 11 3" xfId="3238" xr:uid="{00000000-0005-0000-0000-000034050000}"/>
    <cellStyle name="20% - Accent5 11 4" xfId="3239" xr:uid="{00000000-0005-0000-0000-000035050000}"/>
    <cellStyle name="20% - Accent5 12" xfId="316" xr:uid="{00000000-0005-0000-0000-000036050000}"/>
    <cellStyle name="20% - Accent5 12 2" xfId="3240" xr:uid="{00000000-0005-0000-0000-000037050000}"/>
    <cellStyle name="20% - Accent5 12 3" xfId="3241" xr:uid="{00000000-0005-0000-0000-000038050000}"/>
    <cellStyle name="20% - Accent5 13" xfId="317" xr:uid="{00000000-0005-0000-0000-000039050000}"/>
    <cellStyle name="20% - Accent5 13 2" xfId="3242" xr:uid="{00000000-0005-0000-0000-00003A050000}"/>
    <cellStyle name="20% - Accent5 14" xfId="318" xr:uid="{00000000-0005-0000-0000-00003B050000}"/>
    <cellStyle name="20% - Accent5 15" xfId="319" xr:uid="{00000000-0005-0000-0000-00003C050000}"/>
    <cellStyle name="20% - Accent5 15 2" xfId="320" xr:uid="{00000000-0005-0000-0000-00003D050000}"/>
    <cellStyle name="20% - Accent5 15 3" xfId="321" xr:uid="{00000000-0005-0000-0000-00003E050000}"/>
    <cellStyle name="20% - Accent5 15 4" xfId="322" xr:uid="{00000000-0005-0000-0000-00003F050000}"/>
    <cellStyle name="20% - Accent5 15 5" xfId="323" xr:uid="{00000000-0005-0000-0000-000040050000}"/>
    <cellStyle name="20% - Accent5 16" xfId="324" xr:uid="{00000000-0005-0000-0000-000041050000}"/>
    <cellStyle name="20% - Accent5 16 2" xfId="325" xr:uid="{00000000-0005-0000-0000-000042050000}"/>
    <cellStyle name="20% - Accent5 16 3" xfId="326" xr:uid="{00000000-0005-0000-0000-000043050000}"/>
    <cellStyle name="20% - Accent5 16 4" xfId="327" xr:uid="{00000000-0005-0000-0000-000044050000}"/>
    <cellStyle name="20% - Accent5 16 5" xfId="328" xr:uid="{00000000-0005-0000-0000-000045050000}"/>
    <cellStyle name="20% - Accent5 17" xfId="329" xr:uid="{00000000-0005-0000-0000-000046050000}"/>
    <cellStyle name="20% - Accent5 17 2" xfId="330" xr:uid="{00000000-0005-0000-0000-000047050000}"/>
    <cellStyle name="20% - Accent5 17 3" xfId="331" xr:uid="{00000000-0005-0000-0000-000048050000}"/>
    <cellStyle name="20% - Accent5 17 4" xfId="332" xr:uid="{00000000-0005-0000-0000-000049050000}"/>
    <cellStyle name="20% - Accent5 17 5" xfId="333" xr:uid="{00000000-0005-0000-0000-00004A050000}"/>
    <cellStyle name="20% - Accent5 18" xfId="334" xr:uid="{00000000-0005-0000-0000-00004B050000}"/>
    <cellStyle name="20% - Accent5 19" xfId="335" xr:uid="{00000000-0005-0000-0000-00004C050000}"/>
    <cellStyle name="20% - Accent5 2" xfId="336" xr:uid="{00000000-0005-0000-0000-00004D050000}"/>
    <cellStyle name="20% - Accent5 2 2" xfId="337" xr:uid="{00000000-0005-0000-0000-00004E050000}"/>
    <cellStyle name="20% - Accent5 2 2 2" xfId="338" xr:uid="{00000000-0005-0000-0000-00004F050000}"/>
    <cellStyle name="20% - Accent5 2 2 2 2" xfId="339" xr:uid="{00000000-0005-0000-0000-000050050000}"/>
    <cellStyle name="20% - Accent5 2 2 2 2 2" xfId="3243" xr:uid="{00000000-0005-0000-0000-000051050000}"/>
    <cellStyle name="20% - Accent5 2 2 2 2 2 2" xfId="3244" xr:uid="{00000000-0005-0000-0000-000052050000}"/>
    <cellStyle name="20% - Accent5 2 2 2 2 2 2 2" xfId="3245" xr:uid="{00000000-0005-0000-0000-000053050000}"/>
    <cellStyle name="20% - Accent5 2 2 2 2 2 3" xfId="3246" xr:uid="{00000000-0005-0000-0000-000054050000}"/>
    <cellStyle name="20% - Accent5 2 2 2 2 3" xfId="3247" xr:uid="{00000000-0005-0000-0000-000055050000}"/>
    <cellStyle name="20% - Accent5 2 2 2 2 3 2" xfId="3248" xr:uid="{00000000-0005-0000-0000-000056050000}"/>
    <cellStyle name="20% - Accent5 2 2 2 2 4" xfId="3249" xr:uid="{00000000-0005-0000-0000-000057050000}"/>
    <cellStyle name="20% - Accent5 2 2 2 2 5" xfId="3250" xr:uid="{00000000-0005-0000-0000-000058050000}"/>
    <cellStyle name="20% - Accent5 2 2 2 3" xfId="340" xr:uid="{00000000-0005-0000-0000-000059050000}"/>
    <cellStyle name="20% - Accent5 2 2 2 3 2" xfId="3251" xr:uid="{00000000-0005-0000-0000-00005A050000}"/>
    <cellStyle name="20% - Accent5 2 2 2 3 2 2" xfId="3252" xr:uid="{00000000-0005-0000-0000-00005B050000}"/>
    <cellStyle name="20% - Accent5 2 2 2 3 3" xfId="3253" xr:uid="{00000000-0005-0000-0000-00005C050000}"/>
    <cellStyle name="20% - Accent5 2 2 2 4" xfId="341" xr:uid="{00000000-0005-0000-0000-00005D050000}"/>
    <cellStyle name="20% - Accent5 2 2 2 4 2" xfId="3254" xr:uid="{00000000-0005-0000-0000-00005E050000}"/>
    <cellStyle name="20% - Accent5 2 2 2 5" xfId="342" xr:uid="{00000000-0005-0000-0000-00005F050000}"/>
    <cellStyle name="20% - Accent5 2 2 2 6" xfId="3255" xr:uid="{00000000-0005-0000-0000-000060050000}"/>
    <cellStyle name="20% - Accent5 2 2 3" xfId="343" xr:uid="{00000000-0005-0000-0000-000061050000}"/>
    <cellStyle name="20% - Accent5 2 2 3 2" xfId="3256" xr:uid="{00000000-0005-0000-0000-000062050000}"/>
    <cellStyle name="20% - Accent5 2 2 3 2 2" xfId="3257" xr:uid="{00000000-0005-0000-0000-000063050000}"/>
    <cellStyle name="20% - Accent5 2 2 3 2 2 2" xfId="3258" xr:uid="{00000000-0005-0000-0000-000064050000}"/>
    <cellStyle name="20% - Accent5 2 2 3 2 3" xfId="3259" xr:uid="{00000000-0005-0000-0000-000065050000}"/>
    <cellStyle name="20% - Accent5 2 2 3 3" xfId="3260" xr:uid="{00000000-0005-0000-0000-000066050000}"/>
    <cellStyle name="20% - Accent5 2 2 3 3 2" xfId="3261" xr:uid="{00000000-0005-0000-0000-000067050000}"/>
    <cellStyle name="20% - Accent5 2 2 3 4" xfId="3262" xr:uid="{00000000-0005-0000-0000-000068050000}"/>
    <cellStyle name="20% - Accent5 2 2 3 5" xfId="3263" xr:uid="{00000000-0005-0000-0000-000069050000}"/>
    <cellStyle name="20% - Accent5 2 2 4" xfId="344" xr:uid="{00000000-0005-0000-0000-00006A050000}"/>
    <cellStyle name="20% - Accent5 2 2 4 2" xfId="3264" xr:uid="{00000000-0005-0000-0000-00006B050000}"/>
    <cellStyle name="20% - Accent5 2 2 4 2 2" xfId="3265" xr:uid="{00000000-0005-0000-0000-00006C050000}"/>
    <cellStyle name="20% - Accent5 2 2 4 3" xfId="3266" xr:uid="{00000000-0005-0000-0000-00006D050000}"/>
    <cellStyle name="20% - Accent5 2 2 5" xfId="345" xr:uid="{00000000-0005-0000-0000-00006E050000}"/>
    <cellStyle name="20% - Accent5 2 2 5 2" xfId="3267" xr:uid="{00000000-0005-0000-0000-00006F050000}"/>
    <cellStyle name="20% - Accent5 2 2 6" xfId="3268" xr:uid="{00000000-0005-0000-0000-000070050000}"/>
    <cellStyle name="20% - Accent5 2 2 7" xfId="3269" xr:uid="{00000000-0005-0000-0000-000071050000}"/>
    <cellStyle name="20% - Accent5 2 3" xfId="346" xr:uid="{00000000-0005-0000-0000-000072050000}"/>
    <cellStyle name="20% - Accent5 2 3 2" xfId="3270" xr:uid="{00000000-0005-0000-0000-000073050000}"/>
    <cellStyle name="20% - Accent5 2 3 2 2" xfId="3271" xr:uid="{00000000-0005-0000-0000-000074050000}"/>
    <cellStyle name="20% - Accent5 2 3 2 2 2" xfId="3272" xr:uid="{00000000-0005-0000-0000-000075050000}"/>
    <cellStyle name="20% - Accent5 2 3 2 2 2 2" xfId="3273" xr:uid="{00000000-0005-0000-0000-000076050000}"/>
    <cellStyle name="20% - Accent5 2 3 2 2 3" xfId="3274" xr:uid="{00000000-0005-0000-0000-000077050000}"/>
    <cellStyle name="20% - Accent5 2 3 2 3" xfId="3275" xr:uid="{00000000-0005-0000-0000-000078050000}"/>
    <cellStyle name="20% - Accent5 2 3 2 3 2" xfId="3276" xr:uid="{00000000-0005-0000-0000-000079050000}"/>
    <cellStyle name="20% - Accent5 2 3 2 4" xfId="3277" xr:uid="{00000000-0005-0000-0000-00007A050000}"/>
    <cellStyle name="20% - Accent5 2 3 3" xfId="3278" xr:uid="{00000000-0005-0000-0000-00007B050000}"/>
    <cellStyle name="20% - Accent5 2 3 3 2" xfId="3279" xr:uid="{00000000-0005-0000-0000-00007C050000}"/>
    <cellStyle name="20% - Accent5 2 3 3 2 2" xfId="3280" xr:uid="{00000000-0005-0000-0000-00007D050000}"/>
    <cellStyle name="20% - Accent5 2 3 3 3" xfId="3281" xr:uid="{00000000-0005-0000-0000-00007E050000}"/>
    <cellStyle name="20% - Accent5 2 3 4" xfId="3282" xr:uid="{00000000-0005-0000-0000-00007F050000}"/>
    <cellStyle name="20% - Accent5 2 3 4 2" xfId="3283" xr:uid="{00000000-0005-0000-0000-000080050000}"/>
    <cellStyle name="20% - Accent5 2 3 5" xfId="3284" xr:uid="{00000000-0005-0000-0000-000081050000}"/>
    <cellStyle name="20% - Accent5 2 3 6" xfId="3285" xr:uid="{00000000-0005-0000-0000-000082050000}"/>
    <cellStyle name="20% - Accent5 2 4" xfId="347" xr:uid="{00000000-0005-0000-0000-000083050000}"/>
    <cellStyle name="20% - Accent5 2 4 2" xfId="3286" xr:uid="{00000000-0005-0000-0000-000084050000}"/>
    <cellStyle name="20% - Accent5 2 4 2 2" xfId="3287" xr:uid="{00000000-0005-0000-0000-000085050000}"/>
    <cellStyle name="20% - Accent5 2 4 2 2 2" xfId="3288" xr:uid="{00000000-0005-0000-0000-000086050000}"/>
    <cellStyle name="20% - Accent5 2 4 2 3" xfId="3289" xr:uid="{00000000-0005-0000-0000-000087050000}"/>
    <cellStyle name="20% - Accent5 2 4 3" xfId="3290" xr:uid="{00000000-0005-0000-0000-000088050000}"/>
    <cellStyle name="20% - Accent5 2 4 3 2" xfId="3291" xr:uid="{00000000-0005-0000-0000-000089050000}"/>
    <cellStyle name="20% - Accent5 2 4 4" xfId="3292" xr:uid="{00000000-0005-0000-0000-00008A050000}"/>
    <cellStyle name="20% - Accent5 2 4 5" xfId="3293" xr:uid="{00000000-0005-0000-0000-00008B050000}"/>
    <cellStyle name="20% - Accent5 2 5" xfId="348" xr:uid="{00000000-0005-0000-0000-00008C050000}"/>
    <cellStyle name="20% - Accent5 2 5 2" xfId="3294" xr:uid="{00000000-0005-0000-0000-00008D050000}"/>
    <cellStyle name="20% - Accent5 2 5 2 2" xfId="3295" xr:uid="{00000000-0005-0000-0000-00008E050000}"/>
    <cellStyle name="20% - Accent5 2 5 3" xfId="3296" xr:uid="{00000000-0005-0000-0000-00008F050000}"/>
    <cellStyle name="20% - Accent5 2 5 4" xfId="3297" xr:uid="{00000000-0005-0000-0000-000090050000}"/>
    <cellStyle name="20% - Accent5 2 6" xfId="349" xr:uid="{00000000-0005-0000-0000-000091050000}"/>
    <cellStyle name="20% - Accent5 2 6 2" xfId="3298" xr:uid="{00000000-0005-0000-0000-000092050000}"/>
    <cellStyle name="20% - Accent5 2 6 3" xfId="3299" xr:uid="{00000000-0005-0000-0000-000093050000}"/>
    <cellStyle name="20% - Accent5 2 7" xfId="350" xr:uid="{00000000-0005-0000-0000-000094050000}"/>
    <cellStyle name="20% - Accent5 2 8" xfId="351" xr:uid="{00000000-0005-0000-0000-000095050000}"/>
    <cellStyle name="20% - Accent5 2 9" xfId="352" xr:uid="{00000000-0005-0000-0000-000096050000}"/>
    <cellStyle name="20% - Accent5 20" xfId="353" xr:uid="{00000000-0005-0000-0000-000097050000}"/>
    <cellStyle name="20% - Accent5 21" xfId="354" xr:uid="{00000000-0005-0000-0000-000098050000}"/>
    <cellStyle name="20% - Accent5 22" xfId="355" xr:uid="{00000000-0005-0000-0000-000099050000}"/>
    <cellStyle name="20% - Accent5 23" xfId="356" xr:uid="{00000000-0005-0000-0000-00009A050000}"/>
    <cellStyle name="20% - Accent5 24" xfId="357" xr:uid="{00000000-0005-0000-0000-00009B050000}"/>
    <cellStyle name="20% - Accent5 25" xfId="358" xr:uid="{00000000-0005-0000-0000-00009C050000}"/>
    <cellStyle name="20% - Accent5 26" xfId="359" xr:uid="{00000000-0005-0000-0000-00009D050000}"/>
    <cellStyle name="20% - Accent5 27" xfId="360" xr:uid="{00000000-0005-0000-0000-00009E050000}"/>
    <cellStyle name="20% - Accent5 28" xfId="361" xr:uid="{00000000-0005-0000-0000-00009F050000}"/>
    <cellStyle name="20% - Accent5 29" xfId="362" xr:uid="{00000000-0005-0000-0000-0000A0050000}"/>
    <cellStyle name="20% - Accent5 3" xfId="363" xr:uid="{00000000-0005-0000-0000-0000A1050000}"/>
    <cellStyle name="20% - Accent5 3 2" xfId="3300" xr:uid="{00000000-0005-0000-0000-0000A2050000}"/>
    <cellStyle name="20% - Accent5 3 2 2" xfId="3301" xr:uid="{00000000-0005-0000-0000-0000A3050000}"/>
    <cellStyle name="20% - Accent5 3 2 2 2" xfId="3302" xr:uid="{00000000-0005-0000-0000-0000A4050000}"/>
    <cellStyle name="20% - Accent5 3 2 2 2 2" xfId="3303" xr:uid="{00000000-0005-0000-0000-0000A5050000}"/>
    <cellStyle name="20% - Accent5 3 2 2 2 2 2" xfId="3304" xr:uid="{00000000-0005-0000-0000-0000A6050000}"/>
    <cellStyle name="20% - Accent5 3 2 2 2 2 2 2" xfId="3305" xr:uid="{00000000-0005-0000-0000-0000A7050000}"/>
    <cellStyle name="20% - Accent5 3 2 2 2 2 3" xfId="3306" xr:uid="{00000000-0005-0000-0000-0000A8050000}"/>
    <cellStyle name="20% - Accent5 3 2 2 2 3" xfId="3307" xr:uid="{00000000-0005-0000-0000-0000A9050000}"/>
    <cellStyle name="20% - Accent5 3 2 2 2 3 2" xfId="3308" xr:uid="{00000000-0005-0000-0000-0000AA050000}"/>
    <cellStyle name="20% - Accent5 3 2 2 2 4" xfId="3309" xr:uid="{00000000-0005-0000-0000-0000AB050000}"/>
    <cellStyle name="20% - Accent5 3 2 2 3" xfId="3310" xr:uid="{00000000-0005-0000-0000-0000AC050000}"/>
    <cellStyle name="20% - Accent5 3 2 2 3 2" xfId="3311" xr:uid="{00000000-0005-0000-0000-0000AD050000}"/>
    <cellStyle name="20% - Accent5 3 2 2 3 2 2" xfId="3312" xr:uid="{00000000-0005-0000-0000-0000AE050000}"/>
    <cellStyle name="20% - Accent5 3 2 2 3 3" xfId="3313" xr:uid="{00000000-0005-0000-0000-0000AF050000}"/>
    <cellStyle name="20% - Accent5 3 2 2 4" xfId="3314" xr:uid="{00000000-0005-0000-0000-0000B0050000}"/>
    <cellStyle name="20% - Accent5 3 2 2 4 2" xfId="3315" xr:uid="{00000000-0005-0000-0000-0000B1050000}"/>
    <cellStyle name="20% - Accent5 3 2 2 5" xfId="3316" xr:uid="{00000000-0005-0000-0000-0000B2050000}"/>
    <cellStyle name="20% - Accent5 3 2 2 6" xfId="3317" xr:uid="{00000000-0005-0000-0000-0000B3050000}"/>
    <cellStyle name="20% - Accent5 3 2 3" xfId="3318" xr:uid="{00000000-0005-0000-0000-0000B4050000}"/>
    <cellStyle name="20% - Accent5 3 2 3 2" xfId="3319" xr:uid="{00000000-0005-0000-0000-0000B5050000}"/>
    <cellStyle name="20% - Accent5 3 2 3 2 2" xfId="3320" xr:uid="{00000000-0005-0000-0000-0000B6050000}"/>
    <cellStyle name="20% - Accent5 3 2 3 2 2 2" xfId="3321" xr:uid="{00000000-0005-0000-0000-0000B7050000}"/>
    <cellStyle name="20% - Accent5 3 2 3 2 3" xfId="3322" xr:uid="{00000000-0005-0000-0000-0000B8050000}"/>
    <cellStyle name="20% - Accent5 3 2 3 3" xfId="3323" xr:uid="{00000000-0005-0000-0000-0000B9050000}"/>
    <cellStyle name="20% - Accent5 3 2 3 3 2" xfId="3324" xr:uid="{00000000-0005-0000-0000-0000BA050000}"/>
    <cellStyle name="20% - Accent5 3 2 3 4" xfId="3325" xr:uid="{00000000-0005-0000-0000-0000BB050000}"/>
    <cellStyle name="20% - Accent5 3 2 4" xfId="3326" xr:uid="{00000000-0005-0000-0000-0000BC050000}"/>
    <cellStyle name="20% - Accent5 3 2 4 2" xfId="3327" xr:uid="{00000000-0005-0000-0000-0000BD050000}"/>
    <cellStyle name="20% - Accent5 3 2 4 2 2" xfId="3328" xr:uid="{00000000-0005-0000-0000-0000BE050000}"/>
    <cellStyle name="20% - Accent5 3 2 4 3" xfId="3329" xr:uid="{00000000-0005-0000-0000-0000BF050000}"/>
    <cellStyle name="20% - Accent5 3 2 5" xfId="3330" xr:uid="{00000000-0005-0000-0000-0000C0050000}"/>
    <cellStyle name="20% - Accent5 3 2 5 2" xfId="3331" xr:uid="{00000000-0005-0000-0000-0000C1050000}"/>
    <cellStyle name="20% - Accent5 3 2 6" xfId="3332" xr:uid="{00000000-0005-0000-0000-0000C2050000}"/>
    <cellStyle name="20% - Accent5 3 2 7" xfId="3333" xr:uid="{00000000-0005-0000-0000-0000C3050000}"/>
    <cellStyle name="20% - Accent5 3 3" xfId="3334" xr:uid="{00000000-0005-0000-0000-0000C4050000}"/>
    <cellStyle name="20% - Accent5 3 3 2" xfId="3335" xr:uid="{00000000-0005-0000-0000-0000C5050000}"/>
    <cellStyle name="20% - Accent5 3 3 2 2" xfId="3336" xr:uid="{00000000-0005-0000-0000-0000C6050000}"/>
    <cellStyle name="20% - Accent5 3 3 2 2 2" xfId="3337" xr:uid="{00000000-0005-0000-0000-0000C7050000}"/>
    <cellStyle name="20% - Accent5 3 3 2 2 2 2" xfId="3338" xr:uid="{00000000-0005-0000-0000-0000C8050000}"/>
    <cellStyle name="20% - Accent5 3 3 2 2 3" xfId="3339" xr:uid="{00000000-0005-0000-0000-0000C9050000}"/>
    <cellStyle name="20% - Accent5 3 3 2 3" xfId="3340" xr:uid="{00000000-0005-0000-0000-0000CA050000}"/>
    <cellStyle name="20% - Accent5 3 3 2 3 2" xfId="3341" xr:uid="{00000000-0005-0000-0000-0000CB050000}"/>
    <cellStyle name="20% - Accent5 3 3 2 4" xfId="3342" xr:uid="{00000000-0005-0000-0000-0000CC050000}"/>
    <cellStyle name="20% - Accent5 3 3 3" xfId="3343" xr:uid="{00000000-0005-0000-0000-0000CD050000}"/>
    <cellStyle name="20% - Accent5 3 3 3 2" xfId="3344" xr:uid="{00000000-0005-0000-0000-0000CE050000}"/>
    <cellStyle name="20% - Accent5 3 3 3 2 2" xfId="3345" xr:uid="{00000000-0005-0000-0000-0000CF050000}"/>
    <cellStyle name="20% - Accent5 3 3 3 3" xfId="3346" xr:uid="{00000000-0005-0000-0000-0000D0050000}"/>
    <cellStyle name="20% - Accent5 3 3 4" xfId="3347" xr:uid="{00000000-0005-0000-0000-0000D1050000}"/>
    <cellStyle name="20% - Accent5 3 3 4 2" xfId="3348" xr:uid="{00000000-0005-0000-0000-0000D2050000}"/>
    <cellStyle name="20% - Accent5 3 3 5" xfId="3349" xr:uid="{00000000-0005-0000-0000-0000D3050000}"/>
    <cellStyle name="20% - Accent5 3 3 6" xfId="3350" xr:uid="{00000000-0005-0000-0000-0000D4050000}"/>
    <cellStyle name="20% - Accent5 3 4" xfId="3351" xr:uid="{00000000-0005-0000-0000-0000D5050000}"/>
    <cellStyle name="20% - Accent5 3 4 2" xfId="3352" xr:uid="{00000000-0005-0000-0000-0000D6050000}"/>
    <cellStyle name="20% - Accent5 3 4 2 2" xfId="3353" xr:uid="{00000000-0005-0000-0000-0000D7050000}"/>
    <cellStyle name="20% - Accent5 3 4 2 2 2" xfId="3354" xr:uid="{00000000-0005-0000-0000-0000D8050000}"/>
    <cellStyle name="20% - Accent5 3 4 2 3" xfId="3355" xr:uid="{00000000-0005-0000-0000-0000D9050000}"/>
    <cellStyle name="20% - Accent5 3 4 3" xfId="3356" xr:uid="{00000000-0005-0000-0000-0000DA050000}"/>
    <cellStyle name="20% - Accent5 3 4 3 2" xfId="3357" xr:uid="{00000000-0005-0000-0000-0000DB050000}"/>
    <cellStyle name="20% - Accent5 3 4 4" xfId="3358" xr:uid="{00000000-0005-0000-0000-0000DC050000}"/>
    <cellStyle name="20% - Accent5 3 4 5" xfId="3359" xr:uid="{00000000-0005-0000-0000-0000DD050000}"/>
    <cellStyle name="20% - Accent5 3 5" xfId="3360" xr:uid="{00000000-0005-0000-0000-0000DE050000}"/>
    <cellStyle name="20% - Accent5 3 5 2" xfId="3361" xr:uid="{00000000-0005-0000-0000-0000DF050000}"/>
    <cellStyle name="20% - Accent5 3 5 2 2" xfId="3362" xr:uid="{00000000-0005-0000-0000-0000E0050000}"/>
    <cellStyle name="20% - Accent5 3 5 3" xfId="3363" xr:uid="{00000000-0005-0000-0000-0000E1050000}"/>
    <cellStyle name="20% - Accent5 3 6" xfId="3364" xr:uid="{00000000-0005-0000-0000-0000E2050000}"/>
    <cellStyle name="20% - Accent5 3 6 2" xfId="3365" xr:uid="{00000000-0005-0000-0000-0000E3050000}"/>
    <cellStyle name="20% - Accent5 3 7" xfId="3366" xr:uid="{00000000-0005-0000-0000-0000E4050000}"/>
    <cellStyle name="20% - Accent5 3 8" xfId="3367" xr:uid="{00000000-0005-0000-0000-0000E5050000}"/>
    <cellStyle name="20% - Accent5 3 9" xfId="3368" xr:uid="{00000000-0005-0000-0000-0000E6050000}"/>
    <cellStyle name="20% - Accent5 30" xfId="364" xr:uid="{00000000-0005-0000-0000-0000E7050000}"/>
    <cellStyle name="20% - Accent5 31" xfId="365" xr:uid="{00000000-0005-0000-0000-0000E8050000}"/>
    <cellStyle name="20% - Accent5 32" xfId="366" xr:uid="{00000000-0005-0000-0000-0000E9050000}"/>
    <cellStyle name="20% - Accent5 33" xfId="367" xr:uid="{00000000-0005-0000-0000-0000EA050000}"/>
    <cellStyle name="20% - Accent5 34" xfId="368" xr:uid="{00000000-0005-0000-0000-0000EB050000}"/>
    <cellStyle name="20% - Accent5 35" xfId="369" xr:uid="{00000000-0005-0000-0000-0000EC050000}"/>
    <cellStyle name="20% - Accent5 4" xfId="370" xr:uid="{00000000-0005-0000-0000-0000ED050000}"/>
    <cellStyle name="20% - Accent5 4 2" xfId="3369" xr:uid="{00000000-0005-0000-0000-0000EE050000}"/>
    <cellStyle name="20% - Accent5 4 2 2" xfId="3370" xr:uid="{00000000-0005-0000-0000-0000EF050000}"/>
    <cellStyle name="20% - Accent5 4 2 2 2" xfId="3371" xr:uid="{00000000-0005-0000-0000-0000F0050000}"/>
    <cellStyle name="20% - Accent5 4 2 2 2 2" xfId="3372" xr:uid="{00000000-0005-0000-0000-0000F1050000}"/>
    <cellStyle name="20% - Accent5 4 2 2 2 2 2" xfId="3373" xr:uid="{00000000-0005-0000-0000-0000F2050000}"/>
    <cellStyle name="20% - Accent5 4 2 2 2 3" xfId="3374" xr:uid="{00000000-0005-0000-0000-0000F3050000}"/>
    <cellStyle name="20% - Accent5 4 2 2 3" xfId="3375" xr:uid="{00000000-0005-0000-0000-0000F4050000}"/>
    <cellStyle name="20% - Accent5 4 2 2 3 2" xfId="3376" xr:uid="{00000000-0005-0000-0000-0000F5050000}"/>
    <cellStyle name="20% - Accent5 4 2 2 4" xfId="3377" xr:uid="{00000000-0005-0000-0000-0000F6050000}"/>
    <cellStyle name="20% - Accent5 4 2 3" xfId="3378" xr:uid="{00000000-0005-0000-0000-0000F7050000}"/>
    <cellStyle name="20% - Accent5 4 2 3 2" xfId="3379" xr:uid="{00000000-0005-0000-0000-0000F8050000}"/>
    <cellStyle name="20% - Accent5 4 2 3 2 2" xfId="3380" xr:uid="{00000000-0005-0000-0000-0000F9050000}"/>
    <cellStyle name="20% - Accent5 4 2 3 3" xfId="3381" xr:uid="{00000000-0005-0000-0000-0000FA050000}"/>
    <cellStyle name="20% - Accent5 4 2 4" xfId="3382" xr:uid="{00000000-0005-0000-0000-0000FB050000}"/>
    <cellStyle name="20% - Accent5 4 2 4 2" xfId="3383" xr:uid="{00000000-0005-0000-0000-0000FC050000}"/>
    <cellStyle name="20% - Accent5 4 2 5" xfId="3384" xr:uid="{00000000-0005-0000-0000-0000FD050000}"/>
    <cellStyle name="20% - Accent5 4 2 6" xfId="3385" xr:uid="{00000000-0005-0000-0000-0000FE050000}"/>
    <cellStyle name="20% - Accent5 4 3" xfId="3386" xr:uid="{00000000-0005-0000-0000-0000FF050000}"/>
    <cellStyle name="20% - Accent5 4 3 2" xfId="3387" xr:uid="{00000000-0005-0000-0000-000000060000}"/>
    <cellStyle name="20% - Accent5 4 3 2 2" xfId="3388" xr:uid="{00000000-0005-0000-0000-000001060000}"/>
    <cellStyle name="20% - Accent5 4 3 2 2 2" xfId="3389" xr:uid="{00000000-0005-0000-0000-000002060000}"/>
    <cellStyle name="20% - Accent5 4 3 2 3" xfId="3390" xr:uid="{00000000-0005-0000-0000-000003060000}"/>
    <cellStyle name="20% - Accent5 4 3 3" xfId="3391" xr:uid="{00000000-0005-0000-0000-000004060000}"/>
    <cellStyle name="20% - Accent5 4 3 3 2" xfId="3392" xr:uid="{00000000-0005-0000-0000-000005060000}"/>
    <cellStyle name="20% - Accent5 4 3 4" xfId="3393" xr:uid="{00000000-0005-0000-0000-000006060000}"/>
    <cellStyle name="20% - Accent5 4 3 5" xfId="3394" xr:uid="{00000000-0005-0000-0000-000007060000}"/>
    <cellStyle name="20% - Accent5 4 4" xfId="3395" xr:uid="{00000000-0005-0000-0000-000008060000}"/>
    <cellStyle name="20% - Accent5 4 4 2" xfId="3396" xr:uid="{00000000-0005-0000-0000-000009060000}"/>
    <cellStyle name="20% - Accent5 4 4 2 2" xfId="3397" xr:uid="{00000000-0005-0000-0000-00000A060000}"/>
    <cellStyle name="20% - Accent5 4 4 3" xfId="3398" xr:uid="{00000000-0005-0000-0000-00000B060000}"/>
    <cellStyle name="20% - Accent5 4 5" xfId="3399" xr:uid="{00000000-0005-0000-0000-00000C060000}"/>
    <cellStyle name="20% - Accent5 4 5 2" xfId="3400" xr:uid="{00000000-0005-0000-0000-00000D060000}"/>
    <cellStyle name="20% - Accent5 4 6" xfId="3401" xr:uid="{00000000-0005-0000-0000-00000E060000}"/>
    <cellStyle name="20% - Accent5 4 7" xfId="3402" xr:uid="{00000000-0005-0000-0000-00000F060000}"/>
    <cellStyle name="20% - Accent5 5" xfId="371" xr:uid="{00000000-0005-0000-0000-000010060000}"/>
    <cellStyle name="20% - Accent5 5 2" xfId="3403" xr:uid="{00000000-0005-0000-0000-000011060000}"/>
    <cellStyle name="20% - Accent5 5 2 2" xfId="3404" xr:uid="{00000000-0005-0000-0000-000012060000}"/>
    <cellStyle name="20% - Accent5 5 2 2 2" xfId="3405" xr:uid="{00000000-0005-0000-0000-000013060000}"/>
    <cellStyle name="20% - Accent5 5 2 2 2 2" xfId="3406" xr:uid="{00000000-0005-0000-0000-000014060000}"/>
    <cellStyle name="20% - Accent5 5 2 2 3" xfId="3407" xr:uid="{00000000-0005-0000-0000-000015060000}"/>
    <cellStyle name="20% - Accent5 5 2 3" xfId="3408" xr:uid="{00000000-0005-0000-0000-000016060000}"/>
    <cellStyle name="20% - Accent5 5 2 3 2" xfId="3409" xr:uid="{00000000-0005-0000-0000-000017060000}"/>
    <cellStyle name="20% - Accent5 5 2 4" xfId="3410" xr:uid="{00000000-0005-0000-0000-000018060000}"/>
    <cellStyle name="20% - Accent5 5 2 5" xfId="3411" xr:uid="{00000000-0005-0000-0000-000019060000}"/>
    <cellStyle name="20% - Accent5 5 3" xfId="3412" xr:uid="{00000000-0005-0000-0000-00001A060000}"/>
    <cellStyle name="20% - Accent5 5 3 2" xfId="3413" xr:uid="{00000000-0005-0000-0000-00001B060000}"/>
    <cellStyle name="20% - Accent5 5 3 2 2" xfId="3414" xr:uid="{00000000-0005-0000-0000-00001C060000}"/>
    <cellStyle name="20% - Accent5 5 3 3" xfId="3415" xr:uid="{00000000-0005-0000-0000-00001D060000}"/>
    <cellStyle name="20% - Accent5 5 4" xfId="3416" xr:uid="{00000000-0005-0000-0000-00001E060000}"/>
    <cellStyle name="20% - Accent5 5 4 2" xfId="3417" xr:uid="{00000000-0005-0000-0000-00001F060000}"/>
    <cellStyle name="20% - Accent5 5 5" xfId="3418" xr:uid="{00000000-0005-0000-0000-000020060000}"/>
    <cellStyle name="20% - Accent5 5 6" xfId="3419" xr:uid="{00000000-0005-0000-0000-000021060000}"/>
    <cellStyle name="20% - Accent5 6" xfId="372" xr:uid="{00000000-0005-0000-0000-000022060000}"/>
    <cellStyle name="20% - Accent5 6 2" xfId="3420" xr:uid="{00000000-0005-0000-0000-000023060000}"/>
    <cellStyle name="20% - Accent5 6 2 2" xfId="3421" xr:uid="{00000000-0005-0000-0000-000024060000}"/>
    <cellStyle name="20% - Accent5 6 2 2 2" xfId="3422" xr:uid="{00000000-0005-0000-0000-000025060000}"/>
    <cellStyle name="20% - Accent5 6 2 3" xfId="3423" xr:uid="{00000000-0005-0000-0000-000026060000}"/>
    <cellStyle name="20% - Accent5 6 2 4" xfId="3424" xr:uid="{00000000-0005-0000-0000-000027060000}"/>
    <cellStyle name="20% - Accent5 6 2 5" xfId="3425" xr:uid="{00000000-0005-0000-0000-000028060000}"/>
    <cellStyle name="20% - Accent5 6 3" xfId="3426" xr:uid="{00000000-0005-0000-0000-000029060000}"/>
    <cellStyle name="20% - Accent5 6 3 2" xfId="3427" xr:uid="{00000000-0005-0000-0000-00002A060000}"/>
    <cellStyle name="20% - Accent5 6 4" xfId="3428" xr:uid="{00000000-0005-0000-0000-00002B060000}"/>
    <cellStyle name="20% - Accent5 6 5" xfId="3429" xr:uid="{00000000-0005-0000-0000-00002C060000}"/>
    <cellStyle name="20% - Accent5 7" xfId="373" xr:uid="{00000000-0005-0000-0000-00002D060000}"/>
    <cellStyle name="20% - Accent5 7 2" xfId="3430" xr:uid="{00000000-0005-0000-0000-00002E060000}"/>
    <cellStyle name="20% - Accent5 7 2 2" xfId="3431" xr:uid="{00000000-0005-0000-0000-00002F060000}"/>
    <cellStyle name="20% - Accent5 7 2 2 2" xfId="3432" xr:uid="{00000000-0005-0000-0000-000030060000}"/>
    <cellStyle name="20% - Accent5 7 2 3" xfId="3433" xr:uid="{00000000-0005-0000-0000-000031060000}"/>
    <cellStyle name="20% - Accent5 7 3" xfId="3434" xr:uid="{00000000-0005-0000-0000-000032060000}"/>
    <cellStyle name="20% - Accent5 7 3 2" xfId="3435" xr:uid="{00000000-0005-0000-0000-000033060000}"/>
    <cellStyle name="20% - Accent5 7 4" xfId="3436" xr:uid="{00000000-0005-0000-0000-000034060000}"/>
    <cellStyle name="20% - Accent5 7 5" xfId="3437" xr:uid="{00000000-0005-0000-0000-000035060000}"/>
    <cellStyle name="20% - Accent5 8" xfId="374" xr:uid="{00000000-0005-0000-0000-000036060000}"/>
    <cellStyle name="20% - Accent5 8 2" xfId="3438" xr:uid="{00000000-0005-0000-0000-000037060000}"/>
    <cellStyle name="20% - Accent5 8 2 2" xfId="3439" xr:uid="{00000000-0005-0000-0000-000038060000}"/>
    <cellStyle name="20% - Accent5 8 2 2 2" xfId="3440" xr:uid="{00000000-0005-0000-0000-000039060000}"/>
    <cellStyle name="20% - Accent5 8 2 3" xfId="3441" xr:uid="{00000000-0005-0000-0000-00003A060000}"/>
    <cellStyle name="20% - Accent5 8 3" xfId="3442" xr:uid="{00000000-0005-0000-0000-00003B060000}"/>
    <cellStyle name="20% - Accent5 8 3 2" xfId="3443" xr:uid="{00000000-0005-0000-0000-00003C060000}"/>
    <cellStyle name="20% - Accent5 8 4" xfId="3444" xr:uid="{00000000-0005-0000-0000-00003D060000}"/>
    <cellStyle name="20% - Accent5 8 5" xfId="3445" xr:uid="{00000000-0005-0000-0000-00003E060000}"/>
    <cellStyle name="20% - Accent5 9" xfId="375" xr:uid="{00000000-0005-0000-0000-00003F060000}"/>
    <cellStyle name="20% - Accent5 9 2" xfId="3446" xr:uid="{00000000-0005-0000-0000-000040060000}"/>
    <cellStyle name="20% - Accent5 9 2 2" xfId="3447" xr:uid="{00000000-0005-0000-0000-000041060000}"/>
    <cellStyle name="20% - Accent5 9 3" xfId="3448" xr:uid="{00000000-0005-0000-0000-000042060000}"/>
    <cellStyle name="20% - Accent5 9 4" xfId="3449" xr:uid="{00000000-0005-0000-0000-000043060000}"/>
    <cellStyle name="20% - Accent6" xfId="15192" builtinId="50" customBuiltin="1"/>
    <cellStyle name="20% - Accent6 10" xfId="376" xr:uid="{00000000-0005-0000-0000-000045060000}"/>
    <cellStyle name="20% - Accent6 10 2" xfId="3450" xr:uid="{00000000-0005-0000-0000-000046060000}"/>
    <cellStyle name="20% - Accent6 10 2 2" xfId="3451" xr:uid="{00000000-0005-0000-0000-000047060000}"/>
    <cellStyle name="20% - Accent6 10 3" xfId="3452" xr:uid="{00000000-0005-0000-0000-000048060000}"/>
    <cellStyle name="20% - Accent6 10 4" xfId="3453" xr:uid="{00000000-0005-0000-0000-000049060000}"/>
    <cellStyle name="20% - Accent6 11" xfId="377" xr:uid="{00000000-0005-0000-0000-00004A060000}"/>
    <cellStyle name="20% - Accent6 11 2" xfId="3454" xr:uid="{00000000-0005-0000-0000-00004B060000}"/>
    <cellStyle name="20% - Accent6 11 2 2" xfId="3455" xr:uid="{00000000-0005-0000-0000-00004C060000}"/>
    <cellStyle name="20% - Accent6 11 3" xfId="3456" xr:uid="{00000000-0005-0000-0000-00004D060000}"/>
    <cellStyle name="20% - Accent6 11 4" xfId="3457" xr:uid="{00000000-0005-0000-0000-00004E060000}"/>
    <cellStyle name="20% - Accent6 12" xfId="378" xr:uid="{00000000-0005-0000-0000-00004F060000}"/>
    <cellStyle name="20% - Accent6 12 2" xfId="3458" xr:uid="{00000000-0005-0000-0000-000050060000}"/>
    <cellStyle name="20% - Accent6 12 3" xfId="3459" xr:uid="{00000000-0005-0000-0000-000051060000}"/>
    <cellStyle name="20% - Accent6 13" xfId="379" xr:uid="{00000000-0005-0000-0000-000052060000}"/>
    <cellStyle name="20% - Accent6 13 2" xfId="3460" xr:uid="{00000000-0005-0000-0000-000053060000}"/>
    <cellStyle name="20% - Accent6 14" xfId="380" xr:uid="{00000000-0005-0000-0000-000054060000}"/>
    <cellStyle name="20% - Accent6 15" xfId="381" xr:uid="{00000000-0005-0000-0000-000055060000}"/>
    <cellStyle name="20% - Accent6 15 2" xfId="382" xr:uid="{00000000-0005-0000-0000-000056060000}"/>
    <cellStyle name="20% - Accent6 15 3" xfId="383" xr:uid="{00000000-0005-0000-0000-000057060000}"/>
    <cellStyle name="20% - Accent6 15 4" xfId="384" xr:uid="{00000000-0005-0000-0000-000058060000}"/>
    <cellStyle name="20% - Accent6 15 5" xfId="385" xr:uid="{00000000-0005-0000-0000-000059060000}"/>
    <cellStyle name="20% - Accent6 16" xfId="386" xr:uid="{00000000-0005-0000-0000-00005A060000}"/>
    <cellStyle name="20% - Accent6 16 2" xfId="387" xr:uid="{00000000-0005-0000-0000-00005B060000}"/>
    <cellStyle name="20% - Accent6 16 3" xfId="388" xr:uid="{00000000-0005-0000-0000-00005C060000}"/>
    <cellStyle name="20% - Accent6 16 4" xfId="389" xr:uid="{00000000-0005-0000-0000-00005D060000}"/>
    <cellStyle name="20% - Accent6 16 5" xfId="390" xr:uid="{00000000-0005-0000-0000-00005E060000}"/>
    <cellStyle name="20% - Accent6 17" xfId="391" xr:uid="{00000000-0005-0000-0000-00005F060000}"/>
    <cellStyle name="20% - Accent6 17 2" xfId="392" xr:uid="{00000000-0005-0000-0000-000060060000}"/>
    <cellStyle name="20% - Accent6 17 3" xfId="393" xr:uid="{00000000-0005-0000-0000-000061060000}"/>
    <cellStyle name="20% - Accent6 17 4" xfId="394" xr:uid="{00000000-0005-0000-0000-000062060000}"/>
    <cellStyle name="20% - Accent6 17 5" xfId="395" xr:uid="{00000000-0005-0000-0000-000063060000}"/>
    <cellStyle name="20% - Accent6 18" xfId="396" xr:uid="{00000000-0005-0000-0000-000064060000}"/>
    <cellStyle name="20% - Accent6 19" xfId="397" xr:uid="{00000000-0005-0000-0000-000065060000}"/>
    <cellStyle name="20% - Accent6 2" xfId="398" xr:uid="{00000000-0005-0000-0000-000066060000}"/>
    <cellStyle name="20% - Accent6 2 2" xfId="399" xr:uid="{00000000-0005-0000-0000-000067060000}"/>
    <cellStyle name="20% - Accent6 2 2 2" xfId="400" xr:uid="{00000000-0005-0000-0000-000068060000}"/>
    <cellStyle name="20% - Accent6 2 2 2 2" xfId="401" xr:uid="{00000000-0005-0000-0000-000069060000}"/>
    <cellStyle name="20% - Accent6 2 2 2 2 2" xfId="3461" xr:uid="{00000000-0005-0000-0000-00006A060000}"/>
    <cellStyle name="20% - Accent6 2 2 2 2 2 2" xfId="3462" xr:uid="{00000000-0005-0000-0000-00006B060000}"/>
    <cellStyle name="20% - Accent6 2 2 2 2 2 2 2" xfId="3463" xr:uid="{00000000-0005-0000-0000-00006C060000}"/>
    <cellStyle name="20% - Accent6 2 2 2 2 2 3" xfId="3464" xr:uid="{00000000-0005-0000-0000-00006D060000}"/>
    <cellStyle name="20% - Accent6 2 2 2 2 3" xfId="3465" xr:uid="{00000000-0005-0000-0000-00006E060000}"/>
    <cellStyle name="20% - Accent6 2 2 2 2 3 2" xfId="3466" xr:uid="{00000000-0005-0000-0000-00006F060000}"/>
    <cellStyle name="20% - Accent6 2 2 2 2 4" xfId="3467" xr:uid="{00000000-0005-0000-0000-000070060000}"/>
    <cellStyle name="20% - Accent6 2 2 2 2 5" xfId="3468" xr:uid="{00000000-0005-0000-0000-000071060000}"/>
    <cellStyle name="20% - Accent6 2 2 2 3" xfId="402" xr:uid="{00000000-0005-0000-0000-000072060000}"/>
    <cellStyle name="20% - Accent6 2 2 2 3 2" xfId="3469" xr:uid="{00000000-0005-0000-0000-000073060000}"/>
    <cellStyle name="20% - Accent6 2 2 2 3 2 2" xfId="3470" xr:uid="{00000000-0005-0000-0000-000074060000}"/>
    <cellStyle name="20% - Accent6 2 2 2 3 3" xfId="3471" xr:uid="{00000000-0005-0000-0000-000075060000}"/>
    <cellStyle name="20% - Accent6 2 2 2 4" xfId="403" xr:uid="{00000000-0005-0000-0000-000076060000}"/>
    <cellStyle name="20% - Accent6 2 2 2 4 2" xfId="3472" xr:uid="{00000000-0005-0000-0000-000077060000}"/>
    <cellStyle name="20% - Accent6 2 2 2 5" xfId="404" xr:uid="{00000000-0005-0000-0000-000078060000}"/>
    <cellStyle name="20% - Accent6 2 2 2 6" xfId="3473" xr:uid="{00000000-0005-0000-0000-000079060000}"/>
    <cellStyle name="20% - Accent6 2 2 3" xfId="405" xr:uid="{00000000-0005-0000-0000-00007A060000}"/>
    <cellStyle name="20% - Accent6 2 2 3 2" xfId="3474" xr:uid="{00000000-0005-0000-0000-00007B060000}"/>
    <cellStyle name="20% - Accent6 2 2 3 2 2" xfId="3475" xr:uid="{00000000-0005-0000-0000-00007C060000}"/>
    <cellStyle name="20% - Accent6 2 2 3 2 2 2" xfId="3476" xr:uid="{00000000-0005-0000-0000-00007D060000}"/>
    <cellStyle name="20% - Accent6 2 2 3 2 3" xfId="3477" xr:uid="{00000000-0005-0000-0000-00007E060000}"/>
    <cellStyle name="20% - Accent6 2 2 3 3" xfId="3478" xr:uid="{00000000-0005-0000-0000-00007F060000}"/>
    <cellStyle name="20% - Accent6 2 2 3 3 2" xfId="3479" xr:uid="{00000000-0005-0000-0000-000080060000}"/>
    <cellStyle name="20% - Accent6 2 2 3 4" xfId="3480" xr:uid="{00000000-0005-0000-0000-000081060000}"/>
    <cellStyle name="20% - Accent6 2 2 3 5" xfId="3481" xr:uid="{00000000-0005-0000-0000-000082060000}"/>
    <cellStyle name="20% - Accent6 2 2 4" xfId="406" xr:uid="{00000000-0005-0000-0000-000083060000}"/>
    <cellStyle name="20% - Accent6 2 2 4 2" xfId="3482" xr:uid="{00000000-0005-0000-0000-000084060000}"/>
    <cellStyle name="20% - Accent6 2 2 4 2 2" xfId="3483" xr:uid="{00000000-0005-0000-0000-000085060000}"/>
    <cellStyle name="20% - Accent6 2 2 4 3" xfId="3484" xr:uid="{00000000-0005-0000-0000-000086060000}"/>
    <cellStyle name="20% - Accent6 2 2 5" xfId="407" xr:uid="{00000000-0005-0000-0000-000087060000}"/>
    <cellStyle name="20% - Accent6 2 2 5 2" xfId="3485" xr:uid="{00000000-0005-0000-0000-000088060000}"/>
    <cellStyle name="20% - Accent6 2 2 6" xfId="3486" xr:uid="{00000000-0005-0000-0000-000089060000}"/>
    <cellStyle name="20% - Accent6 2 2 7" xfId="3487" xr:uid="{00000000-0005-0000-0000-00008A060000}"/>
    <cellStyle name="20% - Accent6 2 3" xfId="408" xr:uid="{00000000-0005-0000-0000-00008B060000}"/>
    <cellStyle name="20% - Accent6 2 3 2" xfId="3488" xr:uid="{00000000-0005-0000-0000-00008C060000}"/>
    <cellStyle name="20% - Accent6 2 3 2 2" xfId="3489" xr:uid="{00000000-0005-0000-0000-00008D060000}"/>
    <cellStyle name="20% - Accent6 2 3 2 2 2" xfId="3490" xr:uid="{00000000-0005-0000-0000-00008E060000}"/>
    <cellStyle name="20% - Accent6 2 3 2 2 2 2" xfId="3491" xr:uid="{00000000-0005-0000-0000-00008F060000}"/>
    <cellStyle name="20% - Accent6 2 3 2 2 3" xfId="3492" xr:uid="{00000000-0005-0000-0000-000090060000}"/>
    <cellStyle name="20% - Accent6 2 3 2 3" xfId="3493" xr:uid="{00000000-0005-0000-0000-000091060000}"/>
    <cellStyle name="20% - Accent6 2 3 2 3 2" xfId="3494" xr:uid="{00000000-0005-0000-0000-000092060000}"/>
    <cellStyle name="20% - Accent6 2 3 2 4" xfId="3495" xr:uid="{00000000-0005-0000-0000-000093060000}"/>
    <cellStyle name="20% - Accent6 2 3 3" xfId="3496" xr:uid="{00000000-0005-0000-0000-000094060000}"/>
    <cellStyle name="20% - Accent6 2 3 3 2" xfId="3497" xr:uid="{00000000-0005-0000-0000-000095060000}"/>
    <cellStyle name="20% - Accent6 2 3 3 2 2" xfId="3498" xr:uid="{00000000-0005-0000-0000-000096060000}"/>
    <cellStyle name="20% - Accent6 2 3 3 3" xfId="3499" xr:uid="{00000000-0005-0000-0000-000097060000}"/>
    <cellStyle name="20% - Accent6 2 3 4" xfId="3500" xr:uid="{00000000-0005-0000-0000-000098060000}"/>
    <cellStyle name="20% - Accent6 2 3 4 2" xfId="3501" xr:uid="{00000000-0005-0000-0000-000099060000}"/>
    <cellStyle name="20% - Accent6 2 3 5" xfId="3502" xr:uid="{00000000-0005-0000-0000-00009A060000}"/>
    <cellStyle name="20% - Accent6 2 3 6" xfId="3503" xr:uid="{00000000-0005-0000-0000-00009B060000}"/>
    <cellStyle name="20% - Accent6 2 4" xfId="409" xr:uid="{00000000-0005-0000-0000-00009C060000}"/>
    <cellStyle name="20% - Accent6 2 4 2" xfId="3504" xr:uid="{00000000-0005-0000-0000-00009D060000}"/>
    <cellStyle name="20% - Accent6 2 4 2 2" xfId="3505" xr:uid="{00000000-0005-0000-0000-00009E060000}"/>
    <cellStyle name="20% - Accent6 2 4 2 2 2" xfId="3506" xr:uid="{00000000-0005-0000-0000-00009F060000}"/>
    <cellStyle name="20% - Accent6 2 4 2 3" xfId="3507" xr:uid="{00000000-0005-0000-0000-0000A0060000}"/>
    <cellStyle name="20% - Accent6 2 4 3" xfId="3508" xr:uid="{00000000-0005-0000-0000-0000A1060000}"/>
    <cellStyle name="20% - Accent6 2 4 3 2" xfId="3509" xr:uid="{00000000-0005-0000-0000-0000A2060000}"/>
    <cellStyle name="20% - Accent6 2 4 4" xfId="3510" xr:uid="{00000000-0005-0000-0000-0000A3060000}"/>
    <cellStyle name="20% - Accent6 2 4 5" xfId="3511" xr:uid="{00000000-0005-0000-0000-0000A4060000}"/>
    <cellStyle name="20% - Accent6 2 5" xfId="410" xr:uid="{00000000-0005-0000-0000-0000A5060000}"/>
    <cellStyle name="20% - Accent6 2 5 2" xfId="3512" xr:uid="{00000000-0005-0000-0000-0000A6060000}"/>
    <cellStyle name="20% - Accent6 2 5 2 2" xfId="3513" xr:uid="{00000000-0005-0000-0000-0000A7060000}"/>
    <cellStyle name="20% - Accent6 2 5 3" xfId="3514" xr:uid="{00000000-0005-0000-0000-0000A8060000}"/>
    <cellStyle name="20% - Accent6 2 5 4" xfId="3515" xr:uid="{00000000-0005-0000-0000-0000A9060000}"/>
    <cellStyle name="20% - Accent6 2 6" xfId="411" xr:uid="{00000000-0005-0000-0000-0000AA060000}"/>
    <cellStyle name="20% - Accent6 2 6 2" xfId="3516" xr:uid="{00000000-0005-0000-0000-0000AB060000}"/>
    <cellStyle name="20% - Accent6 2 6 3" xfId="3517" xr:uid="{00000000-0005-0000-0000-0000AC060000}"/>
    <cellStyle name="20% - Accent6 2 7" xfId="412" xr:uid="{00000000-0005-0000-0000-0000AD060000}"/>
    <cellStyle name="20% - Accent6 2 8" xfId="413" xr:uid="{00000000-0005-0000-0000-0000AE060000}"/>
    <cellStyle name="20% - Accent6 2 9" xfId="414" xr:uid="{00000000-0005-0000-0000-0000AF060000}"/>
    <cellStyle name="20% - Accent6 20" xfId="415" xr:uid="{00000000-0005-0000-0000-0000B0060000}"/>
    <cellStyle name="20% - Accent6 21" xfId="416" xr:uid="{00000000-0005-0000-0000-0000B1060000}"/>
    <cellStyle name="20% - Accent6 22" xfId="417" xr:uid="{00000000-0005-0000-0000-0000B2060000}"/>
    <cellStyle name="20% - Accent6 23" xfId="418" xr:uid="{00000000-0005-0000-0000-0000B3060000}"/>
    <cellStyle name="20% - Accent6 24" xfId="419" xr:uid="{00000000-0005-0000-0000-0000B4060000}"/>
    <cellStyle name="20% - Accent6 25" xfId="420" xr:uid="{00000000-0005-0000-0000-0000B5060000}"/>
    <cellStyle name="20% - Accent6 26" xfId="421" xr:uid="{00000000-0005-0000-0000-0000B6060000}"/>
    <cellStyle name="20% - Accent6 27" xfId="422" xr:uid="{00000000-0005-0000-0000-0000B7060000}"/>
    <cellStyle name="20% - Accent6 28" xfId="423" xr:uid="{00000000-0005-0000-0000-0000B8060000}"/>
    <cellStyle name="20% - Accent6 29" xfId="424" xr:uid="{00000000-0005-0000-0000-0000B9060000}"/>
    <cellStyle name="20% - Accent6 3" xfId="425" xr:uid="{00000000-0005-0000-0000-0000BA060000}"/>
    <cellStyle name="20% - Accent6 3 2" xfId="3518" xr:uid="{00000000-0005-0000-0000-0000BB060000}"/>
    <cellStyle name="20% - Accent6 3 2 2" xfId="3519" xr:uid="{00000000-0005-0000-0000-0000BC060000}"/>
    <cellStyle name="20% - Accent6 3 2 2 2" xfId="3520" xr:uid="{00000000-0005-0000-0000-0000BD060000}"/>
    <cellStyle name="20% - Accent6 3 2 2 2 2" xfId="3521" xr:uid="{00000000-0005-0000-0000-0000BE060000}"/>
    <cellStyle name="20% - Accent6 3 2 2 2 2 2" xfId="3522" xr:uid="{00000000-0005-0000-0000-0000BF060000}"/>
    <cellStyle name="20% - Accent6 3 2 2 2 2 2 2" xfId="3523" xr:uid="{00000000-0005-0000-0000-0000C0060000}"/>
    <cellStyle name="20% - Accent6 3 2 2 2 2 3" xfId="3524" xr:uid="{00000000-0005-0000-0000-0000C1060000}"/>
    <cellStyle name="20% - Accent6 3 2 2 2 3" xfId="3525" xr:uid="{00000000-0005-0000-0000-0000C2060000}"/>
    <cellStyle name="20% - Accent6 3 2 2 2 3 2" xfId="3526" xr:uid="{00000000-0005-0000-0000-0000C3060000}"/>
    <cellStyle name="20% - Accent6 3 2 2 2 4" xfId="3527" xr:uid="{00000000-0005-0000-0000-0000C4060000}"/>
    <cellStyle name="20% - Accent6 3 2 2 3" xfId="3528" xr:uid="{00000000-0005-0000-0000-0000C5060000}"/>
    <cellStyle name="20% - Accent6 3 2 2 3 2" xfId="3529" xr:uid="{00000000-0005-0000-0000-0000C6060000}"/>
    <cellStyle name="20% - Accent6 3 2 2 3 2 2" xfId="3530" xr:uid="{00000000-0005-0000-0000-0000C7060000}"/>
    <cellStyle name="20% - Accent6 3 2 2 3 3" xfId="3531" xr:uid="{00000000-0005-0000-0000-0000C8060000}"/>
    <cellStyle name="20% - Accent6 3 2 2 4" xfId="3532" xr:uid="{00000000-0005-0000-0000-0000C9060000}"/>
    <cellStyle name="20% - Accent6 3 2 2 4 2" xfId="3533" xr:uid="{00000000-0005-0000-0000-0000CA060000}"/>
    <cellStyle name="20% - Accent6 3 2 2 5" xfId="3534" xr:uid="{00000000-0005-0000-0000-0000CB060000}"/>
    <cellStyle name="20% - Accent6 3 2 2 6" xfId="3535" xr:uid="{00000000-0005-0000-0000-0000CC060000}"/>
    <cellStyle name="20% - Accent6 3 2 3" xfId="3536" xr:uid="{00000000-0005-0000-0000-0000CD060000}"/>
    <cellStyle name="20% - Accent6 3 2 3 2" xfId="3537" xr:uid="{00000000-0005-0000-0000-0000CE060000}"/>
    <cellStyle name="20% - Accent6 3 2 3 2 2" xfId="3538" xr:uid="{00000000-0005-0000-0000-0000CF060000}"/>
    <cellStyle name="20% - Accent6 3 2 3 2 2 2" xfId="3539" xr:uid="{00000000-0005-0000-0000-0000D0060000}"/>
    <cellStyle name="20% - Accent6 3 2 3 2 3" xfId="3540" xr:uid="{00000000-0005-0000-0000-0000D1060000}"/>
    <cellStyle name="20% - Accent6 3 2 3 3" xfId="3541" xr:uid="{00000000-0005-0000-0000-0000D2060000}"/>
    <cellStyle name="20% - Accent6 3 2 3 3 2" xfId="3542" xr:uid="{00000000-0005-0000-0000-0000D3060000}"/>
    <cellStyle name="20% - Accent6 3 2 3 4" xfId="3543" xr:uid="{00000000-0005-0000-0000-0000D4060000}"/>
    <cellStyle name="20% - Accent6 3 2 4" xfId="3544" xr:uid="{00000000-0005-0000-0000-0000D5060000}"/>
    <cellStyle name="20% - Accent6 3 2 4 2" xfId="3545" xr:uid="{00000000-0005-0000-0000-0000D6060000}"/>
    <cellStyle name="20% - Accent6 3 2 4 2 2" xfId="3546" xr:uid="{00000000-0005-0000-0000-0000D7060000}"/>
    <cellStyle name="20% - Accent6 3 2 4 3" xfId="3547" xr:uid="{00000000-0005-0000-0000-0000D8060000}"/>
    <cellStyle name="20% - Accent6 3 2 5" xfId="3548" xr:uid="{00000000-0005-0000-0000-0000D9060000}"/>
    <cellStyle name="20% - Accent6 3 2 5 2" xfId="3549" xr:uid="{00000000-0005-0000-0000-0000DA060000}"/>
    <cellStyle name="20% - Accent6 3 2 6" xfId="3550" xr:uid="{00000000-0005-0000-0000-0000DB060000}"/>
    <cellStyle name="20% - Accent6 3 2 7" xfId="3551" xr:uid="{00000000-0005-0000-0000-0000DC060000}"/>
    <cellStyle name="20% - Accent6 3 3" xfId="3552" xr:uid="{00000000-0005-0000-0000-0000DD060000}"/>
    <cellStyle name="20% - Accent6 3 3 2" xfId="3553" xr:uid="{00000000-0005-0000-0000-0000DE060000}"/>
    <cellStyle name="20% - Accent6 3 3 2 2" xfId="3554" xr:uid="{00000000-0005-0000-0000-0000DF060000}"/>
    <cellStyle name="20% - Accent6 3 3 2 2 2" xfId="3555" xr:uid="{00000000-0005-0000-0000-0000E0060000}"/>
    <cellStyle name="20% - Accent6 3 3 2 2 2 2" xfId="3556" xr:uid="{00000000-0005-0000-0000-0000E1060000}"/>
    <cellStyle name="20% - Accent6 3 3 2 2 3" xfId="3557" xr:uid="{00000000-0005-0000-0000-0000E2060000}"/>
    <cellStyle name="20% - Accent6 3 3 2 3" xfId="3558" xr:uid="{00000000-0005-0000-0000-0000E3060000}"/>
    <cellStyle name="20% - Accent6 3 3 2 3 2" xfId="3559" xr:uid="{00000000-0005-0000-0000-0000E4060000}"/>
    <cellStyle name="20% - Accent6 3 3 2 4" xfId="3560" xr:uid="{00000000-0005-0000-0000-0000E5060000}"/>
    <cellStyle name="20% - Accent6 3 3 3" xfId="3561" xr:uid="{00000000-0005-0000-0000-0000E6060000}"/>
    <cellStyle name="20% - Accent6 3 3 3 2" xfId="3562" xr:uid="{00000000-0005-0000-0000-0000E7060000}"/>
    <cellStyle name="20% - Accent6 3 3 3 2 2" xfId="3563" xr:uid="{00000000-0005-0000-0000-0000E8060000}"/>
    <cellStyle name="20% - Accent6 3 3 3 3" xfId="3564" xr:uid="{00000000-0005-0000-0000-0000E9060000}"/>
    <cellStyle name="20% - Accent6 3 3 4" xfId="3565" xr:uid="{00000000-0005-0000-0000-0000EA060000}"/>
    <cellStyle name="20% - Accent6 3 3 4 2" xfId="3566" xr:uid="{00000000-0005-0000-0000-0000EB060000}"/>
    <cellStyle name="20% - Accent6 3 3 5" xfId="3567" xr:uid="{00000000-0005-0000-0000-0000EC060000}"/>
    <cellStyle name="20% - Accent6 3 3 6" xfId="3568" xr:uid="{00000000-0005-0000-0000-0000ED060000}"/>
    <cellStyle name="20% - Accent6 3 4" xfId="3569" xr:uid="{00000000-0005-0000-0000-0000EE060000}"/>
    <cellStyle name="20% - Accent6 3 4 2" xfId="3570" xr:uid="{00000000-0005-0000-0000-0000EF060000}"/>
    <cellStyle name="20% - Accent6 3 4 2 2" xfId="3571" xr:uid="{00000000-0005-0000-0000-0000F0060000}"/>
    <cellStyle name="20% - Accent6 3 4 2 2 2" xfId="3572" xr:uid="{00000000-0005-0000-0000-0000F1060000}"/>
    <cellStyle name="20% - Accent6 3 4 2 3" xfId="3573" xr:uid="{00000000-0005-0000-0000-0000F2060000}"/>
    <cellStyle name="20% - Accent6 3 4 3" xfId="3574" xr:uid="{00000000-0005-0000-0000-0000F3060000}"/>
    <cellStyle name="20% - Accent6 3 4 3 2" xfId="3575" xr:uid="{00000000-0005-0000-0000-0000F4060000}"/>
    <cellStyle name="20% - Accent6 3 4 4" xfId="3576" xr:uid="{00000000-0005-0000-0000-0000F5060000}"/>
    <cellStyle name="20% - Accent6 3 4 5" xfId="3577" xr:uid="{00000000-0005-0000-0000-0000F6060000}"/>
    <cellStyle name="20% - Accent6 3 5" xfId="3578" xr:uid="{00000000-0005-0000-0000-0000F7060000}"/>
    <cellStyle name="20% - Accent6 3 5 2" xfId="3579" xr:uid="{00000000-0005-0000-0000-0000F8060000}"/>
    <cellStyle name="20% - Accent6 3 5 2 2" xfId="3580" xr:uid="{00000000-0005-0000-0000-0000F9060000}"/>
    <cellStyle name="20% - Accent6 3 5 3" xfId="3581" xr:uid="{00000000-0005-0000-0000-0000FA060000}"/>
    <cellStyle name="20% - Accent6 3 6" xfId="3582" xr:uid="{00000000-0005-0000-0000-0000FB060000}"/>
    <cellStyle name="20% - Accent6 3 6 2" xfId="3583" xr:uid="{00000000-0005-0000-0000-0000FC060000}"/>
    <cellStyle name="20% - Accent6 3 7" xfId="3584" xr:uid="{00000000-0005-0000-0000-0000FD060000}"/>
    <cellStyle name="20% - Accent6 3 8" xfId="3585" xr:uid="{00000000-0005-0000-0000-0000FE060000}"/>
    <cellStyle name="20% - Accent6 3 9" xfId="3586" xr:uid="{00000000-0005-0000-0000-0000FF060000}"/>
    <cellStyle name="20% - Accent6 30" xfId="426" xr:uid="{00000000-0005-0000-0000-000000070000}"/>
    <cellStyle name="20% - Accent6 31" xfId="427" xr:uid="{00000000-0005-0000-0000-000001070000}"/>
    <cellStyle name="20% - Accent6 32" xfId="428" xr:uid="{00000000-0005-0000-0000-000002070000}"/>
    <cellStyle name="20% - Accent6 33" xfId="429" xr:uid="{00000000-0005-0000-0000-000003070000}"/>
    <cellStyle name="20% - Accent6 34" xfId="430" xr:uid="{00000000-0005-0000-0000-000004070000}"/>
    <cellStyle name="20% - Accent6 35" xfId="431" xr:uid="{00000000-0005-0000-0000-000005070000}"/>
    <cellStyle name="20% - Accent6 4" xfId="432" xr:uid="{00000000-0005-0000-0000-000006070000}"/>
    <cellStyle name="20% - Accent6 4 2" xfId="3587" xr:uid="{00000000-0005-0000-0000-000007070000}"/>
    <cellStyle name="20% - Accent6 4 2 2" xfId="3588" xr:uid="{00000000-0005-0000-0000-000008070000}"/>
    <cellStyle name="20% - Accent6 4 2 2 2" xfId="3589" xr:uid="{00000000-0005-0000-0000-000009070000}"/>
    <cellStyle name="20% - Accent6 4 2 2 2 2" xfId="3590" xr:uid="{00000000-0005-0000-0000-00000A070000}"/>
    <cellStyle name="20% - Accent6 4 2 2 2 2 2" xfId="3591" xr:uid="{00000000-0005-0000-0000-00000B070000}"/>
    <cellStyle name="20% - Accent6 4 2 2 2 3" xfId="3592" xr:uid="{00000000-0005-0000-0000-00000C070000}"/>
    <cellStyle name="20% - Accent6 4 2 2 3" xfId="3593" xr:uid="{00000000-0005-0000-0000-00000D070000}"/>
    <cellStyle name="20% - Accent6 4 2 2 3 2" xfId="3594" xr:uid="{00000000-0005-0000-0000-00000E070000}"/>
    <cellStyle name="20% - Accent6 4 2 2 4" xfId="3595" xr:uid="{00000000-0005-0000-0000-00000F070000}"/>
    <cellStyle name="20% - Accent6 4 2 3" xfId="3596" xr:uid="{00000000-0005-0000-0000-000010070000}"/>
    <cellStyle name="20% - Accent6 4 2 3 2" xfId="3597" xr:uid="{00000000-0005-0000-0000-000011070000}"/>
    <cellStyle name="20% - Accent6 4 2 3 2 2" xfId="3598" xr:uid="{00000000-0005-0000-0000-000012070000}"/>
    <cellStyle name="20% - Accent6 4 2 3 3" xfId="3599" xr:uid="{00000000-0005-0000-0000-000013070000}"/>
    <cellStyle name="20% - Accent6 4 2 4" xfId="3600" xr:uid="{00000000-0005-0000-0000-000014070000}"/>
    <cellStyle name="20% - Accent6 4 2 4 2" xfId="3601" xr:uid="{00000000-0005-0000-0000-000015070000}"/>
    <cellStyle name="20% - Accent6 4 2 5" xfId="3602" xr:uid="{00000000-0005-0000-0000-000016070000}"/>
    <cellStyle name="20% - Accent6 4 2 6" xfId="3603" xr:uid="{00000000-0005-0000-0000-000017070000}"/>
    <cellStyle name="20% - Accent6 4 3" xfId="3604" xr:uid="{00000000-0005-0000-0000-000018070000}"/>
    <cellStyle name="20% - Accent6 4 3 2" xfId="3605" xr:uid="{00000000-0005-0000-0000-000019070000}"/>
    <cellStyle name="20% - Accent6 4 3 2 2" xfId="3606" xr:uid="{00000000-0005-0000-0000-00001A070000}"/>
    <cellStyle name="20% - Accent6 4 3 2 2 2" xfId="3607" xr:uid="{00000000-0005-0000-0000-00001B070000}"/>
    <cellStyle name="20% - Accent6 4 3 2 3" xfId="3608" xr:uid="{00000000-0005-0000-0000-00001C070000}"/>
    <cellStyle name="20% - Accent6 4 3 3" xfId="3609" xr:uid="{00000000-0005-0000-0000-00001D070000}"/>
    <cellStyle name="20% - Accent6 4 3 3 2" xfId="3610" xr:uid="{00000000-0005-0000-0000-00001E070000}"/>
    <cellStyle name="20% - Accent6 4 3 4" xfId="3611" xr:uid="{00000000-0005-0000-0000-00001F070000}"/>
    <cellStyle name="20% - Accent6 4 3 5" xfId="3612" xr:uid="{00000000-0005-0000-0000-000020070000}"/>
    <cellStyle name="20% - Accent6 4 4" xfId="3613" xr:uid="{00000000-0005-0000-0000-000021070000}"/>
    <cellStyle name="20% - Accent6 4 4 2" xfId="3614" xr:uid="{00000000-0005-0000-0000-000022070000}"/>
    <cellStyle name="20% - Accent6 4 4 2 2" xfId="3615" xr:uid="{00000000-0005-0000-0000-000023070000}"/>
    <cellStyle name="20% - Accent6 4 4 3" xfId="3616" xr:uid="{00000000-0005-0000-0000-000024070000}"/>
    <cellStyle name="20% - Accent6 4 5" xfId="3617" xr:uid="{00000000-0005-0000-0000-000025070000}"/>
    <cellStyle name="20% - Accent6 4 5 2" xfId="3618" xr:uid="{00000000-0005-0000-0000-000026070000}"/>
    <cellStyle name="20% - Accent6 4 6" xfId="3619" xr:uid="{00000000-0005-0000-0000-000027070000}"/>
    <cellStyle name="20% - Accent6 4 7" xfId="3620" xr:uid="{00000000-0005-0000-0000-000028070000}"/>
    <cellStyle name="20% - Accent6 5" xfId="433" xr:uid="{00000000-0005-0000-0000-000029070000}"/>
    <cellStyle name="20% - Accent6 5 2" xfId="3621" xr:uid="{00000000-0005-0000-0000-00002A070000}"/>
    <cellStyle name="20% - Accent6 5 2 2" xfId="3622" xr:uid="{00000000-0005-0000-0000-00002B070000}"/>
    <cellStyle name="20% - Accent6 5 2 2 2" xfId="3623" xr:uid="{00000000-0005-0000-0000-00002C070000}"/>
    <cellStyle name="20% - Accent6 5 2 2 2 2" xfId="3624" xr:uid="{00000000-0005-0000-0000-00002D070000}"/>
    <cellStyle name="20% - Accent6 5 2 2 3" xfId="3625" xr:uid="{00000000-0005-0000-0000-00002E070000}"/>
    <cellStyle name="20% - Accent6 5 2 3" xfId="3626" xr:uid="{00000000-0005-0000-0000-00002F070000}"/>
    <cellStyle name="20% - Accent6 5 2 3 2" xfId="3627" xr:uid="{00000000-0005-0000-0000-000030070000}"/>
    <cellStyle name="20% - Accent6 5 2 4" xfId="3628" xr:uid="{00000000-0005-0000-0000-000031070000}"/>
    <cellStyle name="20% - Accent6 5 2 5" xfId="3629" xr:uid="{00000000-0005-0000-0000-000032070000}"/>
    <cellStyle name="20% - Accent6 5 3" xfId="3630" xr:uid="{00000000-0005-0000-0000-000033070000}"/>
    <cellStyle name="20% - Accent6 5 3 2" xfId="3631" xr:uid="{00000000-0005-0000-0000-000034070000}"/>
    <cellStyle name="20% - Accent6 5 3 2 2" xfId="3632" xr:uid="{00000000-0005-0000-0000-000035070000}"/>
    <cellStyle name="20% - Accent6 5 3 3" xfId="3633" xr:uid="{00000000-0005-0000-0000-000036070000}"/>
    <cellStyle name="20% - Accent6 5 4" xfId="3634" xr:uid="{00000000-0005-0000-0000-000037070000}"/>
    <cellStyle name="20% - Accent6 5 4 2" xfId="3635" xr:uid="{00000000-0005-0000-0000-000038070000}"/>
    <cellStyle name="20% - Accent6 5 5" xfId="3636" xr:uid="{00000000-0005-0000-0000-000039070000}"/>
    <cellStyle name="20% - Accent6 5 6" xfId="3637" xr:uid="{00000000-0005-0000-0000-00003A070000}"/>
    <cellStyle name="20% - Accent6 6" xfId="434" xr:uid="{00000000-0005-0000-0000-00003B070000}"/>
    <cellStyle name="20% - Accent6 6 2" xfId="3638" xr:uid="{00000000-0005-0000-0000-00003C070000}"/>
    <cellStyle name="20% - Accent6 6 2 2" xfId="3639" xr:uid="{00000000-0005-0000-0000-00003D070000}"/>
    <cellStyle name="20% - Accent6 6 2 2 2" xfId="3640" xr:uid="{00000000-0005-0000-0000-00003E070000}"/>
    <cellStyle name="20% - Accent6 6 2 3" xfId="3641" xr:uid="{00000000-0005-0000-0000-00003F070000}"/>
    <cellStyle name="20% - Accent6 6 2 4" xfId="3642" xr:uid="{00000000-0005-0000-0000-000040070000}"/>
    <cellStyle name="20% - Accent6 6 2 5" xfId="3643" xr:uid="{00000000-0005-0000-0000-000041070000}"/>
    <cellStyle name="20% - Accent6 6 3" xfId="3644" xr:uid="{00000000-0005-0000-0000-000042070000}"/>
    <cellStyle name="20% - Accent6 6 3 2" xfId="3645" xr:uid="{00000000-0005-0000-0000-000043070000}"/>
    <cellStyle name="20% - Accent6 6 4" xfId="3646" xr:uid="{00000000-0005-0000-0000-000044070000}"/>
    <cellStyle name="20% - Accent6 6 5" xfId="3647" xr:uid="{00000000-0005-0000-0000-000045070000}"/>
    <cellStyle name="20% - Accent6 7" xfId="435" xr:uid="{00000000-0005-0000-0000-000046070000}"/>
    <cellStyle name="20% - Accent6 7 2" xfId="3648" xr:uid="{00000000-0005-0000-0000-000047070000}"/>
    <cellStyle name="20% - Accent6 7 2 2" xfId="3649" xr:uid="{00000000-0005-0000-0000-000048070000}"/>
    <cellStyle name="20% - Accent6 7 2 2 2" xfId="3650" xr:uid="{00000000-0005-0000-0000-000049070000}"/>
    <cellStyle name="20% - Accent6 7 2 3" xfId="3651" xr:uid="{00000000-0005-0000-0000-00004A070000}"/>
    <cellStyle name="20% - Accent6 7 3" xfId="3652" xr:uid="{00000000-0005-0000-0000-00004B070000}"/>
    <cellStyle name="20% - Accent6 7 3 2" xfId="3653" xr:uid="{00000000-0005-0000-0000-00004C070000}"/>
    <cellStyle name="20% - Accent6 7 4" xfId="3654" xr:uid="{00000000-0005-0000-0000-00004D070000}"/>
    <cellStyle name="20% - Accent6 7 5" xfId="3655" xr:uid="{00000000-0005-0000-0000-00004E070000}"/>
    <cellStyle name="20% - Accent6 8" xfId="436" xr:uid="{00000000-0005-0000-0000-00004F070000}"/>
    <cellStyle name="20% - Accent6 8 2" xfId="3656" xr:uid="{00000000-0005-0000-0000-000050070000}"/>
    <cellStyle name="20% - Accent6 8 2 2" xfId="3657" xr:uid="{00000000-0005-0000-0000-000051070000}"/>
    <cellStyle name="20% - Accent6 8 2 2 2" xfId="3658" xr:uid="{00000000-0005-0000-0000-000052070000}"/>
    <cellStyle name="20% - Accent6 8 2 3" xfId="3659" xr:uid="{00000000-0005-0000-0000-000053070000}"/>
    <cellStyle name="20% - Accent6 8 3" xfId="3660" xr:uid="{00000000-0005-0000-0000-000054070000}"/>
    <cellStyle name="20% - Accent6 8 3 2" xfId="3661" xr:uid="{00000000-0005-0000-0000-000055070000}"/>
    <cellStyle name="20% - Accent6 8 4" xfId="3662" xr:uid="{00000000-0005-0000-0000-000056070000}"/>
    <cellStyle name="20% - Accent6 8 5" xfId="3663" xr:uid="{00000000-0005-0000-0000-000057070000}"/>
    <cellStyle name="20% - Accent6 9" xfId="437" xr:uid="{00000000-0005-0000-0000-000058070000}"/>
    <cellStyle name="20% - Accent6 9 2" xfId="3664" xr:uid="{00000000-0005-0000-0000-000059070000}"/>
    <cellStyle name="20% - Accent6 9 2 2" xfId="3665" xr:uid="{00000000-0005-0000-0000-00005A070000}"/>
    <cellStyle name="20% - Accent6 9 3" xfId="3666" xr:uid="{00000000-0005-0000-0000-00005B070000}"/>
    <cellStyle name="20% - Accent6 9 4" xfId="3667" xr:uid="{00000000-0005-0000-0000-00005C070000}"/>
    <cellStyle name="40% - Accent1" xfId="15178" builtinId="31" customBuiltin="1"/>
    <cellStyle name="40% - Accent1 10" xfId="438" xr:uid="{00000000-0005-0000-0000-00005E070000}"/>
    <cellStyle name="40% - Accent1 10 2" xfId="3668" xr:uid="{00000000-0005-0000-0000-00005F070000}"/>
    <cellStyle name="40% - Accent1 10 2 2" xfId="3669" xr:uid="{00000000-0005-0000-0000-000060070000}"/>
    <cellStyle name="40% - Accent1 10 3" xfId="3670" xr:uid="{00000000-0005-0000-0000-000061070000}"/>
    <cellStyle name="40% - Accent1 10 4" xfId="3671" xr:uid="{00000000-0005-0000-0000-000062070000}"/>
    <cellStyle name="40% - Accent1 11" xfId="439" xr:uid="{00000000-0005-0000-0000-000063070000}"/>
    <cellStyle name="40% - Accent1 11 2" xfId="3672" xr:uid="{00000000-0005-0000-0000-000064070000}"/>
    <cellStyle name="40% - Accent1 11 2 2" xfId="3673" xr:uid="{00000000-0005-0000-0000-000065070000}"/>
    <cellStyle name="40% - Accent1 11 3" xfId="3674" xr:uid="{00000000-0005-0000-0000-000066070000}"/>
    <cellStyle name="40% - Accent1 11 4" xfId="3675" xr:uid="{00000000-0005-0000-0000-000067070000}"/>
    <cellStyle name="40% - Accent1 12" xfId="440" xr:uid="{00000000-0005-0000-0000-000068070000}"/>
    <cellStyle name="40% - Accent1 12 2" xfId="3676" xr:uid="{00000000-0005-0000-0000-000069070000}"/>
    <cellStyle name="40% - Accent1 12 3" xfId="3677" xr:uid="{00000000-0005-0000-0000-00006A070000}"/>
    <cellStyle name="40% - Accent1 13" xfId="441" xr:uid="{00000000-0005-0000-0000-00006B070000}"/>
    <cellStyle name="40% - Accent1 13 2" xfId="3678" xr:uid="{00000000-0005-0000-0000-00006C070000}"/>
    <cellStyle name="40% - Accent1 14" xfId="442" xr:uid="{00000000-0005-0000-0000-00006D070000}"/>
    <cellStyle name="40% - Accent1 15" xfId="443" xr:uid="{00000000-0005-0000-0000-00006E070000}"/>
    <cellStyle name="40% - Accent1 15 2" xfId="444" xr:uid="{00000000-0005-0000-0000-00006F070000}"/>
    <cellStyle name="40% - Accent1 15 3" xfId="445" xr:uid="{00000000-0005-0000-0000-000070070000}"/>
    <cellStyle name="40% - Accent1 15 4" xfId="446" xr:uid="{00000000-0005-0000-0000-000071070000}"/>
    <cellStyle name="40% - Accent1 15 5" xfId="447" xr:uid="{00000000-0005-0000-0000-000072070000}"/>
    <cellStyle name="40% - Accent1 16" xfId="448" xr:uid="{00000000-0005-0000-0000-000073070000}"/>
    <cellStyle name="40% - Accent1 16 2" xfId="449" xr:uid="{00000000-0005-0000-0000-000074070000}"/>
    <cellStyle name="40% - Accent1 16 3" xfId="450" xr:uid="{00000000-0005-0000-0000-000075070000}"/>
    <cellStyle name="40% - Accent1 16 4" xfId="451" xr:uid="{00000000-0005-0000-0000-000076070000}"/>
    <cellStyle name="40% - Accent1 16 5" xfId="452" xr:uid="{00000000-0005-0000-0000-000077070000}"/>
    <cellStyle name="40% - Accent1 17" xfId="453" xr:uid="{00000000-0005-0000-0000-000078070000}"/>
    <cellStyle name="40% - Accent1 17 2" xfId="454" xr:uid="{00000000-0005-0000-0000-000079070000}"/>
    <cellStyle name="40% - Accent1 17 3" xfId="455" xr:uid="{00000000-0005-0000-0000-00007A070000}"/>
    <cellStyle name="40% - Accent1 17 4" xfId="456" xr:uid="{00000000-0005-0000-0000-00007B070000}"/>
    <cellStyle name="40% - Accent1 17 5" xfId="457" xr:uid="{00000000-0005-0000-0000-00007C070000}"/>
    <cellStyle name="40% - Accent1 18" xfId="458" xr:uid="{00000000-0005-0000-0000-00007D070000}"/>
    <cellStyle name="40% - Accent1 19" xfId="459" xr:uid="{00000000-0005-0000-0000-00007E070000}"/>
    <cellStyle name="40% - Accent1 2" xfId="460" xr:uid="{00000000-0005-0000-0000-00007F070000}"/>
    <cellStyle name="40% - Accent1 2 2" xfId="461" xr:uid="{00000000-0005-0000-0000-000080070000}"/>
    <cellStyle name="40% - Accent1 2 2 2" xfId="462" xr:uid="{00000000-0005-0000-0000-000081070000}"/>
    <cellStyle name="40% - Accent1 2 2 2 2" xfId="463" xr:uid="{00000000-0005-0000-0000-000082070000}"/>
    <cellStyle name="40% - Accent1 2 2 2 2 2" xfId="3679" xr:uid="{00000000-0005-0000-0000-000083070000}"/>
    <cellStyle name="40% - Accent1 2 2 2 2 2 2" xfId="3680" xr:uid="{00000000-0005-0000-0000-000084070000}"/>
    <cellStyle name="40% - Accent1 2 2 2 2 2 2 2" xfId="3681" xr:uid="{00000000-0005-0000-0000-000085070000}"/>
    <cellStyle name="40% - Accent1 2 2 2 2 2 3" xfId="3682" xr:uid="{00000000-0005-0000-0000-000086070000}"/>
    <cellStyle name="40% - Accent1 2 2 2 2 3" xfId="3683" xr:uid="{00000000-0005-0000-0000-000087070000}"/>
    <cellStyle name="40% - Accent1 2 2 2 2 3 2" xfId="3684" xr:uid="{00000000-0005-0000-0000-000088070000}"/>
    <cellStyle name="40% - Accent1 2 2 2 2 4" xfId="3685" xr:uid="{00000000-0005-0000-0000-000089070000}"/>
    <cellStyle name="40% - Accent1 2 2 2 2 5" xfId="3686" xr:uid="{00000000-0005-0000-0000-00008A070000}"/>
    <cellStyle name="40% - Accent1 2 2 2 3" xfId="464" xr:uid="{00000000-0005-0000-0000-00008B070000}"/>
    <cellStyle name="40% - Accent1 2 2 2 3 2" xfId="3687" xr:uid="{00000000-0005-0000-0000-00008C070000}"/>
    <cellStyle name="40% - Accent1 2 2 2 3 2 2" xfId="3688" xr:uid="{00000000-0005-0000-0000-00008D070000}"/>
    <cellStyle name="40% - Accent1 2 2 2 3 3" xfId="3689" xr:uid="{00000000-0005-0000-0000-00008E070000}"/>
    <cellStyle name="40% - Accent1 2 2 2 4" xfId="465" xr:uid="{00000000-0005-0000-0000-00008F070000}"/>
    <cellStyle name="40% - Accent1 2 2 2 4 2" xfId="3690" xr:uid="{00000000-0005-0000-0000-000090070000}"/>
    <cellStyle name="40% - Accent1 2 2 2 5" xfId="466" xr:uid="{00000000-0005-0000-0000-000091070000}"/>
    <cellStyle name="40% - Accent1 2 2 2 6" xfId="3691" xr:uid="{00000000-0005-0000-0000-000092070000}"/>
    <cellStyle name="40% - Accent1 2 2 3" xfId="467" xr:uid="{00000000-0005-0000-0000-000093070000}"/>
    <cellStyle name="40% - Accent1 2 2 3 2" xfId="3692" xr:uid="{00000000-0005-0000-0000-000094070000}"/>
    <cellStyle name="40% - Accent1 2 2 3 2 2" xfId="3693" xr:uid="{00000000-0005-0000-0000-000095070000}"/>
    <cellStyle name="40% - Accent1 2 2 3 2 2 2" xfId="3694" xr:uid="{00000000-0005-0000-0000-000096070000}"/>
    <cellStyle name="40% - Accent1 2 2 3 2 3" xfId="3695" xr:uid="{00000000-0005-0000-0000-000097070000}"/>
    <cellStyle name="40% - Accent1 2 2 3 3" xfId="3696" xr:uid="{00000000-0005-0000-0000-000098070000}"/>
    <cellStyle name="40% - Accent1 2 2 3 3 2" xfId="3697" xr:uid="{00000000-0005-0000-0000-000099070000}"/>
    <cellStyle name="40% - Accent1 2 2 3 4" xfId="3698" xr:uid="{00000000-0005-0000-0000-00009A070000}"/>
    <cellStyle name="40% - Accent1 2 2 3 5" xfId="3699" xr:uid="{00000000-0005-0000-0000-00009B070000}"/>
    <cellStyle name="40% - Accent1 2 2 4" xfId="468" xr:uid="{00000000-0005-0000-0000-00009C070000}"/>
    <cellStyle name="40% - Accent1 2 2 4 2" xfId="3700" xr:uid="{00000000-0005-0000-0000-00009D070000}"/>
    <cellStyle name="40% - Accent1 2 2 4 2 2" xfId="3701" xr:uid="{00000000-0005-0000-0000-00009E070000}"/>
    <cellStyle name="40% - Accent1 2 2 4 3" xfId="3702" xr:uid="{00000000-0005-0000-0000-00009F070000}"/>
    <cellStyle name="40% - Accent1 2 2 5" xfId="469" xr:uid="{00000000-0005-0000-0000-0000A0070000}"/>
    <cellStyle name="40% - Accent1 2 2 5 2" xfId="3703" xr:uid="{00000000-0005-0000-0000-0000A1070000}"/>
    <cellStyle name="40% - Accent1 2 2 6" xfId="3704" xr:uid="{00000000-0005-0000-0000-0000A2070000}"/>
    <cellStyle name="40% - Accent1 2 2 7" xfId="3705" xr:uid="{00000000-0005-0000-0000-0000A3070000}"/>
    <cellStyle name="40% - Accent1 2 3" xfId="470" xr:uid="{00000000-0005-0000-0000-0000A4070000}"/>
    <cellStyle name="40% - Accent1 2 3 2" xfId="3706" xr:uid="{00000000-0005-0000-0000-0000A5070000}"/>
    <cellStyle name="40% - Accent1 2 3 2 2" xfId="3707" xr:uid="{00000000-0005-0000-0000-0000A6070000}"/>
    <cellStyle name="40% - Accent1 2 3 2 2 2" xfId="3708" xr:uid="{00000000-0005-0000-0000-0000A7070000}"/>
    <cellStyle name="40% - Accent1 2 3 2 2 2 2" xfId="3709" xr:uid="{00000000-0005-0000-0000-0000A8070000}"/>
    <cellStyle name="40% - Accent1 2 3 2 2 3" xfId="3710" xr:uid="{00000000-0005-0000-0000-0000A9070000}"/>
    <cellStyle name="40% - Accent1 2 3 2 3" xfId="3711" xr:uid="{00000000-0005-0000-0000-0000AA070000}"/>
    <cellStyle name="40% - Accent1 2 3 2 3 2" xfId="3712" xr:uid="{00000000-0005-0000-0000-0000AB070000}"/>
    <cellStyle name="40% - Accent1 2 3 2 4" xfId="3713" xr:uid="{00000000-0005-0000-0000-0000AC070000}"/>
    <cellStyle name="40% - Accent1 2 3 3" xfId="3714" xr:uid="{00000000-0005-0000-0000-0000AD070000}"/>
    <cellStyle name="40% - Accent1 2 3 3 2" xfId="3715" xr:uid="{00000000-0005-0000-0000-0000AE070000}"/>
    <cellStyle name="40% - Accent1 2 3 3 2 2" xfId="3716" xr:uid="{00000000-0005-0000-0000-0000AF070000}"/>
    <cellStyle name="40% - Accent1 2 3 3 3" xfId="3717" xr:uid="{00000000-0005-0000-0000-0000B0070000}"/>
    <cellStyle name="40% - Accent1 2 3 4" xfId="3718" xr:uid="{00000000-0005-0000-0000-0000B1070000}"/>
    <cellStyle name="40% - Accent1 2 3 4 2" xfId="3719" xr:uid="{00000000-0005-0000-0000-0000B2070000}"/>
    <cellStyle name="40% - Accent1 2 3 5" xfId="3720" xr:uid="{00000000-0005-0000-0000-0000B3070000}"/>
    <cellStyle name="40% - Accent1 2 3 6" xfId="3721" xr:uid="{00000000-0005-0000-0000-0000B4070000}"/>
    <cellStyle name="40% - Accent1 2 4" xfId="471" xr:uid="{00000000-0005-0000-0000-0000B5070000}"/>
    <cellStyle name="40% - Accent1 2 4 2" xfId="3722" xr:uid="{00000000-0005-0000-0000-0000B6070000}"/>
    <cellStyle name="40% - Accent1 2 4 2 2" xfId="3723" xr:uid="{00000000-0005-0000-0000-0000B7070000}"/>
    <cellStyle name="40% - Accent1 2 4 2 2 2" xfId="3724" xr:uid="{00000000-0005-0000-0000-0000B8070000}"/>
    <cellStyle name="40% - Accent1 2 4 2 3" xfId="3725" xr:uid="{00000000-0005-0000-0000-0000B9070000}"/>
    <cellStyle name="40% - Accent1 2 4 3" xfId="3726" xr:uid="{00000000-0005-0000-0000-0000BA070000}"/>
    <cellStyle name="40% - Accent1 2 4 3 2" xfId="3727" xr:uid="{00000000-0005-0000-0000-0000BB070000}"/>
    <cellStyle name="40% - Accent1 2 4 4" xfId="3728" xr:uid="{00000000-0005-0000-0000-0000BC070000}"/>
    <cellStyle name="40% - Accent1 2 4 5" xfId="3729" xr:uid="{00000000-0005-0000-0000-0000BD070000}"/>
    <cellStyle name="40% - Accent1 2 5" xfId="472" xr:uid="{00000000-0005-0000-0000-0000BE070000}"/>
    <cellStyle name="40% - Accent1 2 5 2" xfId="3730" xr:uid="{00000000-0005-0000-0000-0000BF070000}"/>
    <cellStyle name="40% - Accent1 2 5 2 2" xfId="3731" xr:uid="{00000000-0005-0000-0000-0000C0070000}"/>
    <cellStyle name="40% - Accent1 2 5 3" xfId="3732" xr:uid="{00000000-0005-0000-0000-0000C1070000}"/>
    <cellStyle name="40% - Accent1 2 5 4" xfId="3733" xr:uid="{00000000-0005-0000-0000-0000C2070000}"/>
    <cellStyle name="40% - Accent1 2 6" xfId="473" xr:uid="{00000000-0005-0000-0000-0000C3070000}"/>
    <cellStyle name="40% - Accent1 2 6 2" xfId="3734" xr:uid="{00000000-0005-0000-0000-0000C4070000}"/>
    <cellStyle name="40% - Accent1 2 6 3" xfId="3735" xr:uid="{00000000-0005-0000-0000-0000C5070000}"/>
    <cellStyle name="40% - Accent1 2 7" xfId="474" xr:uid="{00000000-0005-0000-0000-0000C6070000}"/>
    <cellStyle name="40% - Accent1 2 8" xfId="475" xr:uid="{00000000-0005-0000-0000-0000C7070000}"/>
    <cellStyle name="40% - Accent1 2 9" xfId="476" xr:uid="{00000000-0005-0000-0000-0000C8070000}"/>
    <cellStyle name="40% - Accent1 20" xfId="477" xr:uid="{00000000-0005-0000-0000-0000C9070000}"/>
    <cellStyle name="40% - Accent1 21" xfId="478" xr:uid="{00000000-0005-0000-0000-0000CA070000}"/>
    <cellStyle name="40% - Accent1 22" xfId="479" xr:uid="{00000000-0005-0000-0000-0000CB070000}"/>
    <cellStyle name="40% - Accent1 23" xfId="480" xr:uid="{00000000-0005-0000-0000-0000CC070000}"/>
    <cellStyle name="40% - Accent1 24" xfId="481" xr:uid="{00000000-0005-0000-0000-0000CD070000}"/>
    <cellStyle name="40% - Accent1 25" xfId="482" xr:uid="{00000000-0005-0000-0000-0000CE070000}"/>
    <cellStyle name="40% - Accent1 26" xfId="483" xr:uid="{00000000-0005-0000-0000-0000CF070000}"/>
    <cellStyle name="40% - Accent1 27" xfId="484" xr:uid="{00000000-0005-0000-0000-0000D0070000}"/>
    <cellStyle name="40% - Accent1 28" xfId="485" xr:uid="{00000000-0005-0000-0000-0000D1070000}"/>
    <cellStyle name="40% - Accent1 29" xfId="486" xr:uid="{00000000-0005-0000-0000-0000D2070000}"/>
    <cellStyle name="40% - Accent1 3" xfId="487" xr:uid="{00000000-0005-0000-0000-0000D3070000}"/>
    <cellStyle name="40% - Accent1 3 2" xfId="3736" xr:uid="{00000000-0005-0000-0000-0000D4070000}"/>
    <cellStyle name="40% - Accent1 3 2 2" xfId="3737" xr:uid="{00000000-0005-0000-0000-0000D5070000}"/>
    <cellStyle name="40% - Accent1 3 2 2 2" xfId="3738" xr:uid="{00000000-0005-0000-0000-0000D6070000}"/>
    <cellStyle name="40% - Accent1 3 2 2 2 2" xfId="3739" xr:uid="{00000000-0005-0000-0000-0000D7070000}"/>
    <cellStyle name="40% - Accent1 3 2 2 2 2 2" xfId="3740" xr:uid="{00000000-0005-0000-0000-0000D8070000}"/>
    <cellStyle name="40% - Accent1 3 2 2 2 2 2 2" xfId="3741" xr:uid="{00000000-0005-0000-0000-0000D9070000}"/>
    <cellStyle name="40% - Accent1 3 2 2 2 2 3" xfId="3742" xr:uid="{00000000-0005-0000-0000-0000DA070000}"/>
    <cellStyle name="40% - Accent1 3 2 2 2 3" xfId="3743" xr:uid="{00000000-0005-0000-0000-0000DB070000}"/>
    <cellStyle name="40% - Accent1 3 2 2 2 3 2" xfId="3744" xr:uid="{00000000-0005-0000-0000-0000DC070000}"/>
    <cellStyle name="40% - Accent1 3 2 2 2 4" xfId="3745" xr:uid="{00000000-0005-0000-0000-0000DD070000}"/>
    <cellStyle name="40% - Accent1 3 2 2 3" xfId="3746" xr:uid="{00000000-0005-0000-0000-0000DE070000}"/>
    <cellStyle name="40% - Accent1 3 2 2 3 2" xfId="3747" xr:uid="{00000000-0005-0000-0000-0000DF070000}"/>
    <cellStyle name="40% - Accent1 3 2 2 3 2 2" xfId="3748" xr:uid="{00000000-0005-0000-0000-0000E0070000}"/>
    <cellStyle name="40% - Accent1 3 2 2 3 3" xfId="3749" xr:uid="{00000000-0005-0000-0000-0000E1070000}"/>
    <cellStyle name="40% - Accent1 3 2 2 4" xfId="3750" xr:uid="{00000000-0005-0000-0000-0000E2070000}"/>
    <cellStyle name="40% - Accent1 3 2 2 4 2" xfId="3751" xr:uid="{00000000-0005-0000-0000-0000E3070000}"/>
    <cellStyle name="40% - Accent1 3 2 2 5" xfId="3752" xr:uid="{00000000-0005-0000-0000-0000E4070000}"/>
    <cellStyle name="40% - Accent1 3 2 2 6" xfId="3753" xr:uid="{00000000-0005-0000-0000-0000E5070000}"/>
    <cellStyle name="40% - Accent1 3 2 3" xfId="3754" xr:uid="{00000000-0005-0000-0000-0000E6070000}"/>
    <cellStyle name="40% - Accent1 3 2 3 2" xfId="3755" xr:uid="{00000000-0005-0000-0000-0000E7070000}"/>
    <cellStyle name="40% - Accent1 3 2 3 2 2" xfId="3756" xr:uid="{00000000-0005-0000-0000-0000E8070000}"/>
    <cellStyle name="40% - Accent1 3 2 3 2 2 2" xfId="3757" xr:uid="{00000000-0005-0000-0000-0000E9070000}"/>
    <cellStyle name="40% - Accent1 3 2 3 2 3" xfId="3758" xr:uid="{00000000-0005-0000-0000-0000EA070000}"/>
    <cellStyle name="40% - Accent1 3 2 3 3" xfId="3759" xr:uid="{00000000-0005-0000-0000-0000EB070000}"/>
    <cellStyle name="40% - Accent1 3 2 3 3 2" xfId="3760" xr:uid="{00000000-0005-0000-0000-0000EC070000}"/>
    <cellStyle name="40% - Accent1 3 2 3 4" xfId="3761" xr:uid="{00000000-0005-0000-0000-0000ED070000}"/>
    <cellStyle name="40% - Accent1 3 2 4" xfId="3762" xr:uid="{00000000-0005-0000-0000-0000EE070000}"/>
    <cellStyle name="40% - Accent1 3 2 4 2" xfId="3763" xr:uid="{00000000-0005-0000-0000-0000EF070000}"/>
    <cellStyle name="40% - Accent1 3 2 4 2 2" xfId="3764" xr:uid="{00000000-0005-0000-0000-0000F0070000}"/>
    <cellStyle name="40% - Accent1 3 2 4 3" xfId="3765" xr:uid="{00000000-0005-0000-0000-0000F1070000}"/>
    <cellStyle name="40% - Accent1 3 2 5" xfId="3766" xr:uid="{00000000-0005-0000-0000-0000F2070000}"/>
    <cellStyle name="40% - Accent1 3 2 5 2" xfId="3767" xr:uid="{00000000-0005-0000-0000-0000F3070000}"/>
    <cellStyle name="40% - Accent1 3 2 6" xfId="3768" xr:uid="{00000000-0005-0000-0000-0000F4070000}"/>
    <cellStyle name="40% - Accent1 3 2 7" xfId="3769" xr:uid="{00000000-0005-0000-0000-0000F5070000}"/>
    <cellStyle name="40% - Accent1 3 3" xfId="3770" xr:uid="{00000000-0005-0000-0000-0000F6070000}"/>
    <cellStyle name="40% - Accent1 3 3 2" xfId="3771" xr:uid="{00000000-0005-0000-0000-0000F7070000}"/>
    <cellStyle name="40% - Accent1 3 3 2 2" xfId="3772" xr:uid="{00000000-0005-0000-0000-0000F8070000}"/>
    <cellStyle name="40% - Accent1 3 3 2 2 2" xfId="3773" xr:uid="{00000000-0005-0000-0000-0000F9070000}"/>
    <cellStyle name="40% - Accent1 3 3 2 2 2 2" xfId="3774" xr:uid="{00000000-0005-0000-0000-0000FA070000}"/>
    <cellStyle name="40% - Accent1 3 3 2 2 3" xfId="3775" xr:uid="{00000000-0005-0000-0000-0000FB070000}"/>
    <cellStyle name="40% - Accent1 3 3 2 3" xfId="3776" xr:uid="{00000000-0005-0000-0000-0000FC070000}"/>
    <cellStyle name="40% - Accent1 3 3 2 3 2" xfId="3777" xr:uid="{00000000-0005-0000-0000-0000FD070000}"/>
    <cellStyle name="40% - Accent1 3 3 2 4" xfId="3778" xr:uid="{00000000-0005-0000-0000-0000FE070000}"/>
    <cellStyle name="40% - Accent1 3 3 3" xfId="3779" xr:uid="{00000000-0005-0000-0000-0000FF070000}"/>
    <cellStyle name="40% - Accent1 3 3 3 2" xfId="3780" xr:uid="{00000000-0005-0000-0000-000000080000}"/>
    <cellStyle name="40% - Accent1 3 3 3 2 2" xfId="3781" xr:uid="{00000000-0005-0000-0000-000001080000}"/>
    <cellStyle name="40% - Accent1 3 3 3 3" xfId="3782" xr:uid="{00000000-0005-0000-0000-000002080000}"/>
    <cellStyle name="40% - Accent1 3 3 4" xfId="3783" xr:uid="{00000000-0005-0000-0000-000003080000}"/>
    <cellStyle name="40% - Accent1 3 3 4 2" xfId="3784" xr:uid="{00000000-0005-0000-0000-000004080000}"/>
    <cellStyle name="40% - Accent1 3 3 5" xfId="3785" xr:uid="{00000000-0005-0000-0000-000005080000}"/>
    <cellStyle name="40% - Accent1 3 3 6" xfId="3786" xr:uid="{00000000-0005-0000-0000-000006080000}"/>
    <cellStyle name="40% - Accent1 3 4" xfId="3787" xr:uid="{00000000-0005-0000-0000-000007080000}"/>
    <cellStyle name="40% - Accent1 3 4 2" xfId="3788" xr:uid="{00000000-0005-0000-0000-000008080000}"/>
    <cellStyle name="40% - Accent1 3 4 2 2" xfId="3789" xr:uid="{00000000-0005-0000-0000-000009080000}"/>
    <cellStyle name="40% - Accent1 3 4 2 2 2" xfId="3790" xr:uid="{00000000-0005-0000-0000-00000A080000}"/>
    <cellStyle name="40% - Accent1 3 4 2 3" xfId="3791" xr:uid="{00000000-0005-0000-0000-00000B080000}"/>
    <cellStyle name="40% - Accent1 3 4 3" xfId="3792" xr:uid="{00000000-0005-0000-0000-00000C080000}"/>
    <cellStyle name="40% - Accent1 3 4 3 2" xfId="3793" xr:uid="{00000000-0005-0000-0000-00000D080000}"/>
    <cellStyle name="40% - Accent1 3 4 4" xfId="3794" xr:uid="{00000000-0005-0000-0000-00000E080000}"/>
    <cellStyle name="40% - Accent1 3 4 5" xfId="3795" xr:uid="{00000000-0005-0000-0000-00000F080000}"/>
    <cellStyle name="40% - Accent1 3 5" xfId="3796" xr:uid="{00000000-0005-0000-0000-000010080000}"/>
    <cellStyle name="40% - Accent1 3 5 2" xfId="3797" xr:uid="{00000000-0005-0000-0000-000011080000}"/>
    <cellStyle name="40% - Accent1 3 5 2 2" xfId="3798" xr:uid="{00000000-0005-0000-0000-000012080000}"/>
    <cellStyle name="40% - Accent1 3 5 3" xfId="3799" xr:uid="{00000000-0005-0000-0000-000013080000}"/>
    <cellStyle name="40% - Accent1 3 6" xfId="3800" xr:uid="{00000000-0005-0000-0000-000014080000}"/>
    <cellStyle name="40% - Accent1 3 6 2" xfId="3801" xr:uid="{00000000-0005-0000-0000-000015080000}"/>
    <cellStyle name="40% - Accent1 3 7" xfId="3802" xr:uid="{00000000-0005-0000-0000-000016080000}"/>
    <cellStyle name="40% - Accent1 3 8" xfId="3803" xr:uid="{00000000-0005-0000-0000-000017080000}"/>
    <cellStyle name="40% - Accent1 3 9" xfId="3804" xr:uid="{00000000-0005-0000-0000-000018080000}"/>
    <cellStyle name="40% - Accent1 30" xfId="488" xr:uid="{00000000-0005-0000-0000-000019080000}"/>
    <cellStyle name="40% - Accent1 31" xfId="489" xr:uid="{00000000-0005-0000-0000-00001A080000}"/>
    <cellStyle name="40% - Accent1 32" xfId="490" xr:uid="{00000000-0005-0000-0000-00001B080000}"/>
    <cellStyle name="40% - Accent1 33" xfId="491" xr:uid="{00000000-0005-0000-0000-00001C080000}"/>
    <cellStyle name="40% - Accent1 34" xfId="492" xr:uid="{00000000-0005-0000-0000-00001D080000}"/>
    <cellStyle name="40% - Accent1 35" xfId="493" xr:uid="{00000000-0005-0000-0000-00001E080000}"/>
    <cellStyle name="40% - Accent1 4" xfId="494" xr:uid="{00000000-0005-0000-0000-00001F080000}"/>
    <cellStyle name="40% - Accent1 4 2" xfId="3805" xr:uid="{00000000-0005-0000-0000-000020080000}"/>
    <cellStyle name="40% - Accent1 4 2 2" xfId="3806" xr:uid="{00000000-0005-0000-0000-000021080000}"/>
    <cellStyle name="40% - Accent1 4 2 2 2" xfId="3807" xr:uid="{00000000-0005-0000-0000-000022080000}"/>
    <cellStyle name="40% - Accent1 4 2 2 2 2" xfId="3808" xr:uid="{00000000-0005-0000-0000-000023080000}"/>
    <cellStyle name="40% - Accent1 4 2 2 2 2 2" xfId="3809" xr:uid="{00000000-0005-0000-0000-000024080000}"/>
    <cellStyle name="40% - Accent1 4 2 2 2 3" xfId="3810" xr:uid="{00000000-0005-0000-0000-000025080000}"/>
    <cellStyle name="40% - Accent1 4 2 2 3" xfId="3811" xr:uid="{00000000-0005-0000-0000-000026080000}"/>
    <cellStyle name="40% - Accent1 4 2 2 3 2" xfId="3812" xr:uid="{00000000-0005-0000-0000-000027080000}"/>
    <cellStyle name="40% - Accent1 4 2 2 4" xfId="3813" xr:uid="{00000000-0005-0000-0000-000028080000}"/>
    <cellStyle name="40% - Accent1 4 2 3" xfId="3814" xr:uid="{00000000-0005-0000-0000-000029080000}"/>
    <cellStyle name="40% - Accent1 4 2 3 2" xfId="3815" xr:uid="{00000000-0005-0000-0000-00002A080000}"/>
    <cellStyle name="40% - Accent1 4 2 3 2 2" xfId="3816" xr:uid="{00000000-0005-0000-0000-00002B080000}"/>
    <cellStyle name="40% - Accent1 4 2 3 3" xfId="3817" xr:uid="{00000000-0005-0000-0000-00002C080000}"/>
    <cellStyle name="40% - Accent1 4 2 4" xfId="3818" xr:uid="{00000000-0005-0000-0000-00002D080000}"/>
    <cellStyle name="40% - Accent1 4 2 4 2" xfId="3819" xr:uid="{00000000-0005-0000-0000-00002E080000}"/>
    <cellStyle name="40% - Accent1 4 2 5" xfId="3820" xr:uid="{00000000-0005-0000-0000-00002F080000}"/>
    <cellStyle name="40% - Accent1 4 2 6" xfId="3821" xr:uid="{00000000-0005-0000-0000-000030080000}"/>
    <cellStyle name="40% - Accent1 4 3" xfId="3822" xr:uid="{00000000-0005-0000-0000-000031080000}"/>
    <cellStyle name="40% - Accent1 4 3 2" xfId="3823" xr:uid="{00000000-0005-0000-0000-000032080000}"/>
    <cellStyle name="40% - Accent1 4 3 2 2" xfId="3824" xr:uid="{00000000-0005-0000-0000-000033080000}"/>
    <cellStyle name="40% - Accent1 4 3 2 2 2" xfId="3825" xr:uid="{00000000-0005-0000-0000-000034080000}"/>
    <cellStyle name="40% - Accent1 4 3 2 3" xfId="3826" xr:uid="{00000000-0005-0000-0000-000035080000}"/>
    <cellStyle name="40% - Accent1 4 3 3" xfId="3827" xr:uid="{00000000-0005-0000-0000-000036080000}"/>
    <cellStyle name="40% - Accent1 4 3 3 2" xfId="3828" xr:uid="{00000000-0005-0000-0000-000037080000}"/>
    <cellStyle name="40% - Accent1 4 3 4" xfId="3829" xr:uid="{00000000-0005-0000-0000-000038080000}"/>
    <cellStyle name="40% - Accent1 4 3 5" xfId="3830" xr:uid="{00000000-0005-0000-0000-000039080000}"/>
    <cellStyle name="40% - Accent1 4 4" xfId="3831" xr:uid="{00000000-0005-0000-0000-00003A080000}"/>
    <cellStyle name="40% - Accent1 4 4 2" xfId="3832" xr:uid="{00000000-0005-0000-0000-00003B080000}"/>
    <cellStyle name="40% - Accent1 4 4 2 2" xfId="3833" xr:uid="{00000000-0005-0000-0000-00003C080000}"/>
    <cellStyle name="40% - Accent1 4 4 3" xfId="3834" xr:uid="{00000000-0005-0000-0000-00003D080000}"/>
    <cellStyle name="40% - Accent1 4 5" xfId="3835" xr:uid="{00000000-0005-0000-0000-00003E080000}"/>
    <cellStyle name="40% - Accent1 4 5 2" xfId="3836" xr:uid="{00000000-0005-0000-0000-00003F080000}"/>
    <cellStyle name="40% - Accent1 4 6" xfId="3837" xr:uid="{00000000-0005-0000-0000-000040080000}"/>
    <cellStyle name="40% - Accent1 4 7" xfId="3838" xr:uid="{00000000-0005-0000-0000-000041080000}"/>
    <cellStyle name="40% - Accent1 5" xfId="495" xr:uid="{00000000-0005-0000-0000-000042080000}"/>
    <cellStyle name="40% - Accent1 5 2" xfId="3839" xr:uid="{00000000-0005-0000-0000-000043080000}"/>
    <cellStyle name="40% - Accent1 5 2 2" xfId="3840" xr:uid="{00000000-0005-0000-0000-000044080000}"/>
    <cellStyle name="40% - Accent1 5 2 2 2" xfId="3841" xr:uid="{00000000-0005-0000-0000-000045080000}"/>
    <cellStyle name="40% - Accent1 5 2 2 2 2" xfId="3842" xr:uid="{00000000-0005-0000-0000-000046080000}"/>
    <cellStyle name="40% - Accent1 5 2 2 3" xfId="3843" xr:uid="{00000000-0005-0000-0000-000047080000}"/>
    <cellStyle name="40% - Accent1 5 2 3" xfId="3844" xr:uid="{00000000-0005-0000-0000-000048080000}"/>
    <cellStyle name="40% - Accent1 5 2 3 2" xfId="3845" xr:uid="{00000000-0005-0000-0000-000049080000}"/>
    <cellStyle name="40% - Accent1 5 2 4" xfId="3846" xr:uid="{00000000-0005-0000-0000-00004A080000}"/>
    <cellStyle name="40% - Accent1 5 2 5" xfId="3847" xr:uid="{00000000-0005-0000-0000-00004B080000}"/>
    <cellStyle name="40% - Accent1 5 3" xfId="3848" xr:uid="{00000000-0005-0000-0000-00004C080000}"/>
    <cellStyle name="40% - Accent1 5 3 2" xfId="3849" xr:uid="{00000000-0005-0000-0000-00004D080000}"/>
    <cellStyle name="40% - Accent1 5 3 2 2" xfId="3850" xr:uid="{00000000-0005-0000-0000-00004E080000}"/>
    <cellStyle name="40% - Accent1 5 3 3" xfId="3851" xr:uid="{00000000-0005-0000-0000-00004F080000}"/>
    <cellStyle name="40% - Accent1 5 4" xfId="3852" xr:uid="{00000000-0005-0000-0000-000050080000}"/>
    <cellStyle name="40% - Accent1 5 4 2" xfId="3853" xr:uid="{00000000-0005-0000-0000-000051080000}"/>
    <cellStyle name="40% - Accent1 5 5" xfId="3854" xr:uid="{00000000-0005-0000-0000-000052080000}"/>
    <cellStyle name="40% - Accent1 5 6" xfId="3855" xr:uid="{00000000-0005-0000-0000-000053080000}"/>
    <cellStyle name="40% - Accent1 6" xfId="496" xr:uid="{00000000-0005-0000-0000-000054080000}"/>
    <cellStyle name="40% - Accent1 6 2" xfId="3856" xr:uid="{00000000-0005-0000-0000-000055080000}"/>
    <cellStyle name="40% - Accent1 6 2 2" xfId="3857" xr:uid="{00000000-0005-0000-0000-000056080000}"/>
    <cellStyle name="40% - Accent1 6 2 2 2" xfId="3858" xr:uid="{00000000-0005-0000-0000-000057080000}"/>
    <cellStyle name="40% - Accent1 6 2 3" xfId="3859" xr:uid="{00000000-0005-0000-0000-000058080000}"/>
    <cellStyle name="40% - Accent1 6 2 4" xfId="3860" xr:uid="{00000000-0005-0000-0000-000059080000}"/>
    <cellStyle name="40% - Accent1 6 2 5" xfId="3861" xr:uid="{00000000-0005-0000-0000-00005A080000}"/>
    <cellStyle name="40% - Accent1 6 3" xfId="3862" xr:uid="{00000000-0005-0000-0000-00005B080000}"/>
    <cellStyle name="40% - Accent1 6 3 2" xfId="3863" xr:uid="{00000000-0005-0000-0000-00005C080000}"/>
    <cellStyle name="40% - Accent1 6 4" xfId="3864" xr:uid="{00000000-0005-0000-0000-00005D080000}"/>
    <cellStyle name="40% - Accent1 6 5" xfId="3865" xr:uid="{00000000-0005-0000-0000-00005E080000}"/>
    <cellStyle name="40% - Accent1 7" xfId="497" xr:uid="{00000000-0005-0000-0000-00005F080000}"/>
    <cellStyle name="40% - Accent1 7 2" xfId="3866" xr:uid="{00000000-0005-0000-0000-000060080000}"/>
    <cellStyle name="40% - Accent1 7 2 2" xfId="3867" xr:uid="{00000000-0005-0000-0000-000061080000}"/>
    <cellStyle name="40% - Accent1 7 2 2 2" xfId="3868" xr:uid="{00000000-0005-0000-0000-000062080000}"/>
    <cellStyle name="40% - Accent1 7 2 3" xfId="3869" xr:uid="{00000000-0005-0000-0000-000063080000}"/>
    <cellStyle name="40% - Accent1 7 3" xfId="3870" xr:uid="{00000000-0005-0000-0000-000064080000}"/>
    <cellStyle name="40% - Accent1 7 3 2" xfId="3871" xr:uid="{00000000-0005-0000-0000-000065080000}"/>
    <cellStyle name="40% - Accent1 7 4" xfId="3872" xr:uid="{00000000-0005-0000-0000-000066080000}"/>
    <cellStyle name="40% - Accent1 7 5" xfId="3873" xr:uid="{00000000-0005-0000-0000-000067080000}"/>
    <cellStyle name="40% - Accent1 8" xfId="498" xr:uid="{00000000-0005-0000-0000-000068080000}"/>
    <cellStyle name="40% - Accent1 8 2" xfId="3874" xr:uid="{00000000-0005-0000-0000-000069080000}"/>
    <cellStyle name="40% - Accent1 8 2 2" xfId="3875" xr:uid="{00000000-0005-0000-0000-00006A080000}"/>
    <cellStyle name="40% - Accent1 8 2 2 2" xfId="3876" xr:uid="{00000000-0005-0000-0000-00006B080000}"/>
    <cellStyle name="40% - Accent1 8 2 3" xfId="3877" xr:uid="{00000000-0005-0000-0000-00006C080000}"/>
    <cellStyle name="40% - Accent1 8 3" xfId="3878" xr:uid="{00000000-0005-0000-0000-00006D080000}"/>
    <cellStyle name="40% - Accent1 8 3 2" xfId="3879" xr:uid="{00000000-0005-0000-0000-00006E080000}"/>
    <cellStyle name="40% - Accent1 8 4" xfId="3880" xr:uid="{00000000-0005-0000-0000-00006F080000}"/>
    <cellStyle name="40% - Accent1 8 5" xfId="3881" xr:uid="{00000000-0005-0000-0000-000070080000}"/>
    <cellStyle name="40% - Accent1 9" xfId="499" xr:uid="{00000000-0005-0000-0000-000071080000}"/>
    <cellStyle name="40% - Accent1 9 2" xfId="3882" xr:uid="{00000000-0005-0000-0000-000072080000}"/>
    <cellStyle name="40% - Accent1 9 2 2" xfId="3883" xr:uid="{00000000-0005-0000-0000-000073080000}"/>
    <cellStyle name="40% - Accent1 9 3" xfId="3884" xr:uid="{00000000-0005-0000-0000-000074080000}"/>
    <cellStyle name="40% - Accent1 9 4" xfId="3885" xr:uid="{00000000-0005-0000-0000-000075080000}"/>
    <cellStyle name="40% - Accent2" xfId="15181" builtinId="35" customBuiltin="1"/>
    <cellStyle name="40% - Accent2 10" xfId="500" xr:uid="{00000000-0005-0000-0000-000077080000}"/>
    <cellStyle name="40% - Accent2 10 2" xfId="3886" xr:uid="{00000000-0005-0000-0000-000078080000}"/>
    <cellStyle name="40% - Accent2 10 2 2" xfId="3887" xr:uid="{00000000-0005-0000-0000-000079080000}"/>
    <cellStyle name="40% - Accent2 10 3" xfId="3888" xr:uid="{00000000-0005-0000-0000-00007A080000}"/>
    <cellStyle name="40% - Accent2 10 4" xfId="3889" xr:uid="{00000000-0005-0000-0000-00007B080000}"/>
    <cellStyle name="40% - Accent2 11" xfId="501" xr:uid="{00000000-0005-0000-0000-00007C080000}"/>
    <cellStyle name="40% - Accent2 11 2" xfId="3890" xr:uid="{00000000-0005-0000-0000-00007D080000}"/>
    <cellStyle name="40% - Accent2 11 2 2" xfId="3891" xr:uid="{00000000-0005-0000-0000-00007E080000}"/>
    <cellStyle name="40% - Accent2 11 3" xfId="3892" xr:uid="{00000000-0005-0000-0000-00007F080000}"/>
    <cellStyle name="40% - Accent2 11 4" xfId="3893" xr:uid="{00000000-0005-0000-0000-000080080000}"/>
    <cellStyle name="40% - Accent2 12" xfId="502" xr:uid="{00000000-0005-0000-0000-000081080000}"/>
    <cellStyle name="40% - Accent2 12 2" xfId="3894" xr:uid="{00000000-0005-0000-0000-000082080000}"/>
    <cellStyle name="40% - Accent2 12 3" xfId="3895" xr:uid="{00000000-0005-0000-0000-000083080000}"/>
    <cellStyle name="40% - Accent2 13" xfId="503" xr:uid="{00000000-0005-0000-0000-000084080000}"/>
    <cellStyle name="40% - Accent2 13 2" xfId="3896" xr:uid="{00000000-0005-0000-0000-000085080000}"/>
    <cellStyle name="40% - Accent2 14" xfId="504" xr:uid="{00000000-0005-0000-0000-000086080000}"/>
    <cellStyle name="40% - Accent2 15" xfId="505" xr:uid="{00000000-0005-0000-0000-000087080000}"/>
    <cellStyle name="40% - Accent2 15 2" xfId="506" xr:uid="{00000000-0005-0000-0000-000088080000}"/>
    <cellStyle name="40% - Accent2 15 3" xfId="507" xr:uid="{00000000-0005-0000-0000-000089080000}"/>
    <cellStyle name="40% - Accent2 15 4" xfId="508" xr:uid="{00000000-0005-0000-0000-00008A080000}"/>
    <cellStyle name="40% - Accent2 15 5" xfId="509" xr:uid="{00000000-0005-0000-0000-00008B080000}"/>
    <cellStyle name="40% - Accent2 16" xfId="510" xr:uid="{00000000-0005-0000-0000-00008C080000}"/>
    <cellStyle name="40% - Accent2 16 2" xfId="511" xr:uid="{00000000-0005-0000-0000-00008D080000}"/>
    <cellStyle name="40% - Accent2 16 3" xfId="512" xr:uid="{00000000-0005-0000-0000-00008E080000}"/>
    <cellStyle name="40% - Accent2 16 4" xfId="513" xr:uid="{00000000-0005-0000-0000-00008F080000}"/>
    <cellStyle name="40% - Accent2 16 5" xfId="514" xr:uid="{00000000-0005-0000-0000-000090080000}"/>
    <cellStyle name="40% - Accent2 17" xfId="515" xr:uid="{00000000-0005-0000-0000-000091080000}"/>
    <cellStyle name="40% - Accent2 17 2" xfId="516" xr:uid="{00000000-0005-0000-0000-000092080000}"/>
    <cellStyle name="40% - Accent2 17 3" xfId="517" xr:uid="{00000000-0005-0000-0000-000093080000}"/>
    <cellStyle name="40% - Accent2 17 4" xfId="518" xr:uid="{00000000-0005-0000-0000-000094080000}"/>
    <cellStyle name="40% - Accent2 17 5" xfId="519" xr:uid="{00000000-0005-0000-0000-000095080000}"/>
    <cellStyle name="40% - Accent2 18" xfId="520" xr:uid="{00000000-0005-0000-0000-000096080000}"/>
    <cellStyle name="40% - Accent2 19" xfId="521" xr:uid="{00000000-0005-0000-0000-000097080000}"/>
    <cellStyle name="40% - Accent2 2" xfId="522" xr:uid="{00000000-0005-0000-0000-000098080000}"/>
    <cellStyle name="40% - Accent2 2 2" xfId="523" xr:uid="{00000000-0005-0000-0000-000099080000}"/>
    <cellStyle name="40% - Accent2 2 2 2" xfId="524" xr:uid="{00000000-0005-0000-0000-00009A080000}"/>
    <cellStyle name="40% - Accent2 2 2 2 2" xfId="525" xr:uid="{00000000-0005-0000-0000-00009B080000}"/>
    <cellStyle name="40% - Accent2 2 2 2 2 2" xfId="3897" xr:uid="{00000000-0005-0000-0000-00009C080000}"/>
    <cellStyle name="40% - Accent2 2 2 2 2 2 2" xfId="3898" xr:uid="{00000000-0005-0000-0000-00009D080000}"/>
    <cellStyle name="40% - Accent2 2 2 2 2 2 2 2" xfId="3899" xr:uid="{00000000-0005-0000-0000-00009E080000}"/>
    <cellStyle name="40% - Accent2 2 2 2 2 2 3" xfId="3900" xr:uid="{00000000-0005-0000-0000-00009F080000}"/>
    <cellStyle name="40% - Accent2 2 2 2 2 3" xfId="3901" xr:uid="{00000000-0005-0000-0000-0000A0080000}"/>
    <cellStyle name="40% - Accent2 2 2 2 2 3 2" xfId="3902" xr:uid="{00000000-0005-0000-0000-0000A1080000}"/>
    <cellStyle name="40% - Accent2 2 2 2 2 4" xfId="3903" xr:uid="{00000000-0005-0000-0000-0000A2080000}"/>
    <cellStyle name="40% - Accent2 2 2 2 2 5" xfId="3904" xr:uid="{00000000-0005-0000-0000-0000A3080000}"/>
    <cellStyle name="40% - Accent2 2 2 2 3" xfId="526" xr:uid="{00000000-0005-0000-0000-0000A4080000}"/>
    <cellStyle name="40% - Accent2 2 2 2 3 2" xfId="3905" xr:uid="{00000000-0005-0000-0000-0000A5080000}"/>
    <cellStyle name="40% - Accent2 2 2 2 3 2 2" xfId="3906" xr:uid="{00000000-0005-0000-0000-0000A6080000}"/>
    <cellStyle name="40% - Accent2 2 2 2 3 3" xfId="3907" xr:uid="{00000000-0005-0000-0000-0000A7080000}"/>
    <cellStyle name="40% - Accent2 2 2 2 4" xfId="527" xr:uid="{00000000-0005-0000-0000-0000A8080000}"/>
    <cellStyle name="40% - Accent2 2 2 2 4 2" xfId="3908" xr:uid="{00000000-0005-0000-0000-0000A9080000}"/>
    <cellStyle name="40% - Accent2 2 2 2 5" xfId="528" xr:uid="{00000000-0005-0000-0000-0000AA080000}"/>
    <cellStyle name="40% - Accent2 2 2 2 6" xfId="3909" xr:uid="{00000000-0005-0000-0000-0000AB080000}"/>
    <cellStyle name="40% - Accent2 2 2 3" xfId="529" xr:uid="{00000000-0005-0000-0000-0000AC080000}"/>
    <cellStyle name="40% - Accent2 2 2 3 2" xfId="3910" xr:uid="{00000000-0005-0000-0000-0000AD080000}"/>
    <cellStyle name="40% - Accent2 2 2 3 2 2" xfId="3911" xr:uid="{00000000-0005-0000-0000-0000AE080000}"/>
    <cellStyle name="40% - Accent2 2 2 3 2 2 2" xfId="3912" xr:uid="{00000000-0005-0000-0000-0000AF080000}"/>
    <cellStyle name="40% - Accent2 2 2 3 2 3" xfId="3913" xr:uid="{00000000-0005-0000-0000-0000B0080000}"/>
    <cellStyle name="40% - Accent2 2 2 3 3" xfId="3914" xr:uid="{00000000-0005-0000-0000-0000B1080000}"/>
    <cellStyle name="40% - Accent2 2 2 3 3 2" xfId="3915" xr:uid="{00000000-0005-0000-0000-0000B2080000}"/>
    <cellStyle name="40% - Accent2 2 2 3 4" xfId="3916" xr:uid="{00000000-0005-0000-0000-0000B3080000}"/>
    <cellStyle name="40% - Accent2 2 2 3 5" xfId="3917" xr:uid="{00000000-0005-0000-0000-0000B4080000}"/>
    <cellStyle name="40% - Accent2 2 2 4" xfId="530" xr:uid="{00000000-0005-0000-0000-0000B5080000}"/>
    <cellStyle name="40% - Accent2 2 2 4 2" xfId="3918" xr:uid="{00000000-0005-0000-0000-0000B6080000}"/>
    <cellStyle name="40% - Accent2 2 2 4 2 2" xfId="3919" xr:uid="{00000000-0005-0000-0000-0000B7080000}"/>
    <cellStyle name="40% - Accent2 2 2 4 3" xfId="3920" xr:uid="{00000000-0005-0000-0000-0000B8080000}"/>
    <cellStyle name="40% - Accent2 2 2 5" xfId="531" xr:uid="{00000000-0005-0000-0000-0000B9080000}"/>
    <cellStyle name="40% - Accent2 2 2 5 2" xfId="3921" xr:uid="{00000000-0005-0000-0000-0000BA080000}"/>
    <cellStyle name="40% - Accent2 2 2 6" xfId="3922" xr:uid="{00000000-0005-0000-0000-0000BB080000}"/>
    <cellStyle name="40% - Accent2 2 2 7" xfId="3923" xr:uid="{00000000-0005-0000-0000-0000BC080000}"/>
    <cellStyle name="40% - Accent2 2 3" xfId="532" xr:uid="{00000000-0005-0000-0000-0000BD080000}"/>
    <cellStyle name="40% - Accent2 2 3 2" xfId="3924" xr:uid="{00000000-0005-0000-0000-0000BE080000}"/>
    <cellStyle name="40% - Accent2 2 3 2 2" xfId="3925" xr:uid="{00000000-0005-0000-0000-0000BF080000}"/>
    <cellStyle name="40% - Accent2 2 3 2 2 2" xfId="3926" xr:uid="{00000000-0005-0000-0000-0000C0080000}"/>
    <cellStyle name="40% - Accent2 2 3 2 2 2 2" xfId="3927" xr:uid="{00000000-0005-0000-0000-0000C1080000}"/>
    <cellStyle name="40% - Accent2 2 3 2 2 3" xfId="3928" xr:uid="{00000000-0005-0000-0000-0000C2080000}"/>
    <cellStyle name="40% - Accent2 2 3 2 3" xfId="3929" xr:uid="{00000000-0005-0000-0000-0000C3080000}"/>
    <cellStyle name="40% - Accent2 2 3 2 3 2" xfId="3930" xr:uid="{00000000-0005-0000-0000-0000C4080000}"/>
    <cellStyle name="40% - Accent2 2 3 2 4" xfId="3931" xr:uid="{00000000-0005-0000-0000-0000C5080000}"/>
    <cellStyle name="40% - Accent2 2 3 3" xfId="3932" xr:uid="{00000000-0005-0000-0000-0000C6080000}"/>
    <cellStyle name="40% - Accent2 2 3 3 2" xfId="3933" xr:uid="{00000000-0005-0000-0000-0000C7080000}"/>
    <cellStyle name="40% - Accent2 2 3 3 2 2" xfId="3934" xr:uid="{00000000-0005-0000-0000-0000C8080000}"/>
    <cellStyle name="40% - Accent2 2 3 3 3" xfId="3935" xr:uid="{00000000-0005-0000-0000-0000C9080000}"/>
    <cellStyle name="40% - Accent2 2 3 4" xfId="3936" xr:uid="{00000000-0005-0000-0000-0000CA080000}"/>
    <cellStyle name="40% - Accent2 2 3 4 2" xfId="3937" xr:uid="{00000000-0005-0000-0000-0000CB080000}"/>
    <cellStyle name="40% - Accent2 2 3 5" xfId="3938" xr:uid="{00000000-0005-0000-0000-0000CC080000}"/>
    <cellStyle name="40% - Accent2 2 3 6" xfId="3939" xr:uid="{00000000-0005-0000-0000-0000CD080000}"/>
    <cellStyle name="40% - Accent2 2 4" xfId="533" xr:uid="{00000000-0005-0000-0000-0000CE080000}"/>
    <cellStyle name="40% - Accent2 2 4 2" xfId="3940" xr:uid="{00000000-0005-0000-0000-0000CF080000}"/>
    <cellStyle name="40% - Accent2 2 4 2 2" xfId="3941" xr:uid="{00000000-0005-0000-0000-0000D0080000}"/>
    <cellStyle name="40% - Accent2 2 4 2 2 2" xfId="3942" xr:uid="{00000000-0005-0000-0000-0000D1080000}"/>
    <cellStyle name="40% - Accent2 2 4 2 3" xfId="3943" xr:uid="{00000000-0005-0000-0000-0000D2080000}"/>
    <cellStyle name="40% - Accent2 2 4 3" xfId="3944" xr:uid="{00000000-0005-0000-0000-0000D3080000}"/>
    <cellStyle name="40% - Accent2 2 4 3 2" xfId="3945" xr:uid="{00000000-0005-0000-0000-0000D4080000}"/>
    <cellStyle name="40% - Accent2 2 4 4" xfId="3946" xr:uid="{00000000-0005-0000-0000-0000D5080000}"/>
    <cellStyle name="40% - Accent2 2 4 5" xfId="3947" xr:uid="{00000000-0005-0000-0000-0000D6080000}"/>
    <cellStyle name="40% - Accent2 2 5" xfId="534" xr:uid="{00000000-0005-0000-0000-0000D7080000}"/>
    <cellStyle name="40% - Accent2 2 5 2" xfId="3948" xr:uid="{00000000-0005-0000-0000-0000D8080000}"/>
    <cellStyle name="40% - Accent2 2 5 2 2" xfId="3949" xr:uid="{00000000-0005-0000-0000-0000D9080000}"/>
    <cellStyle name="40% - Accent2 2 5 3" xfId="3950" xr:uid="{00000000-0005-0000-0000-0000DA080000}"/>
    <cellStyle name="40% - Accent2 2 5 4" xfId="3951" xr:uid="{00000000-0005-0000-0000-0000DB080000}"/>
    <cellStyle name="40% - Accent2 2 6" xfId="535" xr:uid="{00000000-0005-0000-0000-0000DC080000}"/>
    <cellStyle name="40% - Accent2 2 6 2" xfId="3952" xr:uid="{00000000-0005-0000-0000-0000DD080000}"/>
    <cellStyle name="40% - Accent2 2 6 3" xfId="3953" xr:uid="{00000000-0005-0000-0000-0000DE080000}"/>
    <cellStyle name="40% - Accent2 2 7" xfId="536" xr:uid="{00000000-0005-0000-0000-0000DF080000}"/>
    <cellStyle name="40% - Accent2 2 8" xfId="537" xr:uid="{00000000-0005-0000-0000-0000E0080000}"/>
    <cellStyle name="40% - Accent2 2 9" xfId="538" xr:uid="{00000000-0005-0000-0000-0000E1080000}"/>
    <cellStyle name="40% - Accent2 20" xfId="539" xr:uid="{00000000-0005-0000-0000-0000E2080000}"/>
    <cellStyle name="40% - Accent2 21" xfId="540" xr:uid="{00000000-0005-0000-0000-0000E3080000}"/>
    <cellStyle name="40% - Accent2 22" xfId="541" xr:uid="{00000000-0005-0000-0000-0000E4080000}"/>
    <cellStyle name="40% - Accent2 23" xfId="542" xr:uid="{00000000-0005-0000-0000-0000E5080000}"/>
    <cellStyle name="40% - Accent2 24" xfId="543" xr:uid="{00000000-0005-0000-0000-0000E6080000}"/>
    <cellStyle name="40% - Accent2 25" xfId="544" xr:uid="{00000000-0005-0000-0000-0000E7080000}"/>
    <cellStyle name="40% - Accent2 26" xfId="545" xr:uid="{00000000-0005-0000-0000-0000E8080000}"/>
    <cellStyle name="40% - Accent2 27" xfId="546" xr:uid="{00000000-0005-0000-0000-0000E9080000}"/>
    <cellStyle name="40% - Accent2 28" xfId="547" xr:uid="{00000000-0005-0000-0000-0000EA080000}"/>
    <cellStyle name="40% - Accent2 29" xfId="548" xr:uid="{00000000-0005-0000-0000-0000EB080000}"/>
    <cellStyle name="40% - Accent2 3" xfId="549" xr:uid="{00000000-0005-0000-0000-0000EC080000}"/>
    <cellStyle name="40% - Accent2 3 2" xfId="3954" xr:uid="{00000000-0005-0000-0000-0000ED080000}"/>
    <cellStyle name="40% - Accent2 3 2 2" xfId="3955" xr:uid="{00000000-0005-0000-0000-0000EE080000}"/>
    <cellStyle name="40% - Accent2 3 2 2 2" xfId="3956" xr:uid="{00000000-0005-0000-0000-0000EF080000}"/>
    <cellStyle name="40% - Accent2 3 2 2 2 2" xfId="3957" xr:uid="{00000000-0005-0000-0000-0000F0080000}"/>
    <cellStyle name="40% - Accent2 3 2 2 2 2 2" xfId="3958" xr:uid="{00000000-0005-0000-0000-0000F1080000}"/>
    <cellStyle name="40% - Accent2 3 2 2 2 2 2 2" xfId="3959" xr:uid="{00000000-0005-0000-0000-0000F2080000}"/>
    <cellStyle name="40% - Accent2 3 2 2 2 2 3" xfId="3960" xr:uid="{00000000-0005-0000-0000-0000F3080000}"/>
    <cellStyle name="40% - Accent2 3 2 2 2 3" xfId="3961" xr:uid="{00000000-0005-0000-0000-0000F4080000}"/>
    <cellStyle name="40% - Accent2 3 2 2 2 3 2" xfId="3962" xr:uid="{00000000-0005-0000-0000-0000F5080000}"/>
    <cellStyle name="40% - Accent2 3 2 2 2 4" xfId="3963" xr:uid="{00000000-0005-0000-0000-0000F6080000}"/>
    <cellStyle name="40% - Accent2 3 2 2 3" xfId="3964" xr:uid="{00000000-0005-0000-0000-0000F7080000}"/>
    <cellStyle name="40% - Accent2 3 2 2 3 2" xfId="3965" xr:uid="{00000000-0005-0000-0000-0000F8080000}"/>
    <cellStyle name="40% - Accent2 3 2 2 3 2 2" xfId="3966" xr:uid="{00000000-0005-0000-0000-0000F9080000}"/>
    <cellStyle name="40% - Accent2 3 2 2 3 3" xfId="3967" xr:uid="{00000000-0005-0000-0000-0000FA080000}"/>
    <cellStyle name="40% - Accent2 3 2 2 4" xfId="3968" xr:uid="{00000000-0005-0000-0000-0000FB080000}"/>
    <cellStyle name="40% - Accent2 3 2 2 4 2" xfId="3969" xr:uid="{00000000-0005-0000-0000-0000FC080000}"/>
    <cellStyle name="40% - Accent2 3 2 2 5" xfId="3970" xr:uid="{00000000-0005-0000-0000-0000FD080000}"/>
    <cellStyle name="40% - Accent2 3 2 2 6" xfId="3971" xr:uid="{00000000-0005-0000-0000-0000FE080000}"/>
    <cellStyle name="40% - Accent2 3 2 3" xfId="3972" xr:uid="{00000000-0005-0000-0000-0000FF080000}"/>
    <cellStyle name="40% - Accent2 3 2 3 2" xfId="3973" xr:uid="{00000000-0005-0000-0000-000000090000}"/>
    <cellStyle name="40% - Accent2 3 2 3 2 2" xfId="3974" xr:uid="{00000000-0005-0000-0000-000001090000}"/>
    <cellStyle name="40% - Accent2 3 2 3 2 2 2" xfId="3975" xr:uid="{00000000-0005-0000-0000-000002090000}"/>
    <cellStyle name="40% - Accent2 3 2 3 2 3" xfId="3976" xr:uid="{00000000-0005-0000-0000-000003090000}"/>
    <cellStyle name="40% - Accent2 3 2 3 3" xfId="3977" xr:uid="{00000000-0005-0000-0000-000004090000}"/>
    <cellStyle name="40% - Accent2 3 2 3 3 2" xfId="3978" xr:uid="{00000000-0005-0000-0000-000005090000}"/>
    <cellStyle name="40% - Accent2 3 2 3 4" xfId="3979" xr:uid="{00000000-0005-0000-0000-000006090000}"/>
    <cellStyle name="40% - Accent2 3 2 4" xfId="3980" xr:uid="{00000000-0005-0000-0000-000007090000}"/>
    <cellStyle name="40% - Accent2 3 2 4 2" xfId="3981" xr:uid="{00000000-0005-0000-0000-000008090000}"/>
    <cellStyle name="40% - Accent2 3 2 4 2 2" xfId="3982" xr:uid="{00000000-0005-0000-0000-000009090000}"/>
    <cellStyle name="40% - Accent2 3 2 4 3" xfId="3983" xr:uid="{00000000-0005-0000-0000-00000A090000}"/>
    <cellStyle name="40% - Accent2 3 2 5" xfId="3984" xr:uid="{00000000-0005-0000-0000-00000B090000}"/>
    <cellStyle name="40% - Accent2 3 2 5 2" xfId="3985" xr:uid="{00000000-0005-0000-0000-00000C090000}"/>
    <cellStyle name="40% - Accent2 3 2 6" xfId="3986" xr:uid="{00000000-0005-0000-0000-00000D090000}"/>
    <cellStyle name="40% - Accent2 3 2 7" xfId="3987" xr:uid="{00000000-0005-0000-0000-00000E090000}"/>
    <cellStyle name="40% - Accent2 3 3" xfId="3988" xr:uid="{00000000-0005-0000-0000-00000F090000}"/>
    <cellStyle name="40% - Accent2 3 3 2" xfId="3989" xr:uid="{00000000-0005-0000-0000-000010090000}"/>
    <cellStyle name="40% - Accent2 3 3 2 2" xfId="3990" xr:uid="{00000000-0005-0000-0000-000011090000}"/>
    <cellStyle name="40% - Accent2 3 3 2 2 2" xfId="3991" xr:uid="{00000000-0005-0000-0000-000012090000}"/>
    <cellStyle name="40% - Accent2 3 3 2 2 2 2" xfId="3992" xr:uid="{00000000-0005-0000-0000-000013090000}"/>
    <cellStyle name="40% - Accent2 3 3 2 2 3" xfId="3993" xr:uid="{00000000-0005-0000-0000-000014090000}"/>
    <cellStyle name="40% - Accent2 3 3 2 3" xfId="3994" xr:uid="{00000000-0005-0000-0000-000015090000}"/>
    <cellStyle name="40% - Accent2 3 3 2 3 2" xfId="3995" xr:uid="{00000000-0005-0000-0000-000016090000}"/>
    <cellStyle name="40% - Accent2 3 3 2 4" xfId="3996" xr:uid="{00000000-0005-0000-0000-000017090000}"/>
    <cellStyle name="40% - Accent2 3 3 3" xfId="3997" xr:uid="{00000000-0005-0000-0000-000018090000}"/>
    <cellStyle name="40% - Accent2 3 3 3 2" xfId="3998" xr:uid="{00000000-0005-0000-0000-000019090000}"/>
    <cellStyle name="40% - Accent2 3 3 3 2 2" xfId="3999" xr:uid="{00000000-0005-0000-0000-00001A090000}"/>
    <cellStyle name="40% - Accent2 3 3 3 3" xfId="4000" xr:uid="{00000000-0005-0000-0000-00001B090000}"/>
    <cellStyle name="40% - Accent2 3 3 4" xfId="4001" xr:uid="{00000000-0005-0000-0000-00001C090000}"/>
    <cellStyle name="40% - Accent2 3 3 4 2" xfId="4002" xr:uid="{00000000-0005-0000-0000-00001D090000}"/>
    <cellStyle name="40% - Accent2 3 3 5" xfId="4003" xr:uid="{00000000-0005-0000-0000-00001E090000}"/>
    <cellStyle name="40% - Accent2 3 3 6" xfId="4004" xr:uid="{00000000-0005-0000-0000-00001F090000}"/>
    <cellStyle name="40% - Accent2 3 4" xfId="4005" xr:uid="{00000000-0005-0000-0000-000020090000}"/>
    <cellStyle name="40% - Accent2 3 4 2" xfId="4006" xr:uid="{00000000-0005-0000-0000-000021090000}"/>
    <cellStyle name="40% - Accent2 3 4 2 2" xfId="4007" xr:uid="{00000000-0005-0000-0000-000022090000}"/>
    <cellStyle name="40% - Accent2 3 4 2 2 2" xfId="4008" xr:uid="{00000000-0005-0000-0000-000023090000}"/>
    <cellStyle name="40% - Accent2 3 4 2 3" xfId="4009" xr:uid="{00000000-0005-0000-0000-000024090000}"/>
    <cellStyle name="40% - Accent2 3 4 3" xfId="4010" xr:uid="{00000000-0005-0000-0000-000025090000}"/>
    <cellStyle name="40% - Accent2 3 4 3 2" xfId="4011" xr:uid="{00000000-0005-0000-0000-000026090000}"/>
    <cellStyle name="40% - Accent2 3 4 4" xfId="4012" xr:uid="{00000000-0005-0000-0000-000027090000}"/>
    <cellStyle name="40% - Accent2 3 4 5" xfId="4013" xr:uid="{00000000-0005-0000-0000-000028090000}"/>
    <cellStyle name="40% - Accent2 3 5" xfId="4014" xr:uid="{00000000-0005-0000-0000-000029090000}"/>
    <cellStyle name="40% - Accent2 3 5 2" xfId="4015" xr:uid="{00000000-0005-0000-0000-00002A090000}"/>
    <cellStyle name="40% - Accent2 3 5 2 2" xfId="4016" xr:uid="{00000000-0005-0000-0000-00002B090000}"/>
    <cellStyle name="40% - Accent2 3 5 3" xfId="4017" xr:uid="{00000000-0005-0000-0000-00002C090000}"/>
    <cellStyle name="40% - Accent2 3 6" xfId="4018" xr:uid="{00000000-0005-0000-0000-00002D090000}"/>
    <cellStyle name="40% - Accent2 3 6 2" xfId="4019" xr:uid="{00000000-0005-0000-0000-00002E090000}"/>
    <cellStyle name="40% - Accent2 3 7" xfId="4020" xr:uid="{00000000-0005-0000-0000-00002F090000}"/>
    <cellStyle name="40% - Accent2 3 8" xfId="4021" xr:uid="{00000000-0005-0000-0000-000030090000}"/>
    <cellStyle name="40% - Accent2 3 9" xfId="4022" xr:uid="{00000000-0005-0000-0000-000031090000}"/>
    <cellStyle name="40% - Accent2 30" xfId="550" xr:uid="{00000000-0005-0000-0000-000032090000}"/>
    <cellStyle name="40% - Accent2 31" xfId="551" xr:uid="{00000000-0005-0000-0000-000033090000}"/>
    <cellStyle name="40% - Accent2 32" xfId="552" xr:uid="{00000000-0005-0000-0000-000034090000}"/>
    <cellStyle name="40% - Accent2 33" xfId="553" xr:uid="{00000000-0005-0000-0000-000035090000}"/>
    <cellStyle name="40% - Accent2 34" xfId="554" xr:uid="{00000000-0005-0000-0000-000036090000}"/>
    <cellStyle name="40% - Accent2 35" xfId="555" xr:uid="{00000000-0005-0000-0000-000037090000}"/>
    <cellStyle name="40% - Accent2 4" xfId="556" xr:uid="{00000000-0005-0000-0000-000038090000}"/>
    <cellStyle name="40% - Accent2 4 2" xfId="4023" xr:uid="{00000000-0005-0000-0000-000039090000}"/>
    <cellStyle name="40% - Accent2 4 2 2" xfId="4024" xr:uid="{00000000-0005-0000-0000-00003A090000}"/>
    <cellStyle name="40% - Accent2 4 2 2 2" xfId="4025" xr:uid="{00000000-0005-0000-0000-00003B090000}"/>
    <cellStyle name="40% - Accent2 4 2 2 2 2" xfId="4026" xr:uid="{00000000-0005-0000-0000-00003C090000}"/>
    <cellStyle name="40% - Accent2 4 2 2 2 2 2" xfId="4027" xr:uid="{00000000-0005-0000-0000-00003D090000}"/>
    <cellStyle name="40% - Accent2 4 2 2 2 3" xfId="4028" xr:uid="{00000000-0005-0000-0000-00003E090000}"/>
    <cellStyle name="40% - Accent2 4 2 2 3" xfId="4029" xr:uid="{00000000-0005-0000-0000-00003F090000}"/>
    <cellStyle name="40% - Accent2 4 2 2 3 2" xfId="4030" xr:uid="{00000000-0005-0000-0000-000040090000}"/>
    <cellStyle name="40% - Accent2 4 2 2 4" xfId="4031" xr:uid="{00000000-0005-0000-0000-000041090000}"/>
    <cellStyle name="40% - Accent2 4 2 3" xfId="4032" xr:uid="{00000000-0005-0000-0000-000042090000}"/>
    <cellStyle name="40% - Accent2 4 2 3 2" xfId="4033" xr:uid="{00000000-0005-0000-0000-000043090000}"/>
    <cellStyle name="40% - Accent2 4 2 3 2 2" xfId="4034" xr:uid="{00000000-0005-0000-0000-000044090000}"/>
    <cellStyle name="40% - Accent2 4 2 3 3" xfId="4035" xr:uid="{00000000-0005-0000-0000-000045090000}"/>
    <cellStyle name="40% - Accent2 4 2 4" xfId="4036" xr:uid="{00000000-0005-0000-0000-000046090000}"/>
    <cellStyle name="40% - Accent2 4 2 4 2" xfId="4037" xr:uid="{00000000-0005-0000-0000-000047090000}"/>
    <cellStyle name="40% - Accent2 4 2 5" xfId="4038" xr:uid="{00000000-0005-0000-0000-000048090000}"/>
    <cellStyle name="40% - Accent2 4 2 6" xfId="4039" xr:uid="{00000000-0005-0000-0000-000049090000}"/>
    <cellStyle name="40% - Accent2 4 3" xfId="4040" xr:uid="{00000000-0005-0000-0000-00004A090000}"/>
    <cellStyle name="40% - Accent2 4 3 2" xfId="4041" xr:uid="{00000000-0005-0000-0000-00004B090000}"/>
    <cellStyle name="40% - Accent2 4 3 2 2" xfId="4042" xr:uid="{00000000-0005-0000-0000-00004C090000}"/>
    <cellStyle name="40% - Accent2 4 3 2 2 2" xfId="4043" xr:uid="{00000000-0005-0000-0000-00004D090000}"/>
    <cellStyle name="40% - Accent2 4 3 2 3" xfId="4044" xr:uid="{00000000-0005-0000-0000-00004E090000}"/>
    <cellStyle name="40% - Accent2 4 3 3" xfId="4045" xr:uid="{00000000-0005-0000-0000-00004F090000}"/>
    <cellStyle name="40% - Accent2 4 3 3 2" xfId="4046" xr:uid="{00000000-0005-0000-0000-000050090000}"/>
    <cellStyle name="40% - Accent2 4 3 4" xfId="4047" xr:uid="{00000000-0005-0000-0000-000051090000}"/>
    <cellStyle name="40% - Accent2 4 3 5" xfId="4048" xr:uid="{00000000-0005-0000-0000-000052090000}"/>
    <cellStyle name="40% - Accent2 4 4" xfId="4049" xr:uid="{00000000-0005-0000-0000-000053090000}"/>
    <cellStyle name="40% - Accent2 4 4 2" xfId="4050" xr:uid="{00000000-0005-0000-0000-000054090000}"/>
    <cellStyle name="40% - Accent2 4 4 2 2" xfId="4051" xr:uid="{00000000-0005-0000-0000-000055090000}"/>
    <cellStyle name="40% - Accent2 4 4 3" xfId="4052" xr:uid="{00000000-0005-0000-0000-000056090000}"/>
    <cellStyle name="40% - Accent2 4 5" xfId="4053" xr:uid="{00000000-0005-0000-0000-000057090000}"/>
    <cellStyle name="40% - Accent2 4 5 2" xfId="4054" xr:uid="{00000000-0005-0000-0000-000058090000}"/>
    <cellStyle name="40% - Accent2 4 6" xfId="4055" xr:uid="{00000000-0005-0000-0000-000059090000}"/>
    <cellStyle name="40% - Accent2 4 7" xfId="4056" xr:uid="{00000000-0005-0000-0000-00005A090000}"/>
    <cellStyle name="40% - Accent2 5" xfId="557" xr:uid="{00000000-0005-0000-0000-00005B090000}"/>
    <cellStyle name="40% - Accent2 5 2" xfId="4057" xr:uid="{00000000-0005-0000-0000-00005C090000}"/>
    <cellStyle name="40% - Accent2 5 2 2" xfId="4058" xr:uid="{00000000-0005-0000-0000-00005D090000}"/>
    <cellStyle name="40% - Accent2 5 2 2 2" xfId="4059" xr:uid="{00000000-0005-0000-0000-00005E090000}"/>
    <cellStyle name="40% - Accent2 5 2 2 2 2" xfId="4060" xr:uid="{00000000-0005-0000-0000-00005F090000}"/>
    <cellStyle name="40% - Accent2 5 2 2 3" xfId="4061" xr:uid="{00000000-0005-0000-0000-000060090000}"/>
    <cellStyle name="40% - Accent2 5 2 3" xfId="4062" xr:uid="{00000000-0005-0000-0000-000061090000}"/>
    <cellStyle name="40% - Accent2 5 2 3 2" xfId="4063" xr:uid="{00000000-0005-0000-0000-000062090000}"/>
    <cellStyle name="40% - Accent2 5 2 4" xfId="4064" xr:uid="{00000000-0005-0000-0000-000063090000}"/>
    <cellStyle name="40% - Accent2 5 2 5" xfId="4065" xr:uid="{00000000-0005-0000-0000-000064090000}"/>
    <cellStyle name="40% - Accent2 5 3" xfId="4066" xr:uid="{00000000-0005-0000-0000-000065090000}"/>
    <cellStyle name="40% - Accent2 5 3 2" xfId="4067" xr:uid="{00000000-0005-0000-0000-000066090000}"/>
    <cellStyle name="40% - Accent2 5 3 2 2" xfId="4068" xr:uid="{00000000-0005-0000-0000-000067090000}"/>
    <cellStyle name="40% - Accent2 5 3 3" xfId="4069" xr:uid="{00000000-0005-0000-0000-000068090000}"/>
    <cellStyle name="40% - Accent2 5 4" xfId="4070" xr:uid="{00000000-0005-0000-0000-000069090000}"/>
    <cellStyle name="40% - Accent2 5 4 2" xfId="4071" xr:uid="{00000000-0005-0000-0000-00006A090000}"/>
    <cellStyle name="40% - Accent2 5 5" xfId="4072" xr:uid="{00000000-0005-0000-0000-00006B090000}"/>
    <cellStyle name="40% - Accent2 5 6" xfId="4073" xr:uid="{00000000-0005-0000-0000-00006C090000}"/>
    <cellStyle name="40% - Accent2 6" xfId="558" xr:uid="{00000000-0005-0000-0000-00006D090000}"/>
    <cellStyle name="40% - Accent2 6 2" xfId="4074" xr:uid="{00000000-0005-0000-0000-00006E090000}"/>
    <cellStyle name="40% - Accent2 6 2 2" xfId="4075" xr:uid="{00000000-0005-0000-0000-00006F090000}"/>
    <cellStyle name="40% - Accent2 6 2 2 2" xfId="4076" xr:uid="{00000000-0005-0000-0000-000070090000}"/>
    <cellStyle name="40% - Accent2 6 2 3" xfId="4077" xr:uid="{00000000-0005-0000-0000-000071090000}"/>
    <cellStyle name="40% - Accent2 6 2 4" xfId="4078" xr:uid="{00000000-0005-0000-0000-000072090000}"/>
    <cellStyle name="40% - Accent2 6 2 5" xfId="4079" xr:uid="{00000000-0005-0000-0000-000073090000}"/>
    <cellStyle name="40% - Accent2 6 3" xfId="4080" xr:uid="{00000000-0005-0000-0000-000074090000}"/>
    <cellStyle name="40% - Accent2 6 3 2" xfId="4081" xr:uid="{00000000-0005-0000-0000-000075090000}"/>
    <cellStyle name="40% - Accent2 6 4" xfId="4082" xr:uid="{00000000-0005-0000-0000-000076090000}"/>
    <cellStyle name="40% - Accent2 6 5" xfId="4083" xr:uid="{00000000-0005-0000-0000-000077090000}"/>
    <cellStyle name="40% - Accent2 7" xfId="559" xr:uid="{00000000-0005-0000-0000-000078090000}"/>
    <cellStyle name="40% - Accent2 7 2" xfId="4084" xr:uid="{00000000-0005-0000-0000-000079090000}"/>
    <cellStyle name="40% - Accent2 7 2 2" xfId="4085" xr:uid="{00000000-0005-0000-0000-00007A090000}"/>
    <cellStyle name="40% - Accent2 7 2 2 2" xfId="4086" xr:uid="{00000000-0005-0000-0000-00007B090000}"/>
    <cellStyle name="40% - Accent2 7 2 3" xfId="4087" xr:uid="{00000000-0005-0000-0000-00007C090000}"/>
    <cellStyle name="40% - Accent2 7 3" xfId="4088" xr:uid="{00000000-0005-0000-0000-00007D090000}"/>
    <cellStyle name="40% - Accent2 7 3 2" xfId="4089" xr:uid="{00000000-0005-0000-0000-00007E090000}"/>
    <cellStyle name="40% - Accent2 7 4" xfId="4090" xr:uid="{00000000-0005-0000-0000-00007F090000}"/>
    <cellStyle name="40% - Accent2 7 5" xfId="4091" xr:uid="{00000000-0005-0000-0000-000080090000}"/>
    <cellStyle name="40% - Accent2 8" xfId="560" xr:uid="{00000000-0005-0000-0000-000081090000}"/>
    <cellStyle name="40% - Accent2 8 2" xfId="4092" xr:uid="{00000000-0005-0000-0000-000082090000}"/>
    <cellStyle name="40% - Accent2 8 2 2" xfId="4093" xr:uid="{00000000-0005-0000-0000-000083090000}"/>
    <cellStyle name="40% - Accent2 8 2 2 2" xfId="4094" xr:uid="{00000000-0005-0000-0000-000084090000}"/>
    <cellStyle name="40% - Accent2 8 2 3" xfId="4095" xr:uid="{00000000-0005-0000-0000-000085090000}"/>
    <cellStyle name="40% - Accent2 8 3" xfId="4096" xr:uid="{00000000-0005-0000-0000-000086090000}"/>
    <cellStyle name="40% - Accent2 8 3 2" xfId="4097" xr:uid="{00000000-0005-0000-0000-000087090000}"/>
    <cellStyle name="40% - Accent2 8 4" xfId="4098" xr:uid="{00000000-0005-0000-0000-000088090000}"/>
    <cellStyle name="40% - Accent2 8 5" xfId="4099" xr:uid="{00000000-0005-0000-0000-000089090000}"/>
    <cellStyle name="40% - Accent2 9" xfId="561" xr:uid="{00000000-0005-0000-0000-00008A090000}"/>
    <cellStyle name="40% - Accent2 9 2" xfId="4100" xr:uid="{00000000-0005-0000-0000-00008B090000}"/>
    <cellStyle name="40% - Accent2 9 2 2" xfId="4101" xr:uid="{00000000-0005-0000-0000-00008C090000}"/>
    <cellStyle name="40% - Accent2 9 3" xfId="4102" xr:uid="{00000000-0005-0000-0000-00008D090000}"/>
    <cellStyle name="40% - Accent2 9 4" xfId="4103" xr:uid="{00000000-0005-0000-0000-00008E090000}"/>
    <cellStyle name="40% - Accent3" xfId="15184" builtinId="39" customBuiltin="1"/>
    <cellStyle name="40% - Accent3 10" xfId="562" xr:uid="{00000000-0005-0000-0000-000090090000}"/>
    <cellStyle name="40% - Accent3 10 2" xfId="4104" xr:uid="{00000000-0005-0000-0000-000091090000}"/>
    <cellStyle name="40% - Accent3 10 2 2" xfId="4105" xr:uid="{00000000-0005-0000-0000-000092090000}"/>
    <cellStyle name="40% - Accent3 10 3" xfId="4106" xr:uid="{00000000-0005-0000-0000-000093090000}"/>
    <cellStyle name="40% - Accent3 10 4" xfId="4107" xr:uid="{00000000-0005-0000-0000-000094090000}"/>
    <cellStyle name="40% - Accent3 11" xfId="563" xr:uid="{00000000-0005-0000-0000-000095090000}"/>
    <cellStyle name="40% - Accent3 11 2" xfId="4108" xr:uid="{00000000-0005-0000-0000-000096090000}"/>
    <cellStyle name="40% - Accent3 11 2 2" xfId="4109" xr:uid="{00000000-0005-0000-0000-000097090000}"/>
    <cellStyle name="40% - Accent3 11 3" xfId="4110" xr:uid="{00000000-0005-0000-0000-000098090000}"/>
    <cellStyle name="40% - Accent3 11 4" xfId="4111" xr:uid="{00000000-0005-0000-0000-000099090000}"/>
    <cellStyle name="40% - Accent3 12" xfId="564" xr:uid="{00000000-0005-0000-0000-00009A090000}"/>
    <cellStyle name="40% - Accent3 12 2" xfId="4112" xr:uid="{00000000-0005-0000-0000-00009B090000}"/>
    <cellStyle name="40% - Accent3 12 3" xfId="4113" xr:uid="{00000000-0005-0000-0000-00009C090000}"/>
    <cellStyle name="40% - Accent3 13" xfId="565" xr:uid="{00000000-0005-0000-0000-00009D090000}"/>
    <cellStyle name="40% - Accent3 13 2" xfId="4114" xr:uid="{00000000-0005-0000-0000-00009E090000}"/>
    <cellStyle name="40% - Accent3 14" xfId="566" xr:uid="{00000000-0005-0000-0000-00009F090000}"/>
    <cellStyle name="40% - Accent3 15" xfId="567" xr:uid="{00000000-0005-0000-0000-0000A0090000}"/>
    <cellStyle name="40% - Accent3 15 2" xfId="568" xr:uid="{00000000-0005-0000-0000-0000A1090000}"/>
    <cellStyle name="40% - Accent3 15 3" xfId="569" xr:uid="{00000000-0005-0000-0000-0000A2090000}"/>
    <cellStyle name="40% - Accent3 15 4" xfId="570" xr:uid="{00000000-0005-0000-0000-0000A3090000}"/>
    <cellStyle name="40% - Accent3 15 5" xfId="571" xr:uid="{00000000-0005-0000-0000-0000A4090000}"/>
    <cellStyle name="40% - Accent3 16" xfId="572" xr:uid="{00000000-0005-0000-0000-0000A5090000}"/>
    <cellStyle name="40% - Accent3 16 2" xfId="573" xr:uid="{00000000-0005-0000-0000-0000A6090000}"/>
    <cellStyle name="40% - Accent3 16 3" xfId="574" xr:uid="{00000000-0005-0000-0000-0000A7090000}"/>
    <cellStyle name="40% - Accent3 16 4" xfId="575" xr:uid="{00000000-0005-0000-0000-0000A8090000}"/>
    <cellStyle name="40% - Accent3 16 5" xfId="576" xr:uid="{00000000-0005-0000-0000-0000A9090000}"/>
    <cellStyle name="40% - Accent3 17" xfId="577" xr:uid="{00000000-0005-0000-0000-0000AA090000}"/>
    <cellStyle name="40% - Accent3 17 2" xfId="578" xr:uid="{00000000-0005-0000-0000-0000AB090000}"/>
    <cellStyle name="40% - Accent3 17 3" xfId="579" xr:uid="{00000000-0005-0000-0000-0000AC090000}"/>
    <cellStyle name="40% - Accent3 17 4" xfId="580" xr:uid="{00000000-0005-0000-0000-0000AD090000}"/>
    <cellStyle name="40% - Accent3 17 5" xfId="581" xr:uid="{00000000-0005-0000-0000-0000AE090000}"/>
    <cellStyle name="40% - Accent3 18" xfId="582" xr:uid="{00000000-0005-0000-0000-0000AF090000}"/>
    <cellStyle name="40% - Accent3 19" xfId="583" xr:uid="{00000000-0005-0000-0000-0000B0090000}"/>
    <cellStyle name="40% - Accent3 2" xfId="584" xr:uid="{00000000-0005-0000-0000-0000B1090000}"/>
    <cellStyle name="40% - Accent3 2 2" xfId="585" xr:uid="{00000000-0005-0000-0000-0000B2090000}"/>
    <cellStyle name="40% - Accent3 2 2 2" xfId="586" xr:uid="{00000000-0005-0000-0000-0000B3090000}"/>
    <cellStyle name="40% - Accent3 2 2 2 2" xfId="587" xr:uid="{00000000-0005-0000-0000-0000B4090000}"/>
    <cellStyle name="40% - Accent3 2 2 2 2 2" xfId="4115" xr:uid="{00000000-0005-0000-0000-0000B5090000}"/>
    <cellStyle name="40% - Accent3 2 2 2 2 2 2" xfId="4116" xr:uid="{00000000-0005-0000-0000-0000B6090000}"/>
    <cellStyle name="40% - Accent3 2 2 2 2 2 2 2" xfId="4117" xr:uid="{00000000-0005-0000-0000-0000B7090000}"/>
    <cellStyle name="40% - Accent3 2 2 2 2 2 3" xfId="4118" xr:uid="{00000000-0005-0000-0000-0000B8090000}"/>
    <cellStyle name="40% - Accent3 2 2 2 2 3" xfId="4119" xr:uid="{00000000-0005-0000-0000-0000B9090000}"/>
    <cellStyle name="40% - Accent3 2 2 2 2 3 2" xfId="4120" xr:uid="{00000000-0005-0000-0000-0000BA090000}"/>
    <cellStyle name="40% - Accent3 2 2 2 2 4" xfId="4121" xr:uid="{00000000-0005-0000-0000-0000BB090000}"/>
    <cellStyle name="40% - Accent3 2 2 2 2 5" xfId="4122" xr:uid="{00000000-0005-0000-0000-0000BC090000}"/>
    <cellStyle name="40% - Accent3 2 2 2 3" xfId="588" xr:uid="{00000000-0005-0000-0000-0000BD090000}"/>
    <cellStyle name="40% - Accent3 2 2 2 3 2" xfId="4123" xr:uid="{00000000-0005-0000-0000-0000BE090000}"/>
    <cellStyle name="40% - Accent3 2 2 2 3 2 2" xfId="4124" xr:uid="{00000000-0005-0000-0000-0000BF090000}"/>
    <cellStyle name="40% - Accent3 2 2 2 3 3" xfId="4125" xr:uid="{00000000-0005-0000-0000-0000C0090000}"/>
    <cellStyle name="40% - Accent3 2 2 2 4" xfId="589" xr:uid="{00000000-0005-0000-0000-0000C1090000}"/>
    <cellStyle name="40% - Accent3 2 2 2 4 2" xfId="4126" xr:uid="{00000000-0005-0000-0000-0000C2090000}"/>
    <cellStyle name="40% - Accent3 2 2 2 5" xfId="590" xr:uid="{00000000-0005-0000-0000-0000C3090000}"/>
    <cellStyle name="40% - Accent3 2 2 2 6" xfId="4127" xr:uid="{00000000-0005-0000-0000-0000C4090000}"/>
    <cellStyle name="40% - Accent3 2 2 3" xfId="591" xr:uid="{00000000-0005-0000-0000-0000C5090000}"/>
    <cellStyle name="40% - Accent3 2 2 3 2" xfId="4128" xr:uid="{00000000-0005-0000-0000-0000C6090000}"/>
    <cellStyle name="40% - Accent3 2 2 3 2 2" xfId="4129" xr:uid="{00000000-0005-0000-0000-0000C7090000}"/>
    <cellStyle name="40% - Accent3 2 2 3 2 2 2" xfId="4130" xr:uid="{00000000-0005-0000-0000-0000C8090000}"/>
    <cellStyle name="40% - Accent3 2 2 3 2 3" xfId="4131" xr:uid="{00000000-0005-0000-0000-0000C9090000}"/>
    <cellStyle name="40% - Accent3 2 2 3 3" xfId="4132" xr:uid="{00000000-0005-0000-0000-0000CA090000}"/>
    <cellStyle name="40% - Accent3 2 2 3 3 2" xfId="4133" xr:uid="{00000000-0005-0000-0000-0000CB090000}"/>
    <cellStyle name="40% - Accent3 2 2 3 4" xfId="4134" xr:uid="{00000000-0005-0000-0000-0000CC090000}"/>
    <cellStyle name="40% - Accent3 2 2 3 5" xfId="4135" xr:uid="{00000000-0005-0000-0000-0000CD090000}"/>
    <cellStyle name="40% - Accent3 2 2 4" xfId="592" xr:uid="{00000000-0005-0000-0000-0000CE090000}"/>
    <cellStyle name="40% - Accent3 2 2 4 2" xfId="4136" xr:uid="{00000000-0005-0000-0000-0000CF090000}"/>
    <cellStyle name="40% - Accent3 2 2 4 2 2" xfId="4137" xr:uid="{00000000-0005-0000-0000-0000D0090000}"/>
    <cellStyle name="40% - Accent3 2 2 4 3" xfId="4138" xr:uid="{00000000-0005-0000-0000-0000D1090000}"/>
    <cellStyle name="40% - Accent3 2 2 5" xfId="593" xr:uid="{00000000-0005-0000-0000-0000D2090000}"/>
    <cellStyle name="40% - Accent3 2 2 5 2" xfId="4139" xr:uid="{00000000-0005-0000-0000-0000D3090000}"/>
    <cellStyle name="40% - Accent3 2 2 6" xfId="4140" xr:uid="{00000000-0005-0000-0000-0000D4090000}"/>
    <cellStyle name="40% - Accent3 2 2 7" xfId="4141" xr:uid="{00000000-0005-0000-0000-0000D5090000}"/>
    <cellStyle name="40% - Accent3 2 3" xfId="594" xr:uid="{00000000-0005-0000-0000-0000D6090000}"/>
    <cellStyle name="40% - Accent3 2 3 2" xfId="4142" xr:uid="{00000000-0005-0000-0000-0000D7090000}"/>
    <cellStyle name="40% - Accent3 2 3 2 2" xfId="4143" xr:uid="{00000000-0005-0000-0000-0000D8090000}"/>
    <cellStyle name="40% - Accent3 2 3 2 2 2" xfId="4144" xr:uid="{00000000-0005-0000-0000-0000D9090000}"/>
    <cellStyle name="40% - Accent3 2 3 2 2 2 2" xfId="4145" xr:uid="{00000000-0005-0000-0000-0000DA090000}"/>
    <cellStyle name="40% - Accent3 2 3 2 2 3" xfId="4146" xr:uid="{00000000-0005-0000-0000-0000DB090000}"/>
    <cellStyle name="40% - Accent3 2 3 2 3" xfId="4147" xr:uid="{00000000-0005-0000-0000-0000DC090000}"/>
    <cellStyle name="40% - Accent3 2 3 2 3 2" xfId="4148" xr:uid="{00000000-0005-0000-0000-0000DD090000}"/>
    <cellStyle name="40% - Accent3 2 3 2 4" xfId="4149" xr:uid="{00000000-0005-0000-0000-0000DE090000}"/>
    <cellStyle name="40% - Accent3 2 3 3" xfId="4150" xr:uid="{00000000-0005-0000-0000-0000DF090000}"/>
    <cellStyle name="40% - Accent3 2 3 3 2" xfId="4151" xr:uid="{00000000-0005-0000-0000-0000E0090000}"/>
    <cellStyle name="40% - Accent3 2 3 3 2 2" xfId="4152" xr:uid="{00000000-0005-0000-0000-0000E1090000}"/>
    <cellStyle name="40% - Accent3 2 3 3 3" xfId="4153" xr:uid="{00000000-0005-0000-0000-0000E2090000}"/>
    <cellStyle name="40% - Accent3 2 3 4" xfId="4154" xr:uid="{00000000-0005-0000-0000-0000E3090000}"/>
    <cellStyle name="40% - Accent3 2 3 4 2" xfId="4155" xr:uid="{00000000-0005-0000-0000-0000E4090000}"/>
    <cellStyle name="40% - Accent3 2 3 5" xfId="4156" xr:uid="{00000000-0005-0000-0000-0000E5090000}"/>
    <cellStyle name="40% - Accent3 2 3 6" xfId="4157" xr:uid="{00000000-0005-0000-0000-0000E6090000}"/>
    <cellStyle name="40% - Accent3 2 4" xfId="595" xr:uid="{00000000-0005-0000-0000-0000E7090000}"/>
    <cellStyle name="40% - Accent3 2 4 2" xfId="4158" xr:uid="{00000000-0005-0000-0000-0000E8090000}"/>
    <cellStyle name="40% - Accent3 2 4 2 2" xfId="4159" xr:uid="{00000000-0005-0000-0000-0000E9090000}"/>
    <cellStyle name="40% - Accent3 2 4 2 2 2" xfId="4160" xr:uid="{00000000-0005-0000-0000-0000EA090000}"/>
    <cellStyle name="40% - Accent3 2 4 2 3" xfId="4161" xr:uid="{00000000-0005-0000-0000-0000EB090000}"/>
    <cellStyle name="40% - Accent3 2 4 3" xfId="4162" xr:uid="{00000000-0005-0000-0000-0000EC090000}"/>
    <cellStyle name="40% - Accent3 2 4 3 2" xfId="4163" xr:uid="{00000000-0005-0000-0000-0000ED090000}"/>
    <cellStyle name="40% - Accent3 2 4 4" xfId="4164" xr:uid="{00000000-0005-0000-0000-0000EE090000}"/>
    <cellStyle name="40% - Accent3 2 4 5" xfId="4165" xr:uid="{00000000-0005-0000-0000-0000EF090000}"/>
    <cellStyle name="40% - Accent3 2 5" xfId="596" xr:uid="{00000000-0005-0000-0000-0000F0090000}"/>
    <cellStyle name="40% - Accent3 2 5 2" xfId="4166" xr:uid="{00000000-0005-0000-0000-0000F1090000}"/>
    <cellStyle name="40% - Accent3 2 5 2 2" xfId="4167" xr:uid="{00000000-0005-0000-0000-0000F2090000}"/>
    <cellStyle name="40% - Accent3 2 5 3" xfId="4168" xr:uid="{00000000-0005-0000-0000-0000F3090000}"/>
    <cellStyle name="40% - Accent3 2 5 4" xfId="4169" xr:uid="{00000000-0005-0000-0000-0000F4090000}"/>
    <cellStyle name="40% - Accent3 2 6" xfId="597" xr:uid="{00000000-0005-0000-0000-0000F5090000}"/>
    <cellStyle name="40% - Accent3 2 6 2" xfId="4170" xr:uid="{00000000-0005-0000-0000-0000F6090000}"/>
    <cellStyle name="40% - Accent3 2 6 3" xfId="4171" xr:uid="{00000000-0005-0000-0000-0000F7090000}"/>
    <cellStyle name="40% - Accent3 2 7" xfId="598" xr:uid="{00000000-0005-0000-0000-0000F8090000}"/>
    <cellStyle name="40% - Accent3 2 8" xfId="599" xr:uid="{00000000-0005-0000-0000-0000F9090000}"/>
    <cellStyle name="40% - Accent3 2 9" xfId="600" xr:uid="{00000000-0005-0000-0000-0000FA090000}"/>
    <cellStyle name="40% - Accent3 20" xfId="601" xr:uid="{00000000-0005-0000-0000-0000FB090000}"/>
    <cellStyle name="40% - Accent3 21" xfId="602" xr:uid="{00000000-0005-0000-0000-0000FC090000}"/>
    <cellStyle name="40% - Accent3 22" xfId="603" xr:uid="{00000000-0005-0000-0000-0000FD090000}"/>
    <cellStyle name="40% - Accent3 23" xfId="604" xr:uid="{00000000-0005-0000-0000-0000FE090000}"/>
    <cellStyle name="40% - Accent3 24" xfId="605" xr:uid="{00000000-0005-0000-0000-0000FF090000}"/>
    <cellStyle name="40% - Accent3 25" xfId="606" xr:uid="{00000000-0005-0000-0000-0000000A0000}"/>
    <cellStyle name="40% - Accent3 26" xfId="607" xr:uid="{00000000-0005-0000-0000-0000010A0000}"/>
    <cellStyle name="40% - Accent3 27" xfId="608" xr:uid="{00000000-0005-0000-0000-0000020A0000}"/>
    <cellStyle name="40% - Accent3 28" xfId="609" xr:uid="{00000000-0005-0000-0000-0000030A0000}"/>
    <cellStyle name="40% - Accent3 29" xfId="610" xr:uid="{00000000-0005-0000-0000-0000040A0000}"/>
    <cellStyle name="40% - Accent3 3" xfId="611" xr:uid="{00000000-0005-0000-0000-0000050A0000}"/>
    <cellStyle name="40% - Accent3 3 2" xfId="4172" xr:uid="{00000000-0005-0000-0000-0000060A0000}"/>
    <cellStyle name="40% - Accent3 3 2 2" xfId="4173" xr:uid="{00000000-0005-0000-0000-0000070A0000}"/>
    <cellStyle name="40% - Accent3 3 2 2 2" xfId="4174" xr:uid="{00000000-0005-0000-0000-0000080A0000}"/>
    <cellStyle name="40% - Accent3 3 2 2 2 2" xfId="4175" xr:uid="{00000000-0005-0000-0000-0000090A0000}"/>
    <cellStyle name="40% - Accent3 3 2 2 2 2 2" xfId="4176" xr:uid="{00000000-0005-0000-0000-00000A0A0000}"/>
    <cellStyle name="40% - Accent3 3 2 2 2 2 2 2" xfId="4177" xr:uid="{00000000-0005-0000-0000-00000B0A0000}"/>
    <cellStyle name="40% - Accent3 3 2 2 2 2 3" xfId="4178" xr:uid="{00000000-0005-0000-0000-00000C0A0000}"/>
    <cellStyle name="40% - Accent3 3 2 2 2 3" xfId="4179" xr:uid="{00000000-0005-0000-0000-00000D0A0000}"/>
    <cellStyle name="40% - Accent3 3 2 2 2 3 2" xfId="4180" xr:uid="{00000000-0005-0000-0000-00000E0A0000}"/>
    <cellStyle name="40% - Accent3 3 2 2 2 4" xfId="4181" xr:uid="{00000000-0005-0000-0000-00000F0A0000}"/>
    <cellStyle name="40% - Accent3 3 2 2 3" xfId="4182" xr:uid="{00000000-0005-0000-0000-0000100A0000}"/>
    <cellStyle name="40% - Accent3 3 2 2 3 2" xfId="4183" xr:uid="{00000000-0005-0000-0000-0000110A0000}"/>
    <cellStyle name="40% - Accent3 3 2 2 3 2 2" xfId="4184" xr:uid="{00000000-0005-0000-0000-0000120A0000}"/>
    <cellStyle name="40% - Accent3 3 2 2 3 3" xfId="4185" xr:uid="{00000000-0005-0000-0000-0000130A0000}"/>
    <cellStyle name="40% - Accent3 3 2 2 4" xfId="4186" xr:uid="{00000000-0005-0000-0000-0000140A0000}"/>
    <cellStyle name="40% - Accent3 3 2 2 4 2" xfId="4187" xr:uid="{00000000-0005-0000-0000-0000150A0000}"/>
    <cellStyle name="40% - Accent3 3 2 2 5" xfId="4188" xr:uid="{00000000-0005-0000-0000-0000160A0000}"/>
    <cellStyle name="40% - Accent3 3 2 2 6" xfId="4189" xr:uid="{00000000-0005-0000-0000-0000170A0000}"/>
    <cellStyle name="40% - Accent3 3 2 3" xfId="4190" xr:uid="{00000000-0005-0000-0000-0000180A0000}"/>
    <cellStyle name="40% - Accent3 3 2 3 2" xfId="4191" xr:uid="{00000000-0005-0000-0000-0000190A0000}"/>
    <cellStyle name="40% - Accent3 3 2 3 2 2" xfId="4192" xr:uid="{00000000-0005-0000-0000-00001A0A0000}"/>
    <cellStyle name="40% - Accent3 3 2 3 2 2 2" xfId="4193" xr:uid="{00000000-0005-0000-0000-00001B0A0000}"/>
    <cellStyle name="40% - Accent3 3 2 3 2 3" xfId="4194" xr:uid="{00000000-0005-0000-0000-00001C0A0000}"/>
    <cellStyle name="40% - Accent3 3 2 3 3" xfId="4195" xr:uid="{00000000-0005-0000-0000-00001D0A0000}"/>
    <cellStyle name="40% - Accent3 3 2 3 3 2" xfId="4196" xr:uid="{00000000-0005-0000-0000-00001E0A0000}"/>
    <cellStyle name="40% - Accent3 3 2 3 4" xfId="4197" xr:uid="{00000000-0005-0000-0000-00001F0A0000}"/>
    <cellStyle name="40% - Accent3 3 2 4" xfId="4198" xr:uid="{00000000-0005-0000-0000-0000200A0000}"/>
    <cellStyle name="40% - Accent3 3 2 4 2" xfId="4199" xr:uid="{00000000-0005-0000-0000-0000210A0000}"/>
    <cellStyle name="40% - Accent3 3 2 4 2 2" xfId="4200" xr:uid="{00000000-0005-0000-0000-0000220A0000}"/>
    <cellStyle name="40% - Accent3 3 2 4 3" xfId="4201" xr:uid="{00000000-0005-0000-0000-0000230A0000}"/>
    <cellStyle name="40% - Accent3 3 2 5" xfId="4202" xr:uid="{00000000-0005-0000-0000-0000240A0000}"/>
    <cellStyle name="40% - Accent3 3 2 5 2" xfId="4203" xr:uid="{00000000-0005-0000-0000-0000250A0000}"/>
    <cellStyle name="40% - Accent3 3 2 6" xfId="4204" xr:uid="{00000000-0005-0000-0000-0000260A0000}"/>
    <cellStyle name="40% - Accent3 3 2 7" xfId="4205" xr:uid="{00000000-0005-0000-0000-0000270A0000}"/>
    <cellStyle name="40% - Accent3 3 3" xfId="4206" xr:uid="{00000000-0005-0000-0000-0000280A0000}"/>
    <cellStyle name="40% - Accent3 3 3 2" xfId="4207" xr:uid="{00000000-0005-0000-0000-0000290A0000}"/>
    <cellStyle name="40% - Accent3 3 3 2 2" xfId="4208" xr:uid="{00000000-0005-0000-0000-00002A0A0000}"/>
    <cellStyle name="40% - Accent3 3 3 2 2 2" xfId="4209" xr:uid="{00000000-0005-0000-0000-00002B0A0000}"/>
    <cellStyle name="40% - Accent3 3 3 2 2 2 2" xfId="4210" xr:uid="{00000000-0005-0000-0000-00002C0A0000}"/>
    <cellStyle name="40% - Accent3 3 3 2 2 3" xfId="4211" xr:uid="{00000000-0005-0000-0000-00002D0A0000}"/>
    <cellStyle name="40% - Accent3 3 3 2 3" xfId="4212" xr:uid="{00000000-0005-0000-0000-00002E0A0000}"/>
    <cellStyle name="40% - Accent3 3 3 2 3 2" xfId="4213" xr:uid="{00000000-0005-0000-0000-00002F0A0000}"/>
    <cellStyle name="40% - Accent3 3 3 2 4" xfId="4214" xr:uid="{00000000-0005-0000-0000-0000300A0000}"/>
    <cellStyle name="40% - Accent3 3 3 3" xfId="4215" xr:uid="{00000000-0005-0000-0000-0000310A0000}"/>
    <cellStyle name="40% - Accent3 3 3 3 2" xfId="4216" xr:uid="{00000000-0005-0000-0000-0000320A0000}"/>
    <cellStyle name="40% - Accent3 3 3 3 2 2" xfId="4217" xr:uid="{00000000-0005-0000-0000-0000330A0000}"/>
    <cellStyle name="40% - Accent3 3 3 3 3" xfId="4218" xr:uid="{00000000-0005-0000-0000-0000340A0000}"/>
    <cellStyle name="40% - Accent3 3 3 4" xfId="4219" xr:uid="{00000000-0005-0000-0000-0000350A0000}"/>
    <cellStyle name="40% - Accent3 3 3 4 2" xfId="4220" xr:uid="{00000000-0005-0000-0000-0000360A0000}"/>
    <cellStyle name="40% - Accent3 3 3 5" xfId="4221" xr:uid="{00000000-0005-0000-0000-0000370A0000}"/>
    <cellStyle name="40% - Accent3 3 3 6" xfId="4222" xr:uid="{00000000-0005-0000-0000-0000380A0000}"/>
    <cellStyle name="40% - Accent3 3 4" xfId="4223" xr:uid="{00000000-0005-0000-0000-0000390A0000}"/>
    <cellStyle name="40% - Accent3 3 4 2" xfId="4224" xr:uid="{00000000-0005-0000-0000-00003A0A0000}"/>
    <cellStyle name="40% - Accent3 3 4 2 2" xfId="4225" xr:uid="{00000000-0005-0000-0000-00003B0A0000}"/>
    <cellStyle name="40% - Accent3 3 4 2 2 2" xfId="4226" xr:uid="{00000000-0005-0000-0000-00003C0A0000}"/>
    <cellStyle name="40% - Accent3 3 4 2 3" xfId="4227" xr:uid="{00000000-0005-0000-0000-00003D0A0000}"/>
    <cellStyle name="40% - Accent3 3 4 3" xfId="4228" xr:uid="{00000000-0005-0000-0000-00003E0A0000}"/>
    <cellStyle name="40% - Accent3 3 4 3 2" xfId="4229" xr:uid="{00000000-0005-0000-0000-00003F0A0000}"/>
    <cellStyle name="40% - Accent3 3 4 4" xfId="4230" xr:uid="{00000000-0005-0000-0000-0000400A0000}"/>
    <cellStyle name="40% - Accent3 3 4 5" xfId="4231" xr:uid="{00000000-0005-0000-0000-0000410A0000}"/>
    <cellStyle name="40% - Accent3 3 5" xfId="4232" xr:uid="{00000000-0005-0000-0000-0000420A0000}"/>
    <cellStyle name="40% - Accent3 3 5 2" xfId="4233" xr:uid="{00000000-0005-0000-0000-0000430A0000}"/>
    <cellStyle name="40% - Accent3 3 5 2 2" xfId="4234" xr:uid="{00000000-0005-0000-0000-0000440A0000}"/>
    <cellStyle name="40% - Accent3 3 5 3" xfId="4235" xr:uid="{00000000-0005-0000-0000-0000450A0000}"/>
    <cellStyle name="40% - Accent3 3 6" xfId="4236" xr:uid="{00000000-0005-0000-0000-0000460A0000}"/>
    <cellStyle name="40% - Accent3 3 6 2" xfId="4237" xr:uid="{00000000-0005-0000-0000-0000470A0000}"/>
    <cellStyle name="40% - Accent3 3 7" xfId="4238" xr:uid="{00000000-0005-0000-0000-0000480A0000}"/>
    <cellStyle name="40% - Accent3 3 8" xfId="4239" xr:uid="{00000000-0005-0000-0000-0000490A0000}"/>
    <cellStyle name="40% - Accent3 3 9" xfId="4240" xr:uid="{00000000-0005-0000-0000-00004A0A0000}"/>
    <cellStyle name="40% - Accent3 30" xfId="612" xr:uid="{00000000-0005-0000-0000-00004B0A0000}"/>
    <cellStyle name="40% - Accent3 31" xfId="613" xr:uid="{00000000-0005-0000-0000-00004C0A0000}"/>
    <cellStyle name="40% - Accent3 32" xfId="614" xr:uid="{00000000-0005-0000-0000-00004D0A0000}"/>
    <cellStyle name="40% - Accent3 33" xfId="615" xr:uid="{00000000-0005-0000-0000-00004E0A0000}"/>
    <cellStyle name="40% - Accent3 34" xfId="616" xr:uid="{00000000-0005-0000-0000-00004F0A0000}"/>
    <cellStyle name="40% - Accent3 35" xfId="617" xr:uid="{00000000-0005-0000-0000-0000500A0000}"/>
    <cellStyle name="40% - Accent3 4" xfId="618" xr:uid="{00000000-0005-0000-0000-0000510A0000}"/>
    <cellStyle name="40% - Accent3 4 2" xfId="4241" xr:uid="{00000000-0005-0000-0000-0000520A0000}"/>
    <cellStyle name="40% - Accent3 4 2 2" xfId="4242" xr:uid="{00000000-0005-0000-0000-0000530A0000}"/>
    <cellStyle name="40% - Accent3 4 2 2 2" xfId="4243" xr:uid="{00000000-0005-0000-0000-0000540A0000}"/>
    <cellStyle name="40% - Accent3 4 2 2 2 2" xfId="4244" xr:uid="{00000000-0005-0000-0000-0000550A0000}"/>
    <cellStyle name="40% - Accent3 4 2 2 2 2 2" xfId="4245" xr:uid="{00000000-0005-0000-0000-0000560A0000}"/>
    <cellStyle name="40% - Accent3 4 2 2 2 3" xfId="4246" xr:uid="{00000000-0005-0000-0000-0000570A0000}"/>
    <cellStyle name="40% - Accent3 4 2 2 3" xfId="4247" xr:uid="{00000000-0005-0000-0000-0000580A0000}"/>
    <cellStyle name="40% - Accent3 4 2 2 3 2" xfId="4248" xr:uid="{00000000-0005-0000-0000-0000590A0000}"/>
    <cellStyle name="40% - Accent3 4 2 2 4" xfId="4249" xr:uid="{00000000-0005-0000-0000-00005A0A0000}"/>
    <cellStyle name="40% - Accent3 4 2 3" xfId="4250" xr:uid="{00000000-0005-0000-0000-00005B0A0000}"/>
    <cellStyle name="40% - Accent3 4 2 3 2" xfId="4251" xr:uid="{00000000-0005-0000-0000-00005C0A0000}"/>
    <cellStyle name="40% - Accent3 4 2 3 2 2" xfId="4252" xr:uid="{00000000-0005-0000-0000-00005D0A0000}"/>
    <cellStyle name="40% - Accent3 4 2 3 3" xfId="4253" xr:uid="{00000000-0005-0000-0000-00005E0A0000}"/>
    <cellStyle name="40% - Accent3 4 2 4" xfId="4254" xr:uid="{00000000-0005-0000-0000-00005F0A0000}"/>
    <cellStyle name="40% - Accent3 4 2 4 2" xfId="4255" xr:uid="{00000000-0005-0000-0000-0000600A0000}"/>
    <cellStyle name="40% - Accent3 4 2 5" xfId="4256" xr:uid="{00000000-0005-0000-0000-0000610A0000}"/>
    <cellStyle name="40% - Accent3 4 2 6" xfId="4257" xr:uid="{00000000-0005-0000-0000-0000620A0000}"/>
    <cellStyle name="40% - Accent3 4 3" xfId="4258" xr:uid="{00000000-0005-0000-0000-0000630A0000}"/>
    <cellStyle name="40% - Accent3 4 3 2" xfId="4259" xr:uid="{00000000-0005-0000-0000-0000640A0000}"/>
    <cellStyle name="40% - Accent3 4 3 2 2" xfId="4260" xr:uid="{00000000-0005-0000-0000-0000650A0000}"/>
    <cellStyle name="40% - Accent3 4 3 2 2 2" xfId="4261" xr:uid="{00000000-0005-0000-0000-0000660A0000}"/>
    <cellStyle name="40% - Accent3 4 3 2 3" xfId="4262" xr:uid="{00000000-0005-0000-0000-0000670A0000}"/>
    <cellStyle name="40% - Accent3 4 3 3" xfId="4263" xr:uid="{00000000-0005-0000-0000-0000680A0000}"/>
    <cellStyle name="40% - Accent3 4 3 3 2" xfId="4264" xr:uid="{00000000-0005-0000-0000-0000690A0000}"/>
    <cellStyle name="40% - Accent3 4 3 4" xfId="4265" xr:uid="{00000000-0005-0000-0000-00006A0A0000}"/>
    <cellStyle name="40% - Accent3 4 3 5" xfId="4266" xr:uid="{00000000-0005-0000-0000-00006B0A0000}"/>
    <cellStyle name="40% - Accent3 4 4" xfId="4267" xr:uid="{00000000-0005-0000-0000-00006C0A0000}"/>
    <cellStyle name="40% - Accent3 4 4 2" xfId="4268" xr:uid="{00000000-0005-0000-0000-00006D0A0000}"/>
    <cellStyle name="40% - Accent3 4 4 2 2" xfId="4269" xr:uid="{00000000-0005-0000-0000-00006E0A0000}"/>
    <cellStyle name="40% - Accent3 4 4 3" xfId="4270" xr:uid="{00000000-0005-0000-0000-00006F0A0000}"/>
    <cellStyle name="40% - Accent3 4 5" xfId="4271" xr:uid="{00000000-0005-0000-0000-0000700A0000}"/>
    <cellStyle name="40% - Accent3 4 5 2" xfId="4272" xr:uid="{00000000-0005-0000-0000-0000710A0000}"/>
    <cellStyle name="40% - Accent3 4 6" xfId="4273" xr:uid="{00000000-0005-0000-0000-0000720A0000}"/>
    <cellStyle name="40% - Accent3 4 7" xfId="4274" xr:uid="{00000000-0005-0000-0000-0000730A0000}"/>
    <cellStyle name="40% - Accent3 5" xfId="619" xr:uid="{00000000-0005-0000-0000-0000740A0000}"/>
    <cellStyle name="40% - Accent3 5 2" xfId="4275" xr:uid="{00000000-0005-0000-0000-0000750A0000}"/>
    <cellStyle name="40% - Accent3 5 2 2" xfId="4276" xr:uid="{00000000-0005-0000-0000-0000760A0000}"/>
    <cellStyle name="40% - Accent3 5 2 2 2" xfId="4277" xr:uid="{00000000-0005-0000-0000-0000770A0000}"/>
    <cellStyle name="40% - Accent3 5 2 2 2 2" xfId="4278" xr:uid="{00000000-0005-0000-0000-0000780A0000}"/>
    <cellStyle name="40% - Accent3 5 2 2 3" xfId="4279" xr:uid="{00000000-0005-0000-0000-0000790A0000}"/>
    <cellStyle name="40% - Accent3 5 2 3" xfId="4280" xr:uid="{00000000-0005-0000-0000-00007A0A0000}"/>
    <cellStyle name="40% - Accent3 5 2 3 2" xfId="4281" xr:uid="{00000000-0005-0000-0000-00007B0A0000}"/>
    <cellStyle name="40% - Accent3 5 2 4" xfId="4282" xr:uid="{00000000-0005-0000-0000-00007C0A0000}"/>
    <cellStyle name="40% - Accent3 5 2 5" xfId="4283" xr:uid="{00000000-0005-0000-0000-00007D0A0000}"/>
    <cellStyle name="40% - Accent3 5 3" xfId="4284" xr:uid="{00000000-0005-0000-0000-00007E0A0000}"/>
    <cellStyle name="40% - Accent3 5 3 2" xfId="4285" xr:uid="{00000000-0005-0000-0000-00007F0A0000}"/>
    <cellStyle name="40% - Accent3 5 3 2 2" xfId="4286" xr:uid="{00000000-0005-0000-0000-0000800A0000}"/>
    <cellStyle name="40% - Accent3 5 3 3" xfId="4287" xr:uid="{00000000-0005-0000-0000-0000810A0000}"/>
    <cellStyle name="40% - Accent3 5 4" xfId="4288" xr:uid="{00000000-0005-0000-0000-0000820A0000}"/>
    <cellStyle name="40% - Accent3 5 4 2" xfId="4289" xr:uid="{00000000-0005-0000-0000-0000830A0000}"/>
    <cellStyle name="40% - Accent3 5 5" xfId="4290" xr:uid="{00000000-0005-0000-0000-0000840A0000}"/>
    <cellStyle name="40% - Accent3 5 6" xfId="4291" xr:uid="{00000000-0005-0000-0000-0000850A0000}"/>
    <cellStyle name="40% - Accent3 6" xfId="620" xr:uid="{00000000-0005-0000-0000-0000860A0000}"/>
    <cellStyle name="40% - Accent3 6 2" xfId="4292" xr:uid="{00000000-0005-0000-0000-0000870A0000}"/>
    <cellStyle name="40% - Accent3 6 2 2" xfId="4293" xr:uid="{00000000-0005-0000-0000-0000880A0000}"/>
    <cellStyle name="40% - Accent3 6 2 2 2" xfId="4294" xr:uid="{00000000-0005-0000-0000-0000890A0000}"/>
    <cellStyle name="40% - Accent3 6 2 3" xfId="4295" xr:uid="{00000000-0005-0000-0000-00008A0A0000}"/>
    <cellStyle name="40% - Accent3 6 2 4" xfId="4296" xr:uid="{00000000-0005-0000-0000-00008B0A0000}"/>
    <cellStyle name="40% - Accent3 6 2 5" xfId="4297" xr:uid="{00000000-0005-0000-0000-00008C0A0000}"/>
    <cellStyle name="40% - Accent3 6 3" xfId="4298" xr:uid="{00000000-0005-0000-0000-00008D0A0000}"/>
    <cellStyle name="40% - Accent3 6 3 2" xfId="4299" xr:uid="{00000000-0005-0000-0000-00008E0A0000}"/>
    <cellStyle name="40% - Accent3 6 4" xfId="4300" xr:uid="{00000000-0005-0000-0000-00008F0A0000}"/>
    <cellStyle name="40% - Accent3 6 5" xfId="4301" xr:uid="{00000000-0005-0000-0000-0000900A0000}"/>
    <cellStyle name="40% - Accent3 7" xfId="621" xr:uid="{00000000-0005-0000-0000-0000910A0000}"/>
    <cellStyle name="40% - Accent3 7 2" xfId="4302" xr:uid="{00000000-0005-0000-0000-0000920A0000}"/>
    <cellStyle name="40% - Accent3 7 2 2" xfId="4303" xr:uid="{00000000-0005-0000-0000-0000930A0000}"/>
    <cellStyle name="40% - Accent3 7 2 2 2" xfId="4304" xr:uid="{00000000-0005-0000-0000-0000940A0000}"/>
    <cellStyle name="40% - Accent3 7 2 3" xfId="4305" xr:uid="{00000000-0005-0000-0000-0000950A0000}"/>
    <cellStyle name="40% - Accent3 7 3" xfId="4306" xr:uid="{00000000-0005-0000-0000-0000960A0000}"/>
    <cellStyle name="40% - Accent3 7 3 2" xfId="4307" xr:uid="{00000000-0005-0000-0000-0000970A0000}"/>
    <cellStyle name="40% - Accent3 7 4" xfId="4308" xr:uid="{00000000-0005-0000-0000-0000980A0000}"/>
    <cellStyle name="40% - Accent3 7 5" xfId="4309" xr:uid="{00000000-0005-0000-0000-0000990A0000}"/>
    <cellStyle name="40% - Accent3 8" xfId="622" xr:uid="{00000000-0005-0000-0000-00009A0A0000}"/>
    <cellStyle name="40% - Accent3 8 2" xfId="4310" xr:uid="{00000000-0005-0000-0000-00009B0A0000}"/>
    <cellStyle name="40% - Accent3 8 2 2" xfId="4311" xr:uid="{00000000-0005-0000-0000-00009C0A0000}"/>
    <cellStyle name="40% - Accent3 8 2 2 2" xfId="4312" xr:uid="{00000000-0005-0000-0000-00009D0A0000}"/>
    <cellStyle name="40% - Accent3 8 2 3" xfId="4313" xr:uid="{00000000-0005-0000-0000-00009E0A0000}"/>
    <cellStyle name="40% - Accent3 8 3" xfId="4314" xr:uid="{00000000-0005-0000-0000-00009F0A0000}"/>
    <cellStyle name="40% - Accent3 8 3 2" xfId="4315" xr:uid="{00000000-0005-0000-0000-0000A00A0000}"/>
    <cellStyle name="40% - Accent3 8 4" xfId="4316" xr:uid="{00000000-0005-0000-0000-0000A10A0000}"/>
    <cellStyle name="40% - Accent3 8 5" xfId="4317" xr:uid="{00000000-0005-0000-0000-0000A20A0000}"/>
    <cellStyle name="40% - Accent3 9" xfId="623" xr:uid="{00000000-0005-0000-0000-0000A30A0000}"/>
    <cellStyle name="40% - Accent3 9 2" xfId="4318" xr:uid="{00000000-0005-0000-0000-0000A40A0000}"/>
    <cellStyle name="40% - Accent3 9 2 2" xfId="4319" xr:uid="{00000000-0005-0000-0000-0000A50A0000}"/>
    <cellStyle name="40% - Accent3 9 3" xfId="4320" xr:uid="{00000000-0005-0000-0000-0000A60A0000}"/>
    <cellStyle name="40% - Accent3 9 4" xfId="4321" xr:uid="{00000000-0005-0000-0000-0000A70A0000}"/>
    <cellStyle name="40% - Accent4" xfId="15187" builtinId="43" customBuiltin="1"/>
    <cellStyle name="40% - Accent4 10" xfId="624" xr:uid="{00000000-0005-0000-0000-0000A90A0000}"/>
    <cellStyle name="40% - Accent4 10 2" xfId="4322" xr:uid="{00000000-0005-0000-0000-0000AA0A0000}"/>
    <cellStyle name="40% - Accent4 10 2 2" xfId="4323" xr:uid="{00000000-0005-0000-0000-0000AB0A0000}"/>
    <cellStyle name="40% - Accent4 10 3" xfId="4324" xr:uid="{00000000-0005-0000-0000-0000AC0A0000}"/>
    <cellStyle name="40% - Accent4 10 4" xfId="4325" xr:uid="{00000000-0005-0000-0000-0000AD0A0000}"/>
    <cellStyle name="40% - Accent4 11" xfId="625" xr:uid="{00000000-0005-0000-0000-0000AE0A0000}"/>
    <cellStyle name="40% - Accent4 11 2" xfId="4326" xr:uid="{00000000-0005-0000-0000-0000AF0A0000}"/>
    <cellStyle name="40% - Accent4 11 2 2" xfId="4327" xr:uid="{00000000-0005-0000-0000-0000B00A0000}"/>
    <cellStyle name="40% - Accent4 11 3" xfId="4328" xr:uid="{00000000-0005-0000-0000-0000B10A0000}"/>
    <cellStyle name="40% - Accent4 11 4" xfId="4329" xr:uid="{00000000-0005-0000-0000-0000B20A0000}"/>
    <cellStyle name="40% - Accent4 12" xfId="626" xr:uid="{00000000-0005-0000-0000-0000B30A0000}"/>
    <cellStyle name="40% - Accent4 12 2" xfId="4330" xr:uid="{00000000-0005-0000-0000-0000B40A0000}"/>
    <cellStyle name="40% - Accent4 12 3" xfId="4331" xr:uid="{00000000-0005-0000-0000-0000B50A0000}"/>
    <cellStyle name="40% - Accent4 13" xfId="627" xr:uid="{00000000-0005-0000-0000-0000B60A0000}"/>
    <cellStyle name="40% - Accent4 13 2" xfId="4332" xr:uid="{00000000-0005-0000-0000-0000B70A0000}"/>
    <cellStyle name="40% - Accent4 14" xfId="628" xr:uid="{00000000-0005-0000-0000-0000B80A0000}"/>
    <cellStyle name="40% - Accent4 15" xfId="629" xr:uid="{00000000-0005-0000-0000-0000B90A0000}"/>
    <cellStyle name="40% - Accent4 15 2" xfId="630" xr:uid="{00000000-0005-0000-0000-0000BA0A0000}"/>
    <cellStyle name="40% - Accent4 15 3" xfId="631" xr:uid="{00000000-0005-0000-0000-0000BB0A0000}"/>
    <cellStyle name="40% - Accent4 15 4" xfId="632" xr:uid="{00000000-0005-0000-0000-0000BC0A0000}"/>
    <cellStyle name="40% - Accent4 15 5" xfId="633" xr:uid="{00000000-0005-0000-0000-0000BD0A0000}"/>
    <cellStyle name="40% - Accent4 16" xfId="634" xr:uid="{00000000-0005-0000-0000-0000BE0A0000}"/>
    <cellStyle name="40% - Accent4 16 2" xfId="635" xr:uid="{00000000-0005-0000-0000-0000BF0A0000}"/>
    <cellStyle name="40% - Accent4 16 3" xfId="636" xr:uid="{00000000-0005-0000-0000-0000C00A0000}"/>
    <cellStyle name="40% - Accent4 16 4" xfId="637" xr:uid="{00000000-0005-0000-0000-0000C10A0000}"/>
    <cellStyle name="40% - Accent4 16 5" xfId="638" xr:uid="{00000000-0005-0000-0000-0000C20A0000}"/>
    <cellStyle name="40% - Accent4 17" xfId="639" xr:uid="{00000000-0005-0000-0000-0000C30A0000}"/>
    <cellStyle name="40% - Accent4 17 2" xfId="640" xr:uid="{00000000-0005-0000-0000-0000C40A0000}"/>
    <cellStyle name="40% - Accent4 17 3" xfId="641" xr:uid="{00000000-0005-0000-0000-0000C50A0000}"/>
    <cellStyle name="40% - Accent4 17 4" xfId="642" xr:uid="{00000000-0005-0000-0000-0000C60A0000}"/>
    <cellStyle name="40% - Accent4 17 5" xfId="643" xr:uid="{00000000-0005-0000-0000-0000C70A0000}"/>
    <cellStyle name="40% - Accent4 18" xfId="644" xr:uid="{00000000-0005-0000-0000-0000C80A0000}"/>
    <cellStyle name="40% - Accent4 19" xfId="645" xr:uid="{00000000-0005-0000-0000-0000C90A0000}"/>
    <cellStyle name="40% - Accent4 2" xfId="646" xr:uid="{00000000-0005-0000-0000-0000CA0A0000}"/>
    <cellStyle name="40% - Accent4 2 2" xfId="647" xr:uid="{00000000-0005-0000-0000-0000CB0A0000}"/>
    <cellStyle name="40% - Accent4 2 2 2" xfId="648" xr:uid="{00000000-0005-0000-0000-0000CC0A0000}"/>
    <cellStyle name="40% - Accent4 2 2 2 2" xfId="649" xr:uid="{00000000-0005-0000-0000-0000CD0A0000}"/>
    <cellStyle name="40% - Accent4 2 2 2 2 2" xfId="4333" xr:uid="{00000000-0005-0000-0000-0000CE0A0000}"/>
    <cellStyle name="40% - Accent4 2 2 2 2 2 2" xfId="4334" xr:uid="{00000000-0005-0000-0000-0000CF0A0000}"/>
    <cellStyle name="40% - Accent4 2 2 2 2 2 2 2" xfId="4335" xr:uid="{00000000-0005-0000-0000-0000D00A0000}"/>
    <cellStyle name="40% - Accent4 2 2 2 2 2 3" xfId="4336" xr:uid="{00000000-0005-0000-0000-0000D10A0000}"/>
    <cellStyle name="40% - Accent4 2 2 2 2 3" xfId="4337" xr:uid="{00000000-0005-0000-0000-0000D20A0000}"/>
    <cellStyle name="40% - Accent4 2 2 2 2 3 2" xfId="4338" xr:uid="{00000000-0005-0000-0000-0000D30A0000}"/>
    <cellStyle name="40% - Accent4 2 2 2 2 4" xfId="4339" xr:uid="{00000000-0005-0000-0000-0000D40A0000}"/>
    <cellStyle name="40% - Accent4 2 2 2 2 5" xfId="4340" xr:uid="{00000000-0005-0000-0000-0000D50A0000}"/>
    <cellStyle name="40% - Accent4 2 2 2 3" xfId="650" xr:uid="{00000000-0005-0000-0000-0000D60A0000}"/>
    <cellStyle name="40% - Accent4 2 2 2 3 2" xfId="4341" xr:uid="{00000000-0005-0000-0000-0000D70A0000}"/>
    <cellStyle name="40% - Accent4 2 2 2 3 2 2" xfId="4342" xr:uid="{00000000-0005-0000-0000-0000D80A0000}"/>
    <cellStyle name="40% - Accent4 2 2 2 3 3" xfId="4343" xr:uid="{00000000-0005-0000-0000-0000D90A0000}"/>
    <cellStyle name="40% - Accent4 2 2 2 4" xfId="651" xr:uid="{00000000-0005-0000-0000-0000DA0A0000}"/>
    <cellStyle name="40% - Accent4 2 2 2 4 2" xfId="4344" xr:uid="{00000000-0005-0000-0000-0000DB0A0000}"/>
    <cellStyle name="40% - Accent4 2 2 2 5" xfId="652" xr:uid="{00000000-0005-0000-0000-0000DC0A0000}"/>
    <cellStyle name="40% - Accent4 2 2 2 6" xfId="4345" xr:uid="{00000000-0005-0000-0000-0000DD0A0000}"/>
    <cellStyle name="40% - Accent4 2 2 3" xfId="653" xr:uid="{00000000-0005-0000-0000-0000DE0A0000}"/>
    <cellStyle name="40% - Accent4 2 2 3 2" xfId="4346" xr:uid="{00000000-0005-0000-0000-0000DF0A0000}"/>
    <cellStyle name="40% - Accent4 2 2 3 2 2" xfId="4347" xr:uid="{00000000-0005-0000-0000-0000E00A0000}"/>
    <cellStyle name="40% - Accent4 2 2 3 2 2 2" xfId="4348" xr:uid="{00000000-0005-0000-0000-0000E10A0000}"/>
    <cellStyle name="40% - Accent4 2 2 3 2 3" xfId="4349" xr:uid="{00000000-0005-0000-0000-0000E20A0000}"/>
    <cellStyle name="40% - Accent4 2 2 3 3" xfId="4350" xr:uid="{00000000-0005-0000-0000-0000E30A0000}"/>
    <cellStyle name="40% - Accent4 2 2 3 3 2" xfId="4351" xr:uid="{00000000-0005-0000-0000-0000E40A0000}"/>
    <cellStyle name="40% - Accent4 2 2 3 4" xfId="4352" xr:uid="{00000000-0005-0000-0000-0000E50A0000}"/>
    <cellStyle name="40% - Accent4 2 2 3 5" xfId="4353" xr:uid="{00000000-0005-0000-0000-0000E60A0000}"/>
    <cellStyle name="40% - Accent4 2 2 4" xfId="654" xr:uid="{00000000-0005-0000-0000-0000E70A0000}"/>
    <cellStyle name="40% - Accent4 2 2 4 2" xfId="4354" xr:uid="{00000000-0005-0000-0000-0000E80A0000}"/>
    <cellStyle name="40% - Accent4 2 2 4 2 2" xfId="4355" xr:uid="{00000000-0005-0000-0000-0000E90A0000}"/>
    <cellStyle name="40% - Accent4 2 2 4 3" xfId="4356" xr:uid="{00000000-0005-0000-0000-0000EA0A0000}"/>
    <cellStyle name="40% - Accent4 2 2 5" xfId="655" xr:uid="{00000000-0005-0000-0000-0000EB0A0000}"/>
    <cellStyle name="40% - Accent4 2 2 5 2" xfId="4357" xr:uid="{00000000-0005-0000-0000-0000EC0A0000}"/>
    <cellStyle name="40% - Accent4 2 2 6" xfId="4358" xr:uid="{00000000-0005-0000-0000-0000ED0A0000}"/>
    <cellStyle name="40% - Accent4 2 2 7" xfId="4359" xr:uid="{00000000-0005-0000-0000-0000EE0A0000}"/>
    <cellStyle name="40% - Accent4 2 3" xfId="656" xr:uid="{00000000-0005-0000-0000-0000EF0A0000}"/>
    <cellStyle name="40% - Accent4 2 3 2" xfId="4360" xr:uid="{00000000-0005-0000-0000-0000F00A0000}"/>
    <cellStyle name="40% - Accent4 2 3 2 2" xfId="4361" xr:uid="{00000000-0005-0000-0000-0000F10A0000}"/>
    <cellStyle name="40% - Accent4 2 3 2 2 2" xfId="4362" xr:uid="{00000000-0005-0000-0000-0000F20A0000}"/>
    <cellStyle name="40% - Accent4 2 3 2 2 2 2" xfId="4363" xr:uid="{00000000-0005-0000-0000-0000F30A0000}"/>
    <cellStyle name="40% - Accent4 2 3 2 2 3" xfId="4364" xr:uid="{00000000-0005-0000-0000-0000F40A0000}"/>
    <cellStyle name="40% - Accent4 2 3 2 3" xfId="4365" xr:uid="{00000000-0005-0000-0000-0000F50A0000}"/>
    <cellStyle name="40% - Accent4 2 3 2 3 2" xfId="4366" xr:uid="{00000000-0005-0000-0000-0000F60A0000}"/>
    <cellStyle name="40% - Accent4 2 3 2 4" xfId="4367" xr:uid="{00000000-0005-0000-0000-0000F70A0000}"/>
    <cellStyle name="40% - Accent4 2 3 3" xfId="4368" xr:uid="{00000000-0005-0000-0000-0000F80A0000}"/>
    <cellStyle name="40% - Accent4 2 3 3 2" xfId="4369" xr:uid="{00000000-0005-0000-0000-0000F90A0000}"/>
    <cellStyle name="40% - Accent4 2 3 3 2 2" xfId="4370" xr:uid="{00000000-0005-0000-0000-0000FA0A0000}"/>
    <cellStyle name="40% - Accent4 2 3 3 3" xfId="4371" xr:uid="{00000000-0005-0000-0000-0000FB0A0000}"/>
    <cellStyle name="40% - Accent4 2 3 4" xfId="4372" xr:uid="{00000000-0005-0000-0000-0000FC0A0000}"/>
    <cellStyle name="40% - Accent4 2 3 4 2" xfId="4373" xr:uid="{00000000-0005-0000-0000-0000FD0A0000}"/>
    <cellStyle name="40% - Accent4 2 3 5" xfId="4374" xr:uid="{00000000-0005-0000-0000-0000FE0A0000}"/>
    <cellStyle name="40% - Accent4 2 3 6" xfId="4375" xr:uid="{00000000-0005-0000-0000-0000FF0A0000}"/>
    <cellStyle name="40% - Accent4 2 4" xfId="657" xr:uid="{00000000-0005-0000-0000-0000000B0000}"/>
    <cellStyle name="40% - Accent4 2 4 2" xfId="4376" xr:uid="{00000000-0005-0000-0000-0000010B0000}"/>
    <cellStyle name="40% - Accent4 2 4 2 2" xfId="4377" xr:uid="{00000000-0005-0000-0000-0000020B0000}"/>
    <cellStyle name="40% - Accent4 2 4 2 2 2" xfId="4378" xr:uid="{00000000-0005-0000-0000-0000030B0000}"/>
    <cellStyle name="40% - Accent4 2 4 2 3" xfId="4379" xr:uid="{00000000-0005-0000-0000-0000040B0000}"/>
    <cellStyle name="40% - Accent4 2 4 3" xfId="4380" xr:uid="{00000000-0005-0000-0000-0000050B0000}"/>
    <cellStyle name="40% - Accent4 2 4 3 2" xfId="4381" xr:uid="{00000000-0005-0000-0000-0000060B0000}"/>
    <cellStyle name="40% - Accent4 2 4 4" xfId="4382" xr:uid="{00000000-0005-0000-0000-0000070B0000}"/>
    <cellStyle name="40% - Accent4 2 4 5" xfId="4383" xr:uid="{00000000-0005-0000-0000-0000080B0000}"/>
    <cellStyle name="40% - Accent4 2 5" xfId="658" xr:uid="{00000000-0005-0000-0000-0000090B0000}"/>
    <cellStyle name="40% - Accent4 2 5 2" xfId="4384" xr:uid="{00000000-0005-0000-0000-00000A0B0000}"/>
    <cellStyle name="40% - Accent4 2 5 2 2" xfId="4385" xr:uid="{00000000-0005-0000-0000-00000B0B0000}"/>
    <cellStyle name="40% - Accent4 2 5 3" xfId="4386" xr:uid="{00000000-0005-0000-0000-00000C0B0000}"/>
    <cellStyle name="40% - Accent4 2 5 4" xfId="4387" xr:uid="{00000000-0005-0000-0000-00000D0B0000}"/>
    <cellStyle name="40% - Accent4 2 6" xfId="659" xr:uid="{00000000-0005-0000-0000-00000E0B0000}"/>
    <cellStyle name="40% - Accent4 2 6 2" xfId="4388" xr:uid="{00000000-0005-0000-0000-00000F0B0000}"/>
    <cellStyle name="40% - Accent4 2 6 3" xfId="4389" xr:uid="{00000000-0005-0000-0000-0000100B0000}"/>
    <cellStyle name="40% - Accent4 2 7" xfId="660" xr:uid="{00000000-0005-0000-0000-0000110B0000}"/>
    <cellStyle name="40% - Accent4 2 8" xfId="661" xr:uid="{00000000-0005-0000-0000-0000120B0000}"/>
    <cellStyle name="40% - Accent4 2 9" xfId="662" xr:uid="{00000000-0005-0000-0000-0000130B0000}"/>
    <cellStyle name="40% - Accent4 20" xfId="663" xr:uid="{00000000-0005-0000-0000-0000140B0000}"/>
    <cellStyle name="40% - Accent4 21" xfId="664" xr:uid="{00000000-0005-0000-0000-0000150B0000}"/>
    <cellStyle name="40% - Accent4 22" xfId="665" xr:uid="{00000000-0005-0000-0000-0000160B0000}"/>
    <cellStyle name="40% - Accent4 23" xfId="666" xr:uid="{00000000-0005-0000-0000-0000170B0000}"/>
    <cellStyle name="40% - Accent4 24" xfId="667" xr:uid="{00000000-0005-0000-0000-0000180B0000}"/>
    <cellStyle name="40% - Accent4 25" xfId="668" xr:uid="{00000000-0005-0000-0000-0000190B0000}"/>
    <cellStyle name="40% - Accent4 26" xfId="669" xr:uid="{00000000-0005-0000-0000-00001A0B0000}"/>
    <cellStyle name="40% - Accent4 27" xfId="670" xr:uid="{00000000-0005-0000-0000-00001B0B0000}"/>
    <cellStyle name="40% - Accent4 28" xfId="671" xr:uid="{00000000-0005-0000-0000-00001C0B0000}"/>
    <cellStyle name="40% - Accent4 29" xfId="672" xr:uid="{00000000-0005-0000-0000-00001D0B0000}"/>
    <cellStyle name="40% - Accent4 3" xfId="673" xr:uid="{00000000-0005-0000-0000-00001E0B0000}"/>
    <cellStyle name="40% - Accent4 3 2" xfId="4390" xr:uid="{00000000-0005-0000-0000-00001F0B0000}"/>
    <cellStyle name="40% - Accent4 3 2 2" xfId="4391" xr:uid="{00000000-0005-0000-0000-0000200B0000}"/>
    <cellStyle name="40% - Accent4 3 2 2 2" xfId="4392" xr:uid="{00000000-0005-0000-0000-0000210B0000}"/>
    <cellStyle name="40% - Accent4 3 2 2 2 2" xfId="4393" xr:uid="{00000000-0005-0000-0000-0000220B0000}"/>
    <cellStyle name="40% - Accent4 3 2 2 2 2 2" xfId="4394" xr:uid="{00000000-0005-0000-0000-0000230B0000}"/>
    <cellStyle name="40% - Accent4 3 2 2 2 2 2 2" xfId="4395" xr:uid="{00000000-0005-0000-0000-0000240B0000}"/>
    <cellStyle name="40% - Accent4 3 2 2 2 2 3" xfId="4396" xr:uid="{00000000-0005-0000-0000-0000250B0000}"/>
    <cellStyle name="40% - Accent4 3 2 2 2 3" xfId="4397" xr:uid="{00000000-0005-0000-0000-0000260B0000}"/>
    <cellStyle name="40% - Accent4 3 2 2 2 3 2" xfId="4398" xr:uid="{00000000-0005-0000-0000-0000270B0000}"/>
    <cellStyle name="40% - Accent4 3 2 2 2 4" xfId="4399" xr:uid="{00000000-0005-0000-0000-0000280B0000}"/>
    <cellStyle name="40% - Accent4 3 2 2 3" xfId="4400" xr:uid="{00000000-0005-0000-0000-0000290B0000}"/>
    <cellStyle name="40% - Accent4 3 2 2 3 2" xfId="4401" xr:uid="{00000000-0005-0000-0000-00002A0B0000}"/>
    <cellStyle name="40% - Accent4 3 2 2 3 2 2" xfId="4402" xr:uid="{00000000-0005-0000-0000-00002B0B0000}"/>
    <cellStyle name="40% - Accent4 3 2 2 3 3" xfId="4403" xr:uid="{00000000-0005-0000-0000-00002C0B0000}"/>
    <cellStyle name="40% - Accent4 3 2 2 4" xfId="4404" xr:uid="{00000000-0005-0000-0000-00002D0B0000}"/>
    <cellStyle name="40% - Accent4 3 2 2 4 2" xfId="4405" xr:uid="{00000000-0005-0000-0000-00002E0B0000}"/>
    <cellStyle name="40% - Accent4 3 2 2 5" xfId="4406" xr:uid="{00000000-0005-0000-0000-00002F0B0000}"/>
    <cellStyle name="40% - Accent4 3 2 2 6" xfId="4407" xr:uid="{00000000-0005-0000-0000-0000300B0000}"/>
    <cellStyle name="40% - Accent4 3 2 3" xfId="4408" xr:uid="{00000000-0005-0000-0000-0000310B0000}"/>
    <cellStyle name="40% - Accent4 3 2 3 2" xfId="4409" xr:uid="{00000000-0005-0000-0000-0000320B0000}"/>
    <cellStyle name="40% - Accent4 3 2 3 2 2" xfId="4410" xr:uid="{00000000-0005-0000-0000-0000330B0000}"/>
    <cellStyle name="40% - Accent4 3 2 3 2 2 2" xfId="4411" xr:uid="{00000000-0005-0000-0000-0000340B0000}"/>
    <cellStyle name="40% - Accent4 3 2 3 2 3" xfId="4412" xr:uid="{00000000-0005-0000-0000-0000350B0000}"/>
    <cellStyle name="40% - Accent4 3 2 3 3" xfId="4413" xr:uid="{00000000-0005-0000-0000-0000360B0000}"/>
    <cellStyle name="40% - Accent4 3 2 3 3 2" xfId="4414" xr:uid="{00000000-0005-0000-0000-0000370B0000}"/>
    <cellStyle name="40% - Accent4 3 2 3 4" xfId="4415" xr:uid="{00000000-0005-0000-0000-0000380B0000}"/>
    <cellStyle name="40% - Accent4 3 2 4" xfId="4416" xr:uid="{00000000-0005-0000-0000-0000390B0000}"/>
    <cellStyle name="40% - Accent4 3 2 4 2" xfId="4417" xr:uid="{00000000-0005-0000-0000-00003A0B0000}"/>
    <cellStyle name="40% - Accent4 3 2 4 2 2" xfId="4418" xr:uid="{00000000-0005-0000-0000-00003B0B0000}"/>
    <cellStyle name="40% - Accent4 3 2 4 3" xfId="4419" xr:uid="{00000000-0005-0000-0000-00003C0B0000}"/>
    <cellStyle name="40% - Accent4 3 2 5" xfId="4420" xr:uid="{00000000-0005-0000-0000-00003D0B0000}"/>
    <cellStyle name="40% - Accent4 3 2 5 2" xfId="4421" xr:uid="{00000000-0005-0000-0000-00003E0B0000}"/>
    <cellStyle name="40% - Accent4 3 2 6" xfId="4422" xr:uid="{00000000-0005-0000-0000-00003F0B0000}"/>
    <cellStyle name="40% - Accent4 3 2 7" xfId="4423" xr:uid="{00000000-0005-0000-0000-0000400B0000}"/>
    <cellStyle name="40% - Accent4 3 3" xfId="4424" xr:uid="{00000000-0005-0000-0000-0000410B0000}"/>
    <cellStyle name="40% - Accent4 3 3 2" xfId="4425" xr:uid="{00000000-0005-0000-0000-0000420B0000}"/>
    <cellStyle name="40% - Accent4 3 3 2 2" xfId="4426" xr:uid="{00000000-0005-0000-0000-0000430B0000}"/>
    <cellStyle name="40% - Accent4 3 3 2 2 2" xfId="4427" xr:uid="{00000000-0005-0000-0000-0000440B0000}"/>
    <cellStyle name="40% - Accent4 3 3 2 2 2 2" xfId="4428" xr:uid="{00000000-0005-0000-0000-0000450B0000}"/>
    <cellStyle name="40% - Accent4 3 3 2 2 3" xfId="4429" xr:uid="{00000000-0005-0000-0000-0000460B0000}"/>
    <cellStyle name="40% - Accent4 3 3 2 3" xfId="4430" xr:uid="{00000000-0005-0000-0000-0000470B0000}"/>
    <cellStyle name="40% - Accent4 3 3 2 3 2" xfId="4431" xr:uid="{00000000-0005-0000-0000-0000480B0000}"/>
    <cellStyle name="40% - Accent4 3 3 2 4" xfId="4432" xr:uid="{00000000-0005-0000-0000-0000490B0000}"/>
    <cellStyle name="40% - Accent4 3 3 3" xfId="4433" xr:uid="{00000000-0005-0000-0000-00004A0B0000}"/>
    <cellStyle name="40% - Accent4 3 3 3 2" xfId="4434" xr:uid="{00000000-0005-0000-0000-00004B0B0000}"/>
    <cellStyle name="40% - Accent4 3 3 3 2 2" xfId="4435" xr:uid="{00000000-0005-0000-0000-00004C0B0000}"/>
    <cellStyle name="40% - Accent4 3 3 3 3" xfId="4436" xr:uid="{00000000-0005-0000-0000-00004D0B0000}"/>
    <cellStyle name="40% - Accent4 3 3 4" xfId="4437" xr:uid="{00000000-0005-0000-0000-00004E0B0000}"/>
    <cellStyle name="40% - Accent4 3 3 4 2" xfId="4438" xr:uid="{00000000-0005-0000-0000-00004F0B0000}"/>
    <cellStyle name="40% - Accent4 3 3 5" xfId="4439" xr:uid="{00000000-0005-0000-0000-0000500B0000}"/>
    <cellStyle name="40% - Accent4 3 3 6" xfId="4440" xr:uid="{00000000-0005-0000-0000-0000510B0000}"/>
    <cellStyle name="40% - Accent4 3 4" xfId="4441" xr:uid="{00000000-0005-0000-0000-0000520B0000}"/>
    <cellStyle name="40% - Accent4 3 4 2" xfId="4442" xr:uid="{00000000-0005-0000-0000-0000530B0000}"/>
    <cellStyle name="40% - Accent4 3 4 2 2" xfId="4443" xr:uid="{00000000-0005-0000-0000-0000540B0000}"/>
    <cellStyle name="40% - Accent4 3 4 2 2 2" xfId="4444" xr:uid="{00000000-0005-0000-0000-0000550B0000}"/>
    <cellStyle name="40% - Accent4 3 4 2 3" xfId="4445" xr:uid="{00000000-0005-0000-0000-0000560B0000}"/>
    <cellStyle name="40% - Accent4 3 4 3" xfId="4446" xr:uid="{00000000-0005-0000-0000-0000570B0000}"/>
    <cellStyle name="40% - Accent4 3 4 3 2" xfId="4447" xr:uid="{00000000-0005-0000-0000-0000580B0000}"/>
    <cellStyle name="40% - Accent4 3 4 4" xfId="4448" xr:uid="{00000000-0005-0000-0000-0000590B0000}"/>
    <cellStyle name="40% - Accent4 3 4 5" xfId="4449" xr:uid="{00000000-0005-0000-0000-00005A0B0000}"/>
    <cellStyle name="40% - Accent4 3 5" xfId="4450" xr:uid="{00000000-0005-0000-0000-00005B0B0000}"/>
    <cellStyle name="40% - Accent4 3 5 2" xfId="4451" xr:uid="{00000000-0005-0000-0000-00005C0B0000}"/>
    <cellStyle name="40% - Accent4 3 5 2 2" xfId="4452" xr:uid="{00000000-0005-0000-0000-00005D0B0000}"/>
    <cellStyle name="40% - Accent4 3 5 3" xfId="4453" xr:uid="{00000000-0005-0000-0000-00005E0B0000}"/>
    <cellStyle name="40% - Accent4 3 6" xfId="4454" xr:uid="{00000000-0005-0000-0000-00005F0B0000}"/>
    <cellStyle name="40% - Accent4 3 6 2" xfId="4455" xr:uid="{00000000-0005-0000-0000-0000600B0000}"/>
    <cellStyle name="40% - Accent4 3 7" xfId="4456" xr:uid="{00000000-0005-0000-0000-0000610B0000}"/>
    <cellStyle name="40% - Accent4 3 8" xfId="4457" xr:uid="{00000000-0005-0000-0000-0000620B0000}"/>
    <cellStyle name="40% - Accent4 3 9" xfId="4458" xr:uid="{00000000-0005-0000-0000-0000630B0000}"/>
    <cellStyle name="40% - Accent4 30" xfId="674" xr:uid="{00000000-0005-0000-0000-0000640B0000}"/>
    <cellStyle name="40% - Accent4 31" xfId="675" xr:uid="{00000000-0005-0000-0000-0000650B0000}"/>
    <cellStyle name="40% - Accent4 32" xfId="676" xr:uid="{00000000-0005-0000-0000-0000660B0000}"/>
    <cellStyle name="40% - Accent4 33" xfId="677" xr:uid="{00000000-0005-0000-0000-0000670B0000}"/>
    <cellStyle name="40% - Accent4 34" xfId="678" xr:uid="{00000000-0005-0000-0000-0000680B0000}"/>
    <cellStyle name="40% - Accent4 35" xfId="679" xr:uid="{00000000-0005-0000-0000-0000690B0000}"/>
    <cellStyle name="40% - Accent4 4" xfId="680" xr:uid="{00000000-0005-0000-0000-00006A0B0000}"/>
    <cellStyle name="40% - Accent4 4 2" xfId="4459" xr:uid="{00000000-0005-0000-0000-00006B0B0000}"/>
    <cellStyle name="40% - Accent4 4 2 2" xfId="4460" xr:uid="{00000000-0005-0000-0000-00006C0B0000}"/>
    <cellStyle name="40% - Accent4 4 2 2 2" xfId="4461" xr:uid="{00000000-0005-0000-0000-00006D0B0000}"/>
    <cellStyle name="40% - Accent4 4 2 2 2 2" xfId="4462" xr:uid="{00000000-0005-0000-0000-00006E0B0000}"/>
    <cellStyle name="40% - Accent4 4 2 2 2 2 2" xfId="4463" xr:uid="{00000000-0005-0000-0000-00006F0B0000}"/>
    <cellStyle name="40% - Accent4 4 2 2 2 3" xfId="4464" xr:uid="{00000000-0005-0000-0000-0000700B0000}"/>
    <cellStyle name="40% - Accent4 4 2 2 3" xfId="4465" xr:uid="{00000000-0005-0000-0000-0000710B0000}"/>
    <cellStyle name="40% - Accent4 4 2 2 3 2" xfId="4466" xr:uid="{00000000-0005-0000-0000-0000720B0000}"/>
    <cellStyle name="40% - Accent4 4 2 2 4" xfId="4467" xr:uid="{00000000-0005-0000-0000-0000730B0000}"/>
    <cellStyle name="40% - Accent4 4 2 3" xfId="4468" xr:uid="{00000000-0005-0000-0000-0000740B0000}"/>
    <cellStyle name="40% - Accent4 4 2 3 2" xfId="4469" xr:uid="{00000000-0005-0000-0000-0000750B0000}"/>
    <cellStyle name="40% - Accent4 4 2 3 2 2" xfId="4470" xr:uid="{00000000-0005-0000-0000-0000760B0000}"/>
    <cellStyle name="40% - Accent4 4 2 3 3" xfId="4471" xr:uid="{00000000-0005-0000-0000-0000770B0000}"/>
    <cellStyle name="40% - Accent4 4 2 4" xfId="4472" xr:uid="{00000000-0005-0000-0000-0000780B0000}"/>
    <cellStyle name="40% - Accent4 4 2 4 2" xfId="4473" xr:uid="{00000000-0005-0000-0000-0000790B0000}"/>
    <cellStyle name="40% - Accent4 4 2 5" xfId="4474" xr:uid="{00000000-0005-0000-0000-00007A0B0000}"/>
    <cellStyle name="40% - Accent4 4 2 6" xfId="4475" xr:uid="{00000000-0005-0000-0000-00007B0B0000}"/>
    <cellStyle name="40% - Accent4 4 3" xfId="4476" xr:uid="{00000000-0005-0000-0000-00007C0B0000}"/>
    <cellStyle name="40% - Accent4 4 3 2" xfId="4477" xr:uid="{00000000-0005-0000-0000-00007D0B0000}"/>
    <cellStyle name="40% - Accent4 4 3 2 2" xfId="4478" xr:uid="{00000000-0005-0000-0000-00007E0B0000}"/>
    <cellStyle name="40% - Accent4 4 3 2 2 2" xfId="4479" xr:uid="{00000000-0005-0000-0000-00007F0B0000}"/>
    <cellStyle name="40% - Accent4 4 3 2 3" xfId="4480" xr:uid="{00000000-0005-0000-0000-0000800B0000}"/>
    <cellStyle name="40% - Accent4 4 3 3" xfId="4481" xr:uid="{00000000-0005-0000-0000-0000810B0000}"/>
    <cellStyle name="40% - Accent4 4 3 3 2" xfId="4482" xr:uid="{00000000-0005-0000-0000-0000820B0000}"/>
    <cellStyle name="40% - Accent4 4 3 4" xfId="4483" xr:uid="{00000000-0005-0000-0000-0000830B0000}"/>
    <cellStyle name="40% - Accent4 4 3 5" xfId="4484" xr:uid="{00000000-0005-0000-0000-0000840B0000}"/>
    <cellStyle name="40% - Accent4 4 4" xfId="4485" xr:uid="{00000000-0005-0000-0000-0000850B0000}"/>
    <cellStyle name="40% - Accent4 4 4 2" xfId="4486" xr:uid="{00000000-0005-0000-0000-0000860B0000}"/>
    <cellStyle name="40% - Accent4 4 4 2 2" xfId="4487" xr:uid="{00000000-0005-0000-0000-0000870B0000}"/>
    <cellStyle name="40% - Accent4 4 4 3" xfId="4488" xr:uid="{00000000-0005-0000-0000-0000880B0000}"/>
    <cellStyle name="40% - Accent4 4 5" xfId="4489" xr:uid="{00000000-0005-0000-0000-0000890B0000}"/>
    <cellStyle name="40% - Accent4 4 5 2" xfId="4490" xr:uid="{00000000-0005-0000-0000-00008A0B0000}"/>
    <cellStyle name="40% - Accent4 4 6" xfId="4491" xr:uid="{00000000-0005-0000-0000-00008B0B0000}"/>
    <cellStyle name="40% - Accent4 4 7" xfId="4492" xr:uid="{00000000-0005-0000-0000-00008C0B0000}"/>
    <cellStyle name="40% - Accent4 5" xfId="681" xr:uid="{00000000-0005-0000-0000-00008D0B0000}"/>
    <cellStyle name="40% - Accent4 5 2" xfId="4493" xr:uid="{00000000-0005-0000-0000-00008E0B0000}"/>
    <cellStyle name="40% - Accent4 5 2 2" xfId="4494" xr:uid="{00000000-0005-0000-0000-00008F0B0000}"/>
    <cellStyle name="40% - Accent4 5 2 2 2" xfId="4495" xr:uid="{00000000-0005-0000-0000-0000900B0000}"/>
    <cellStyle name="40% - Accent4 5 2 2 2 2" xfId="4496" xr:uid="{00000000-0005-0000-0000-0000910B0000}"/>
    <cellStyle name="40% - Accent4 5 2 2 3" xfId="4497" xr:uid="{00000000-0005-0000-0000-0000920B0000}"/>
    <cellStyle name="40% - Accent4 5 2 3" xfId="4498" xr:uid="{00000000-0005-0000-0000-0000930B0000}"/>
    <cellStyle name="40% - Accent4 5 2 3 2" xfId="4499" xr:uid="{00000000-0005-0000-0000-0000940B0000}"/>
    <cellStyle name="40% - Accent4 5 2 4" xfId="4500" xr:uid="{00000000-0005-0000-0000-0000950B0000}"/>
    <cellStyle name="40% - Accent4 5 2 5" xfId="4501" xr:uid="{00000000-0005-0000-0000-0000960B0000}"/>
    <cellStyle name="40% - Accent4 5 3" xfId="4502" xr:uid="{00000000-0005-0000-0000-0000970B0000}"/>
    <cellStyle name="40% - Accent4 5 3 2" xfId="4503" xr:uid="{00000000-0005-0000-0000-0000980B0000}"/>
    <cellStyle name="40% - Accent4 5 3 2 2" xfId="4504" xr:uid="{00000000-0005-0000-0000-0000990B0000}"/>
    <cellStyle name="40% - Accent4 5 3 3" xfId="4505" xr:uid="{00000000-0005-0000-0000-00009A0B0000}"/>
    <cellStyle name="40% - Accent4 5 4" xfId="4506" xr:uid="{00000000-0005-0000-0000-00009B0B0000}"/>
    <cellStyle name="40% - Accent4 5 4 2" xfId="4507" xr:uid="{00000000-0005-0000-0000-00009C0B0000}"/>
    <cellStyle name="40% - Accent4 5 5" xfId="4508" xr:uid="{00000000-0005-0000-0000-00009D0B0000}"/>
    <cellStyle name="40% - Accent4 5 6" xfId="4509" xr:uid="{00000000-0005-0000-0000-00009E0B0000}"/>
    <cellStyle name="40% - Accent4 6" xfId="682" xr:uid="{00000000-0005-0000-0000-00009F0B0000}"/>
    <cellStyle name="40% - Accent4 6 2" xfId="4510" xr:uid="{00000000-0005-0000-0000-0000A00B0000}"/>
    <cellStyle name="40% - Accent4 6 2 2" xfId="4511" xr:uid="{00000000-0005-0000-0000-0000A10B0000}"/>
    <cellStyle name="40% - Accent4 6 2 2 2" xfId="4512" xr:uid="{00000000-0005-0000-0000-0000A20B0000}"/>
    <cellStyle name="40% - Accent4 6 2 3" xfId="4513" xr:uid="{00000000-0005-0000-0000-0000A30B0000}"/>
    <cellStyle name="40% - Accent4 6 2 4" xfId="4514" xr:uid="{00000000-0005-0000-0000-0000A40B0000}"/>
    <cellStyle name="40% - Accent4 6 2 5" xfId="4515" xr:uid="{00000000-0005-0000-0000-0000A50B0000}"/>
    <cellStyle name="40% - Accent4 6 3" xfId="4516" xr:uid="{00000000-0005-0000-0000-0000A60B0000}"/>
    <cellStyle name="40% - Accent4 6 3 2" xfId="4517" xr:uid="{00000000-0005-0000-0000-0000A70B0000}"/>
    <cellStyle name="40% - Accent4 6 4" xfId="4518" xr:uid="{00000000-0005-0000-0000-0000A80B0000}"/>
    <cellStyle name="40% - Accent4 6 5" xfId="4519" xr:uid="{00000000-0005-0000-0000-0000A90B0000}"/>
    <cellStyle name="40% - Accent4 7" xfId="683" xr:uid="{00000000-0005-0000-0000-0000AA0B0000}"/>
    <cellStyle name="40% - Accent4 7 2" xfId="4520" xr:uid="{00000000-0005-0000-0000-0000AB0B0000}"/>
    <cellStyle name="40% - Accent4 7 2 2" xfId="4521" xr:uid="{00000000-0005-0000-0000-0000AC0B0000}"/>
    <cellStyle name="40% - Accent4 7 2 2 2" xfId="4522" xr:uid="{00000000-0005-0000-0000-0000AD0B0000}"/>
    <cellStyle name="40% - Accent4 7 2 3" xfId="4523" xr:uid="{00000000-0005-0000-0000-0000AE0B0000}"/>
    <cellStyle name="40% - Accent4 7 3" xfId="4524" xr:uid="{00000000-0005-0000-0000-0000AF0B0000}"/>
    <cellStyle name="40% - Accent4 7 3 2" xfId="4525" xr:uid="{00000000-0005-0000-0000-0000B00B0000}"/>
    <cellStyle name="40% - Accent4 7 4" xfId="4526" xr:uid="{00000000-0005-0000-0000-0000B10B0000}"/>
    <cellStyle name="40% - Accent4 7 5" xfId="4527" xr:uid="{00000000-0005-0000-0000-0000B20B0000}"/>
    <cellStyle name="40% - Accent4 8" xfId="684" xr:uid="{00000000-0005-0000-0000-0000B30B0000}"/>
    <cellStyle name="40% - Accent4 8 2" xfId="4528" xr:uid="{00000000-0005-0000-0000-0000B40B0000}"/>
    <cellStyle name="40% - Accent4 8 2 2" xfId="4529" xr:uid="{00000000-0005-0000-0000-0000B50B0000}"/>
    <cellStyle name="40% - Accent4 8 2 2 2" xfId="4530" xr:uid="{00000000-0005-0000-0000-0000B60B0000}"/>
    <cellStyle name="40% - Accent4 8 2 3" xfId="4531" xr:uid="{00000000-0005-0000-0000-0000B70B0000}"/>
    <cellStyle name="40% - Accent4 8 3" xfId="4532" xr:uid="{00000000-0005-0000-0000-0000B80B0000}"/>
    <cellStyle name="40% - Accent4 8 3 2" xfId="4533" xr:uid="{00000000-0005-0000-0000-0000B90B0000}"/>
    <cellStyle name="40% - Accent4 8 4" xfId="4534" xr:uid="{00000000-0005-0000-0000-0000BA0B0000}"/>
    <cellStyle name="40% - Accent4 8 5" xfId="4535" xr:uid="{00000000-0005-0000-0000-0000BB0B0000}"/>
    <cellStyle name="40% - Accent4 9" xfId="685" xr:uid="{00000000-0005-0000-0000-0000BC0B0000}"/>
    <cellStyle name="40% - Accent4 9 2" xfId="4536" xr:uid="{00000000-0005-0000-0000-0000BD0B0000}"/>
    <cellStyle name="40% - Accent4 9 2 2" xfId="4537" xr:uid="{00000000-0005-0000-0000-0000BE0B0000}"/>
    <cellStyle name="40% - Accent4 9 3" xfId="4538" xr:uid="{00000000-0005-0000-0000-0000BF0B0000}"/>
    <cellStyle name="40% - Accent4 9 4" xfId="4539" xr:uid="{00000000-0005-0000-0000-0000C00B0000}"/>
    <cellStyle name="40% - Accent5" xfId="15190" builtinId="47" customBuiltin="1"/>
    <cellStyle name="40% - Accent5 10" xfId="686" xr:uid="{00000000-0005-0000-0000-0000C20B0000}"/>
    <cellStyle name="40% - Accent5 10 2" xfId="4540" xr:uid="{00000000-0005-0000-0000-0000C30B0000}"/>
    <cellStyle name="40% - Accent5 10 2 2" xfId="4541" xr:uid="{00000000-0005-0000-0000-0000C40B0000}"/>
    <cellStyle name="40% - Accent5 10 3" xfId="4542" xr:uid="{00000000-0005-0000-0000-0000C50B0000}"/>
    <cellStyle name="40% - Accent5 10 4" xfId="4543" xr:uid="{00000000-0005-0000-0000-0000C60B0000}"/>
    <cellStyle name="40% - Accent5 11" xfId="687" xr:uid="{00000000-0005-0000-0000-0000C70B0000}"/>
    <cellStyle name="40% - Accent5 11 2" xfId="4544" xr:uid="{00000000-0005-0000-0000-0000C80B0000}"/>
    <cellStyle name="40% - Accent5 11 2 2" xfId="4545" xr:uid="{00000000-0005-0000-0000-0000C90B0000}"/>
    <cellStyle name="40% - Accent5 11 3" xfId="4546" xr:uid="{00000000-0005-0000-0000-0000CA0B0000}"/>
    <cellStyle name="40% - Accent5 11 4" xfId="4547" xr:uid="{00000000-0005-0000-0000-0000CB0B0000}"/>
    <cellStyle name="40% - Accent5 12" xfId="688" xr:uid="{00000000-0005-0000-0000-0000CC0B0000}"/>
    <cellStyle name="40% - Accent5 12 2" xfId="4548" xr:uid="{00000000-0005-0000-0000-0000CD0B0000}"/>
    <cellStyle name="40% - Accent5 12 3" xfId="4549" xr:uid="{00000000-0005-0000-0000-0000CE0B0000}"/>
    <cellStyle name="40% - Accent5 13" xfId="689" xr:uid="{00000000-0005-0000-0000-0000CF0B0000}"/>
    <cellStyle name="40% - Accent5 13 2" xfId="4550" xr:uid="{00000000-0005-0000-0000-0000D00B0000}"/>
    <cellStyle name="40% - Accent5 14" xfId="690" xr:uid="{00000000-0005-0000-0000-0000D10B0000}"/>
    <cellStyle name="40% - Accent5 15" xfId="691" xr:uid="{00000000-0005-0000-0000-0000D20B0000}"/>
    <cellStyle name="40% - Accent5 15 2" xfId="692" xr:uid="{00000000-0005-0000-0000-0000D30B0000}"/>
    <cellStyle name="40% - Accent5 15 3" xfId="693" xr:uid="{00000000-0005-0000-0000-0000D40B0000}"/>
    <cellStyle name="40% - Accent5 15 4" xfId="694" xr:uid="{00000000-0005-0000-0000-0000D50B0000}"/>
    <cellStyle name="40% - Accent5 15 5" xfId="695" xr:uid="{00000000-0005-0000-0000-0000D60B0000}"/>
    <cellStyle name="40% - Accent5 16" xfId="696" xr:uid="{00000000-0005-0000-0000-0000D70B0000}"/>
    <cellStyle name="40% - Accent5 16 2" xfId="697" xr:uid="{00000000-0005-0000-0000-0000D80B0000}"/>
    <cellStyle name="40% - Accent5 16 3" xfId="698" xr:uid="{00000000-0005-0000-0000-0000D90B0000}"/>
    <cellStyle name="40% - Accent5 16 4" xfId="699" xr:uid="{00000000-0005-0000-0000-0000DA0B0000}"/>
    <cellStyle name="40% - Accent5 16 5" xfId="700" xr:uid="{00000000-0005-0000-0000-0000DB0B0000}"/>
    <cellStyle name="40% - Accent5 17" xfId="701" xr:uid="{00000000-0005-0000-0000-0000DC0B0000}"/>
    <cellStyle name="40% - Accent5 17 2" xfId="702" xr:uid="{00000000-0005-0000-0000-0000DD0B0000}"/>
    <cellStyle name="40% - Accent5 17 3" xfId="703" xr:uid="{00000000-0005-0000-0000-0000DE0B0000}"/>
    <cellStyle name="40% - Accent5 17 4" xfId="704" xr:uid="{00000000-0005-0000-0000-0000DF0B0000}"/>
    <cellStyle name="40% - Accent5 17 5" xfId="705" xr:uid="{00000000-0005-0000-0000-0000E00B0000}"/>
    <cellStyle name="40% - Accent5 18" xfId="706" xr:uid="{00000000-0005-0000-0000-0000E10B0000}"/>
    <cellStyle name="40% - Accent5 19" xfId="707" xr:uid="{00000000-0005-0000-0000-0000E20B0000}"/>
    <cellStyle name="40% - Accent5 2" xfId="708" xr:uid="{00000000-0005-0000-0000-0000E30B0000}"/>
    <cellStyle name="40% - Accent5 2 2" xfId="709" xr:uid="{00000000-0005-0000-0000-0000E40B0000}"/>
    <cellStyle name="40% - Accent5 2 2 2" xfId="710" xr:uid="{00000000-0005-0000-0000-0000E50B0000}"/>
    <cellStyle name="40% - Accent5 2 2 2 2" xfId="711" xr:uid="{00000000-0005-0000-0000-0000E60B0000}"/>
    <cellStyle name="40% - Accent5 2 2 2 2 2" xfId="4551" xr:uid="{00000000-0005-0000-0000-0000E70B0000}"/>
    <cellStyle name="40% - Accent5 2 2 2 2 2 2" xfId="4552" xr:uid="{00000000-0005-0000-0000-0000E80B0000}"/>
    <cellStyle name="40% - Accent5 2 2 2 2 2 2 2" xfId="4553" xr:uid="{00000000-0005-0000-0000-0000E90B0000}"/>
    <cellStyle name="40% - Accent5 2 2 2 2 2 3" xfId="4554" xr:uid="{00000000-0005-0000-0000-0000EA0B0000}"/>
    <cellStyle name="40% - Accent5 2 2 2 2 3" xfId="4555" xr:uid="{00000000-0005-0000-0000-0000EB0B0000}"/>
    <cellStyle name="40% - Accent5 2 2 2 2 3 2" xfId="4556" xr:uid="{00000000-0005-0000-0000-0000EC0B0000}"/>
    <cellStyle name="40% - Accent5 2 2 2 2 4" xfId="4557" xr:uid="{00000000-0005-0000-0000-0000ED0B0000}"/>
    <cellStyle name="40% - Accent5 2 2 2 2 5" xfId="4558" xr:uid="{00000000-0005-0000-0000-0000EE0B0000}"/>
    <cellStyle name="40% - Accent5 2 2 2 3" xfId="712" xr:uid="{00000000-0005-0000-0000-0000EF0B0000}"/>
    <cellStyle name="40% - Accent5 2 2 2 3 2" xfId="4559" xr:uid="{00000000-0005-0000-0000-0000F00B0000}"/>
    <cellStyle name="40% - Accent5 2 2 2 3 2 2" xfId="4560" xr:uid="{00000000-0005-0000-0000-0000F10B0000}"/>
    <cellStyle name="40% - Accent5 2 2 2 3 3" xfId="4561" xr:uid="{00000000-0005-0000-0000-0000F20B0000}"/>
    <cellStyle name="40% - Accent5 2 2 2 4" xfId="713" xr:uid="{00000000-0005-0000-0000-0000F30B0000}"/>
    <cellStyle name="40% - Accent5 2 2 2 4 2" xfId="4562" xr:uid="{00000000-0005-0000-0000-0000F40B0000}"/>
    <cellStyle name="40% - Accent5 2 2 2 5" xfId="714" xr:uid="{00000000-0005-0000-0000-0000F50B0000}"/>
    <cellStyle name="40% - Accent5 2 2 2 6" xfId="4563" xr:uid="{00000000-0005-0000-0000-0000F60B0000}"/>
    <cellStyle name="40% - Accent5 2 2 3" xfId="715" xr:uid="{00000000-0005-0000-0000-0000F70B0000}"/>
    <cellStyle name="40% - Accent5 2 2 3 2" xfId="4564" xr:uid="{00000000-0005-0000-0000-0000F80B0000}"/>
    <cellStyle name="40% - Accent5 2 2 3 2 2" xfId="4565" xr:uid="{00000000-0005-0000-0000-0000F90B0000}"/>
    <cellStyle name="40% - Accent5 2 2 3 2 2 2" xfId="4566" xr:uid="{00000000-0005-0000-0000-0000FA0B0000}"/>
    <cellStyle name="40% - Accent5 2 2 3 2 3" xfId="4567" xr:uid="{00000000-0005-0000-0000-0000FB0B0000}"/>
    <cellStyle name="40% - Accent5 2 2 3 3" xfId="4568" xr:uid="{00000000-0005-0000-0000-0000FC0B0000}"/>
    <cellStyle name="40% - Accent5 2 2 3 3 2" xfId="4569" xr:uid="{00000000-0005-0000-0000-0000FD0B0000}"/>
    <cellStyle name="40% - Accent5 2 2 3 4" xfId="4570" xr:uid="{00000000-0005-0000-0000-0000FE0B0000}"/>
    <cellStyle name="40% - Accent5 2 2 3 5" xfId="4571" xr:uid="{00000000-0005-0000-0000-0000FF0B0000}"/>
    <cellStyle name="40% - Accent5 2 2 4" xfId="716" xr:uid="{00000000-0005-0000-0000-0000000C0000}"/>
    <cellStyle name="40% - Accent5 2 2 4 2" xfId="4572" xr:uid="{00000000-0005-0000-0000-0000010C0000}"/>
    <cellStyle name="40% - Accent5 2 2 4 2 2" xfId="4573" xr:uid="{00000000-0005-0000-0000-0000020C0000}"/>
    <cellStyle name="40% - Accent5 2 2 4 3" xfId="4574" xr:uid="{00000000-0005-0000-0000-0000030C0000}"/>
    <cellStyle name="40% - Accent5 2 2 5" xfId="717" xr:uid="{00000000-0005-0000-0000-0000040C0000}"/>
    <cellStyle name="40% - Accent5 2 2 5 2" xfId="4575" xr:uid="{00000000-0005-0000-0000-0000050C0000}"/>
    <cellStyle name="40% - Accent5 2 2 6" xfId="4576" xr:uid="{00000000-0005-0000-0000-0000060C0000}"/>
    <cellStyle name="40% - Accent5 2 2 7" xfId="4577" xr:uid="{00000000-0005-0000-0000-0000070C0000}"/>
    <cellStyle name="40% - Accent5 2 3" xfId="718" xr:uid="{00000000-0005-0000-0000-0000080C0000}"/>
    <cellStyle name="40% - Accent5 2 3 2" xfId="4578" xr:uid="{00000000-0005-0000-0000-0000090C0000}"/>
    <cellStyle name="40% - Accent5 2 3 2 2" xfId="4579" xr:uid="{00000000-0005-0000-0000-00000A0C0000}"/>
    <cellStyle name="40% - Accent5 2 3 2 2 2" xfId="4580" xr:uid="{00000000-0005-0000-0000-00000B0C0000}"/>
    <cellStyle name="40% - Accent5 2 3 2 2 2 2" xfId="4581" xr:uid="{00000000-0005-0000-0000-00000C0C0000}"/>
    <cellStyle name="40% - Accent5 2 3 2 2 3" xfId="4582" xr:uid="{00000000-0005-0000-0000-00000D0C0000}"/>
    <cellStyle name="40% - Accent5 2 3 2 3" xfId="4583" xr:uid="{00000000-0005-0000-0000-00000E0C0000}"/>
    <cellStyle name="40% - Accent5 2 3 2 3 2" xfId="4584" xr:uid="{00000000-0005-0000-0000-00000F0C0000}"/>
    <cellStyle name="40% - Accent5 2 3 2 4" xfId="4585" xr:uid="{00000000-0005-0000-0000-0000100C0000}"/>
    <cellStyle name="40% - Accent5 2 3 3" xfId="4586" xr:uid="{00000000-0005-0000-0000-0000110C0000}"/>
    <cellStyle name="40% - Accent5 2 3 3 2" xfId="4587" xr:uid="{00000000-0005-0000-0000-0000120C0000}"/>
    <cellStyle name="40% - Accent5 2 3 3 2 2" xfId="4588" xr:uid="{00000000-0005-0000-0000-0000130C0000}"/>
    <cellStyle name="40% - Accent5 2 3 3 3" xfId="4589" xr:uid="{00000000-0005-0000-0000-0000140C0000}"/>
    <cellStyle name="40% - Accent5 2 3 4" xfId="4590" xr:uid="{00000000-0005-0000-0000-0000150C0000}"/>
    <cellStyle name="40% - Accent5 2 3 4 2" xfId="4591" xr:uid="{00000000-0005-0000-0000-0000160C0000}"/>
    <cellStyle name="40% - Accent5 2 3 5" xfId="4592" xr:uid="{00000000-0005-0000-0000-0000170C0000}"/>
    <cellStyle name="40% - Accent5 2 3 6" xfId="4593" xr:uid="{00000000-0005-0000-0000-0000180C0000}"/>
    <cellStyle name="40% - Accent5 2 4" xfId="719" xr:uid="{00000000-0005-0000-0000-0000190C0000}"/>
    <cellStyle name="40% - Accent5 2 4 2" xfId="4594" xr:uid="{00000000-0005-0000-0000-00001A0C0000}"/>
    <cellStyle name="40% - Accent5 2 4 2 2" xfId="4595" xr:uid="{00000000-0005-0000-0000-00001B0C0000}"/>
    <cellStyle name="40% - Accent5 2 4 2 2 2" xfId="4596" xr:uid="{00000000-0005-0000-0000-00001C0C0000}"/>
    <cellStyle name="40% - Accent5 2 4 2 3" xfId="4597" xr:uid="{00000000-0005-0000-0000-00001D0C0000}"/>
    <cellStyle name="40% - Accent5 2 4 3" xfId="4598" xr:uid="{00000000-0005-0000-0000-00001E0C0000}"/>
    <cellStyle name="40% - Accent5 2 4 3 2" xfId="4599" xr:uid="{00000000-0005-0000-0000-00001F0C0000}"/>
    <cellStyle name="40% - Accent5 2 4 4" xfId="4600" xr:uid="{00000000-0005-0000-0000-0000200C0000}"/>
    <cellStyle name="40% - Accent5 2 4 5" xfId="4601" xr:uid="{00000000-0005-0000-0000-0000210C0000}"/>
    <cellStyle name="40% - Accent5 2 5" xfId="720" xr:uid="{00000000-0005-0000-0000-0000220C0000}"/>
    <cellStyle name="40% - Accent5 2 5 2" xfId="4602" xr:uid="{00000000-0005-0000-0000-0000230C0000}"/>
    <cellStyle name="40% - Accent5 2 5 2 2" xfId="4603" xr:uid="{00000000-0005-0000-0000-0000240C0000}"/>
    <cellStyle name="40% - Accent5 2 5 3" xfId="4604" xr:uid="{00000000-0005-0000-0000-0000250C0000}"/>
    <cellStyle name="40% - Accent5 2 5 4" xfId="4605" xr:uid="{00000000-0005-0000-0000-0000260C0000}"/>
    <cellStyle name="40% - Accent5 2 6" xfId="721" xr:uid="{00000000-0005-0000-0000-0000270C0000}"/>
    <cellStyle name="40% - Accent5 2 6 2" xfId="4606" xr:uid="{00000000-0005-0000-0000-0000280C0000}"/>
    <cellStyle name="40% - Accent5 2 6 3" xfId="4607" xr:uid="{00000000-0005-0000-0000-0000290C0000}"/>
    <cellStyle name="40% - Accent5 2 7" xfId="722" xr:uid="{00000000-0005-0000-0000-00002A0C0000}"/>
    <cellStyle name="40% - Accent5 2 8" xfId="723" xr:uid="{00000000-0005-0000-0000-00002B0C0000}"/>
    <cellStyle name="40% - Accent5 2 9" xfId="724" xr:uid="{00000000-0005-0000-0000-00002C0C0000}"/>
    <cellStyle name="40% - Accent5 20" xfId="725" xr:uid="{00000000-0005-0000-0000-00002D0C0000}"/>
    <cellStyle name="40% - Accent5 21" xfId="726" xr:uid="{00000000-0005-0000-0000-00002E0C0000}"/>
    <cellStyle name="40% - Accent5 22" xfId="727" xr:uid="{00000000-0005-0000-0000-00002F0C0000}"/>
    <cellStyle name="40% - Accent5 23" xfId="728" xr:uid="{00000000-0005-0000-0000-0000300C0000}"/>
    <cellStyle name="40% - Accent5 24" xfId="729" xr:uid="{00000000-0005-0000-0000-0000310C0000}"/>
    <cellStyle name="40% - Accent5 25" xfId="730" xr:uid="{00000000-0005-0000-0000-0000320C0000}"/>
    <cellStyle name="40% - Accent5 26" xfId="731" xr:uid="{00000000-0005-0000-0000-0000330C0000}"/>
    <cellStyle name="40% - Accent5 27" xfId="732" xr:uid="{00000000-0005-0000-0000-0000340C0000}"/>
    <cellStyle name="40% - Accent5 28" xfId="733" xr:uid="{00000000-0005-0000-0000-0000350C0000}"/>
    <cellStyle name="40% - Accent5 29" xfId="734" xr:uid="{00000000-0005-0000-0000-0000360C0000}"/>
    <cellStyle name="40% - Accent5 3" xfId="735" xr:uid="{00000000-0005-0000-0000-0000370C0000}"/>
    <cellStyle name="40% - Accent5 3 2" xfId="4608" xr:uid="{00000000-0005-0000-0000-0000380C0000}"/>
    <cellStyle name="40% - Accent5 3 2 2" xfId="4609" xr:uid="{00000000-0005-0000-0000-0000390C0000}"/>
    <cellStyle name="40% - Accent5 3 2 2 2" xfId="4610" xr:uid="{00000000-0005-0000-0000-00003A0C0000}"/>
    <cellStyle name="40% - Accent5 3 2 2 2 2" xfId="4611" xr:uid="{00000000-0005-0000-0000-00003B0C0000}"/>
    <cellStyle name="40% - Accent5 3 2 2 2 2 2" xfId="4612" xr:uid="{00000000-0005-0000-0000-00003C0C0000}"/>
    <cellStyle name="40% - Accent5 3 2 2 2 2 2 2" xfId="4613" xr:uid="{00000000-0005-0000-0000-00003D0C0000}"/>
    <cellStyle name="40% - Accent5 3 2 2 2 2 3" xfId="4614" xr:uid="{00000000-0005-0000-0000-00003E0C0000}"/>
    <cellStyle name="40% - Accent5 3 2 2 2 3" xfId="4615" xr:uid="{00000000-0005-0000-0000-00003F0C0000}"/>
    <cellStyle name="40% - Accent5 3 2 2 2 3 2" xfId="4616" xr:uid="{00000000-0005-0000-0000-0000400C0000}"/>
    <cellStyle name="40% - Accent5 3 2 2 2 4" xfId="4617" xr:uid="{00000000-0005-0000-0000-0000410C0000}"/>
    <cellStyle name="40% - Accent5 3 2 2 3" xfId="4618" xr:uid="{00000000-0005-0000-0000-0000420C0000}"/>
    <cellStyle name="40% - Accent5 3 2 2 3 2" xfId="4619" xr:uid="{00000000-0005-0000-0000-0000430C0000}"/>
    <cellStyle name="40% - Accent5 3 2 2 3 2 2" xfId="4620" xr:uid="{00000000-0005-0000-0000-0000440C0000}"/>
    <cellStyle name="40% - Accent5 3 2 2 3 3" xfId="4621" xr:uid="{00000000-0005-0000-0000-0000450C0000}"/>
    <cellStyle name="40% - Accent5 3 2 2 4" xfId="4622" xr:uid="{00000000-0005-0000-0000-0000460C0000}"/>
    <cellStyle name="40% - Accent5 3 2 2 4 2" xfId="4623" xr:uid="{00000000-0005-0000-0000-0000470C0000}"/>
    <cellStyle name="40% - Accent5 3 2 2 5" xfId="4624" xr:uid="{00000000-0005-0000-0000-0000480C0000}"/>
    <cellStyle name="40% - Accent5 3 2 2 6" xfId="4625" xr:uid="{00000000-0005-0000-0000-0000490C0000}"/>
    <cellStyle name="40% - Accent5 3 2 3" xfId="4626" xr:uid="{00000000-0005-0000-0000-00004A0C0000}"/>
    <cellStyle name="40% - Accent5 3 2 3 2" xfId="4627" xr:uid="{00000000-0005-0000-0000-00004B0C0000}"/>
    <cellStyle name="40% - Accent5 3 2 3 2 2" xfId="4628" xr:uid="{00000000-0005-0000-0000-00004C0C0000}"/>
    <cellStyle name="40% - Accent5 3 2 3 2 2 2" xfId="4629" xr:uid="{00000000-0005-0000-0000-00004D0C0000}"/>
    <cellStyle name="40% - Accent5 3 2 3 2 3" xfId="4630" xr:uid="{00000000-0005-0000-0000-00004E0C0000}"/>
    <cellStyle name="40% - Accent5 3 2 3 3" xfId="4631" xr:uid="{00000000-0005-0000-0000-00004F0C0000}"/>
    <cellStyle name="40% - Accent5 3 2 3 3 2" xfId="4632" xr:uid="{00000000-0005-0000-0000-0000500C0000}"/>
    <cellStyle name="40% - Accent5 3 2 3 4" xfId="4633" xr:uid="{00000000-0005-0000-0000-0000510C0000}"/>
    <cellStyle name="40% - Accent5 3 2 4" xfId="4634" xr:uid="{00000000-0005-0000-0000-0000520C0000}"/>
    <cellStyle name="40% - Accent5 3 2 4 2" xfId="4635" xr:uid="{00000000-0005-0000-0000-0000530C0000}"/>
    <cellStyle name="40% - Accent5 3 2 4 2 2" xfId="4636" xr:uid="{00000000-0005-0000-0000-0000540C0000}"/>
    <cellStyle name="40% - Accent5 3 2 4 3" xfId="4637" xr:uid="{00000000-0005-0000-0000-0000550C0000}"/>
    <cellStyle name="40% - Accent5 3 2 5" xfId="4638" xr:uid="{00000000-0005-0000-0000-0000560C0000}"/>
    <cellStyle name="40% - Accent5 3 2 5 2" xfId="4639" xr:uid="{00000000-0005-0000-0000-0000570C0000}"/>
    <cellStyle name="40% - Accent5 3 2 6" xfId="4640" xr:uid="{00000000-0005-0000-0000-0000580C0000}"/>
    <cellStyle name="40% - Accent5 3 2 7" xfId="4641" xr:uid="{00000000-0005-0000-0000-0000590C0000}"/>
    <cellStyle name="40% - Accent5 3 3" xfId="4642" xr:uid="{00000000-0005-0000-0000-00005A0C0000}"/>
    <cellStyle name="40% - Accent5 3 3 2" xfId="4643" xr:uid="{00000000-0005-0000-0000-00005B0C0000}"/>
    <cellStyle name="40% - Accent5 3 3 2 2" xfId="4644" xr:uid="{00000000-0005-0000-0000-00005C0C0000}"/>
    <cellStyle name="40% - Accent5 3 3 2 2 2" xfId="4645" xr:uid="{00000000-0005-0000-0000-00005D0C0000}"/>
    <cellStyle name="40% - Accent5 3 3 2 2 2 2" xfId="4646" xr:uid="{00000000-0005-0000-0000-00005E0C0000}"/>
    <cellStyle name="40% - Accent5 3 3 2 2 3" xfId="4647" xr:uid="{00000000-0005-0000-0000-00005F0C0000}"/>
    <cellStyle name="40% - Accent5 3 3 2 3" xfId="4648" xr:uid="{00000000-0005-0000-0000-0000600C0000}"/>
    <cellStyle name="40% - Accent5 3 3 2 3 2" xfId="4649" xr:uid="{00000000-0005-0000-0000-0000610C0000}"/>
    <cellStyle name="40% - Accent5 3 3 2 4" xfId="4650" xr:uid="{00000000-0005-0000-0000-0000620C0000}"/>
    <cellStyle name="40% - Accent5 3 3 3" xfId="4651" xr:uid="{00000000-0005-0000-0000-0000630C0000}"/>
    <cellStyle name="40% - Accent5 3 3 3 2" xfId="4652" xr:uid="{00000000-0005-0000-0000-0000640C0000}"/>
    <cellStyle name="40% - Accent5 3 3 3 2 2" xfId="4653" xr:uid="{00000000-0005-0000-0000-0000650C0000}"/>
    <cellStyle name="40% - Accent5 3 3 3 3" xfId="4654" xr:uid="{00000000-0005-0000-0000-0000660C0000}"/>
    <cellStyle name="40% - Accent5 3 3 4" xfId="4655" xr:uid="{00000000-0005-0000-0000-0000670C0000}"/>
    <cellStyle name="40% - Accent5 3 3 4 2" xfId="4656" xr:uid="{00000000-0005-0000-0000-0000680C0000}"/>
    <cellStyle name="40% - Accent5 3 3 5" xfId="4657" xr:uid="{00000000-0005-0000-0000-0000690C0000}"/>
    <cellStyle name="40% - Accent5 3 3 6" xfId="4658" xr:uid="{00000000-0005-0000-0000-00006A0C0000}"/>
    <cellStyle name="40% - Accent5 3 4" xfId="4659" xr:uid="{00000000-0005-0000-0000-00006B0C0000}"/>
    <cellStyle name="40% - Accent5 3 4 2" xfId="4660" xr:uid="{00000000-0005-0000-0000-00006C0C0000}"/>
    <cellStyle name="40% - Accent5 3 4 2 2" xfId="4661" xr:uid="{00000000-0005-0000-0000-00006D0C0000}"/>
    <cellStyle name="40% - Accent5 3 4 2 2 2" xfId="4662" xr:uid="{00000000-0005-0000-0000-00006E0C0000}"/>
    <cellStyle name="40% - Accent5 3 4 2 3" xfId="4663" xr:uid="{00000000-0005-0000-0000-00006F0C0000}"/>
    <cellStyle name="40% - Accent5 3 4 3" xfId="4664" xr:uid="{00000000-0005-0000-0000-0000700C0000}"/>
    <cellStyle name="40% - Accent5 3 4 3 2" xfId="4665" xr:uid="{00000000-0005-0000-0000-0000710C0000}"/>
    <cellStyle name="40% - Accent5 3 4 4" xfId="4666" xr:uid="{00000000-0005-0000-0000-0000720C0000}"/>
    <cellStyle name="40% - Accent5 3 4 5" xfId="4667" xr:uid="{00000000-0005-0000-0000-0000730C0000}"/>
    <cellStyle name="40% - Accent5 3 5" xfId="4668" xr:uid="{00000000-0005-0000-0000-0000740C0000}"/>
    <cellStyle name="40% - Accent5 3 5 2" xfId="4669" xr:uid="{00000000-0005-0000-0000-0000750C0000}"/>
    <cellStyle name="40% - Accent5 3 5 2 2" xfId="4670" xr:uid="{00000000-0005-0000-0000-0000760C0000}"/>
    <cellStyle name="40% - Accent5 3 5 3" xfId="4671" xr:uid="{00000000-0005-0000-0000-0000770C0000}"/>
    <cellStyle name="40% - Accent5 3 6" xfId="4672" xr:uid="{00000000-0005-0000-0000-0000780C0000}"/>
    <cellStyle name="40% - Accent5 3 6 2" xfId="4673" xr:uid="{00000000-0005-0000-0000-0000790C0000}"/>
    <cellStyle name="40% - Accent5 3 7" xfId="4674" xr:uid="{00000000-0005-0000-0000-00007A0C0000}"/>
    <cellStyle name="40% - Accent5 3 8" xfId="4675" xr:uid="{00000000-0005-0000-0000-00007B0C0000}"/>
    <cellStyle name="40% - Accent5 3 9" xfId="4676" xr:uid="{00000000-0005-0000-0000-00007C0C0000}"/>
    <cellStyle name="40% - Accent5 30" xfId="736" xr:uid="{00000000-0005-0000-0000-00007D0C0000}"/>
    <cellStyle name="40% - Accent5 31" xfId="737" xr:uid="{00000000-0005-0000-0000-00007E0C0000}"/>
    <cellStyle name="40% - Accent5 32" xfId="738" xr:uid="{00000000-0005-0000-0000-00007F0C0000}"/>
    <cellStyle name="40% - Accent5 33" xfId="739" xr:uid="{00000000-0005-0000-0000-0000800C0000}"/>
    <cellStyle name="40% - Accent5 34" xfId="740" xr:uid="{00000000-0005-0000-0000-0000810C0000}"/>
    <cellStyle name="40% - Accent5 35" xfId="741" xr:uid="{00000000-0005-0000-0000-0000820C0000}"/>
    <cellStyle name="40% - Accent5 4" xfId="742" xr:uid="{00000000-0005-0000-0000-0000830C0000}"/>
    <cellStyle name="40% - Accent5 4 2" xfId="4677" xr:uid="{00000000-0005-0000-0000-0000840C0000}"/>
    <cellStyle name="40% - Accent5 4 2 2" xfId="4678" xr:uid="{00000000-0005-0000-0000-0000850C0000}"/>
    <cellStyle name="40% - Accent5 4 2 2 2" xfId="4679" xr:uid="{00000000-0005-0000-0000-0000860C0000}"/>
    <cellStyle name="40% - Accent5 4 2 2 2 2" xfId="4680" xr:uid="{00000000-0005-0000-0000-0000870C0000}"/>
    <cellStyle name="40% - Accent5 4 2 2 2 2 2" xfId="4681" xr:uid="{00000000-0005-0000-0000-0000880C0000}"/>
    <cellStyle name="40% - Accent5 4 2 2 2 3" xfId="4682" xr:uid="{00000000-0005-0000-0000-0000890C0000}"/>
    <cellStyle name="40% - Accent5 4 2 2 3" xfId="4683" xr:uid="{00000000-0005-0000-0000-00008A0C0000}"/>
    <cellStyle name="40% - Accent5 4 2 2 3 2" xfId="4684" xr:uid="{00000000-0005-0000-0000-00008B0C0000}"/>
    <cellStyle name="40% - Accent5 4 2 2 4" xfId="4685" xr:uid="{00000000-0005-0000-0000-00008C0C0000}"/>
    <cellStyle name="40% - Accent5 4 2 3" xfId="4686" xr:uid="{00000000-0005-0000-0000-00008D0C0000}"/>
    <cellStyle name="40% - Accent5 4 2 3 2" xfId="4687" xr:uid="{00000000-0005-0000-0000-00008E0C0000}"/>
    <cellStyle name="40% - Accent5 4 2 3 2 2" xfId="4688" xr:uid="{00000000-0005-0000-0000-00008F0C0000}"/>
    <cellStyle name="40% - Accent5 4 2 3 3" xfId="4689" xr:uid="{00000000-0005-0000-0000-0000900C0000}"/>
    <cellStyle name="40% - Accent5 4 2 4" xfId="4690" xr:uid="{00000000-0005-0000-0000-0000910C0000}"/>
    <cellStyle name="40% - Accent5 4 2 4 2" xfId="4691" xr:uid="{00000000-0005-0000-0000-0000920C0000}"/>
    <cellStyle name="40% - Accent5 4 2 5" xfId="4692" xr:uid="{00000000-0005-0000-0000-0000930C0000}"/>
    <cellStyle name="40% - Accent5 4 2 6" xfId="4693" xr:uid="{00000000-0005-0000-0000-0000940C0000}"/>
    <cellStyle name="40% - Accent5 4 3" xfId="4694" xr:uid="{00000000-0005-0000-0000-0000950C0000}"/>
    <cellStyle name="40% - Accent5 4 3 2" xfId="4695" xr:uid="{00000000-0005-0000-0000-0000960C0000}"/>
    <cellStyle name="40% - Accent5 4 3 2 2" xfId="4696" xr:uid="{00000000-0005-0000-0000-0000970C0000}"/>
    <cellStyle name="40% - Accent5 4 3 2 2 2" xfId="4697" xr:uid="{00000000-0005-0000-0000-0000980C0000}"/>
    <cellStyle name="40% - Accent5 4 3 2 3" xfId="4698" xr:uid="{00000000-0005-0000-0000-0000990C0000}"/>
    <cellStyle name="40% - Accent5 4 3 3" xfId="4699" xr:uid="{00000000-0005-0000-0000-00009A0C0000}"/>
    <cellStyle name="40% - Accent5 4 3 3 2" xfId="4700" xr:uid="{00000000-0005-0000-0000-00009B0C0000}"/>
    <cellStyle name="40% - Accent5 4 3 4" xfId="4701" xr:uid="{00000000-0005-0000-0000-00009C0C0000}"/>
    <cellStyle name="40% - Accent5 4 3 5" xfId="4702" xr:uid="{00000000-0005-0000-0000-00009D0C0000}"/>
    <cellStyle name="40% - Accent5 4 4" xfId="4703" xr:uid="{00000000-0005-0000-0000-00009E0C0000}"/>
    <cellStyle name="40% - Accent5 4 4 2" xfId="4704" xr:uid="{00000000-0005-0000-0000-00009F0C0000}"/>
    <cellStyle name="40% - Accent5 4 4 2 2" xfId="4705" xr:uid="{00000000-0005-0000-0000-0000A00C0000}"/>
    <cellStyle name="40% - Accent5 4 4 3" xfId="4706" xr:uid="{00000000-0005-0000-0000-0000A10C0000}"/>
    <cellStyle name="40% - Accent5 4 5" xfId="4707" xr:uid="{00000000-0005-0000-0000-0000A20C0000}"/>
    <cellStyle name="40% - Accent5 4 5 2" xfId="4708" xr:uid="{00000000-0005-0000-0000-0000A30C0000}"/>
    <cellStyle name="40% - Accent5 4 6" xfId="4709" xr:uid="{00000000-0005-0000-0000-0000A40C0000}"/>
    <cellStyle name="40% - Accent5 4 7" xfId="4710" xr:uid="{00000000-0005-0000-0000-0000A50C0000}"/>
    <cellStyle name="40% - Accent5 5" xfId="743" xr:uid="{00000000-0005-0000-0000-0000A60C0000}"/>
    <cellStyle name="40% - Accent5 5 2" xfId="4711" xr:uid="{00000000-0005-0000-0000-0000A70C0000}"/>
    <cellStyle name="40% - Accent5 5 2 2" xfId="4712" xr:uid="{00000000-0005-0000-0000-0000A80C0000}"/>
    <cellStyle name="40% - Accent5 5 2 2 2" xfId="4713" xr:uid="{00000000-0005-0000-0000-0000A90C0000}"/>
    <cellStyle name="40% - Accent5 5 2 2 2 2" xfId="4714" xr:uid="{00000000-0005-0000-0000-0000AA0C0000}"/>
    <cellStyle name="40% - Accent5 5 2 2 3" xfId="4715" xr:uid="{00000000-0005-0000-0000-0000AB0C0000}"/>
    <cellStyle name="40% - Accent5 5 2 3" xfId="4716" xr:uid="{00000000-0005-0000-0000-0000AC0C0000}"/>
    <cellStyle name="40% - Accent5 5 2 3 2" xfId="4717" xr:uid="{00000000-0005-0000-0000-0000AD0C0000}"/>
    <cellStyle name="40% - Accent5 5 2 4" xfId="4718" xr:uid="{00000000-0005-0000-0000-0000AE0C0000}"/>
    <cellStyle name="40% - Accent5 5 2 5" xfId="4719" xr:uid="{00000000-0005-0000-0000-0000AF0C0000}"/>
    <cellStyle name="40% - Accent5 5 3" xfId="4720" xr:uid="{00000000-0005-0000-0000-0000B00C0000}"/>
    <cellStyle name="40% - Accent5 5 3 2" xfId="4721" xr:uid="{00000000-0005-0000-0000-0000B10C0000}"/>
    <cellStyle name="40% - Accent5 5 3 2 2" xfId="4722" xr:uid="{00000000-0005-0000-0000-0000B20C0000}"/>
    <cellStyle name="40% - Accent5 5 3 3" xfId="4723" xr:uid="{00000000-0005-0000-0000-0000B30C0000}"/>
    <cellStyle name="40% - Accent5 5 4" xfId="4724" xr:uid="{00000000-0005-0000-0000-0000B40C0000}"/>
    <cellStyle name="40% - Accent5 5 4 2" xfId="4725" xr:uid="{00000000-0005-0000-0000-0000B50C0000}"/>
    <cellStyle name="40% - Accent5 5 5" xfId="4726" xr:uid="{00000000-0005-0000-0000-0000B60C0000}"/>
    <cellStyle name="40% - Accent5 5 6" xfId="4727" xr:uid="{00000000-0005-0000-0000-0000B70C0000}"/>
    <cellStyle name="40% - Accent5 6" xfId="744" xr:uid="{00000000-0005-0000-0000-0000B80C0000}"/>
    <cellStyle name="40% - Accent5 6 2" xfId="4728" xr:uid="{00000000-0005-0000-0000-0000B90C0000}"/>
    <cellStyle name="40% - Accent5 6 2 2" xfId="4729" xr:uid="{00000000-0005-0000-0000-0000BA0C0000}"/>
    <cellStyle name="40% - Accent5 6 2 2 2" xfId="4730" xr:uid="{00000000-0005-0000-0000-0000BB0C0000}"/>
    <cellStyle name="40% - Accent5 6 2 3" xfId="4731" xr:uid="{00000000-0005-0000-0000-0000BC0C0000}"/>
    <cellStyle name="40% - Accent5 6 2 4" xfId="4732" xr:uid="{00000000-0005-0000-0000-0000BD0C0000}"/>
    <cellStyle name="40% - Accent5 6 2 5" xfId="4733" xr:uid="{00000000-0005-0000-0000-0000BE0C0000}"/>
    <cellStyle name="40% - Accent5 6 3" xfId="4734" xr:uid="{00000000-0005-0000-0000-0000BF0C0000}"/>
    <cellStyle name="40% - Accent5 6 3 2" xfId="4735" xr:uid="{00000000-0005-0000-0000-0000C00C0000}"/>
    <cellStyle name="40% - Accent5 6 4" xfId="4736" xr:uid="{00000000-0005-0000-0000-0000C10C0000}"/>
    <cellStyle name="40% - Accent5 6 5" xfId="4737" xr:uid="{00000000-0005-0000-0000-0000C20C0000}"/>
    <cellStyle name="40% - Accent5 7" xfId="745" xr:uid="{00000000-0005-0000-0000-0000C30C0000}"/>
    <cellStyle name="40% - Accent5 7 2" xfId="4738" xr:uid="{00000000-0005-0000-0000-0000C40C0000}"/>
    <cellStyle name="40% - Accent5 7 2 2" xfId="4739" xr:uid="{00000000-0005-0000-0000-0000C50C0000}"/>
    <cellStyle name="40% - Accent5 7 2 2 2" xfId="4740" xr:uid="{00000000-0005-0000-0000-0000C60C0000}"/>
    <cellStyle name="40% - Accent5 7 2 3" xfId="4741" xr:uid="{00000000-0005-0000-0000-0000C70C0000}"/>
    <cellStyle name="40% - Accent5 7 3" xfId="4742" xr:uid="{00000000-0005-0000-0000-0000C80C0000}"/>
    <cellStyle name="40% - Accent5 7 3 2" xfId="4743" xr:uid="{00000000-0005-0000-0000-0000C90C0000}"/>
    <cellStyle name="40% - Accent5 7 4" xfId="4744" xr:uid="{00000000-0005-0000-0000-0000CA0C0000}"/>
    <cellStyle name="40% - Accent5 7 5" xfId="4745" xr:uid="{00000000-0005-0000-0000-0000CB0C0000}"/>
    <cellStyle name="40% - Accent5 8" xfId="746" xr:uid="{00000000-0005-0000-0000-0000CC0C0000}"/>
    <cellStyle name="40% - Accent5 8 2" xfId="4746" xr:uid="{00000000-0005-0000-0000-0000CD0C0000}"/>
    <cellStyle name="40% - Accent5 8 2 2" xfId="4747" xr:uid="{00000000-0005-0000-0000-0000CE0C0000}"/>
    <cellStyle name="40% - Accent5 8 2 2 2" xfId="4748" xr:uid="{00000000-0005-0000-0000-0000CF0C0000}"/>
    <cellStyle name="40% - Accent5 8 2 3" xfId="4749" xr:uid="{00000000-0005-0000-0000-0000D00C0000}"/>
    <cellStyle name="40% - Accent5 8 3" xfId="4750" xr:uid="{00000000-0005-0000-0000-0000D10C0000}"/>
    <cellStyle name="40% - Accent5 8 3 2" xfId="4751" xr:uid="{00000000-0005-0000-0000-0000D20C0000}"/>
    <cellStyle name="40% - Accent5 8 4" xfId="4752" xr:uid="{00000000-0005-0000-0000-0000D30C0000}"/>
    <cellStyle name="40% - Accent5 8 5" xfId="4753" xr:uid="{00000000-0005-0000-0000-0000D40C0000}"/>
    <cellStyle name="40% - Accent5 9" xfId="747" xr:uid="{00000000-0005-0000-0000-0000D50C0000}"/>
    <cellStyle name="40% - Accent5 9 2" xfId="4754" xr:uid="{00000000-0005-0000-0000-0000D60C0000}"/>
    <cellStyle name="40% - Accent5 9 2 2" xfId="4755" xr:uid="{00000000-0005-0000-0000-0000D70C0000}"/>
    <cellStyle name="40% - Accent5 9 3" xfId="4756" xr:uid="{00000000-0005-0000-0000-0000D80C0000}"/>
    <cellStyle name="40% - Accent5 9 4" xfId="4757" xr:uid="{00000000-0005-0000-0000-0000D90C0000}"/>
    <cellStyle name="40% - Accent6" xfId="15193" builtinId="51" customBuiltin="1"/>
    <cellStyle name="40% - Accent6 10" xfId="748" xr:uid="{00000000-0005-0000-0000-0000DB0C0000}"/>
    <cellStyle name="40% - Accent6 10 2" xfId="4758" xr:uid="{00000000-0005-0000-0000-0000DC0C0000}"/>
    <cellStyle name="40% - Accent6 10 2 2" xfId="4759" xr:uid="{00000000-0005-0000-0000-0000DD0C0000}"/>
    <cellStyle name="40% - Accent6 10 3" xfId="4760" xr:uid="{00000000-0005-0000-0000-0000DE0C0000}"/>
    <cellStyle name="40% - Accent6 10 4" xfId="4761" xr:uid="{00000000-0005-0000-0000-0000DF0C0000}"/>
    <cellStyle name="40% - Accent6 11" xfId="749" xr:uid="{00000000-0005-0000-0000-0000E00C0000}"/>
    <cellStyle name="40% - Accent6 11 2" xfId="4762" xr:uid="{00000000-0005-0000-0000-0000E10C0000}"/>
    <cellStyle name="40% - Accent6 11 2 2" xfId="4763" xr:uid="{00000000-0005-0000-0000-0000E20C0000}"/>
    <cellStyle name="40% - Accent6 11 3" xfId="4764" xr:uid="{00000000-0005-0000-0000-0000E30C0000}"/>
    <cellStyle name="40% - Accent6 11 4" xfId="4765" xr:uid="{00000000-0005-0000-0000-0000E40C0000}"/>
    <cellStyle name="40% - Accent6 12" xfId="750" xr:uid="{00000000-0005-0000-0000-0000E50C0000}"/>
    <cellStyle name="40% - Accent6 12 2" xfId="4766" xr:uid="{00000000-0005-0000-0000-0000E60C0000}"/>
    <cellStyle name="40% - Accent6 12 3" xfId="4767" xr:uid="{00000000-0005-0000-0000-0000E70C0000}"/>
    <cellStyle name="40% - Accent6 13" xfId="751" xr:uid="{00000000-0005-0000-0000-0000E80C0000}"/>
    <cellStyle name="40% - Accent6 13 2" xfId="4768" xr:uid="{00000000-0005-0000-0000-0000E90C0000}"/>
    <cellStyle name="40% - Accent6 14" xfId="752" xr:uid="{00000000-0005-0000-0000-0000EA0C0000}"/>
    <cellStyle name="40% - Accent6 15" xfId="753" xr:uid="{00000000-0005-0000-0000-0000EB0C0000}"/>
    <cellStyle name="40% - Accent6 15 2" xfId="754" xr:uid="{00000000-0005-0000-0000-0000EC0C0000}"/>
    <cellStyle name="40% - Accent6 15 3" xfId="755" xr:uid="{00000000-0005-0000-0000-0000ED0C0000}"/>
    <cellStyle name="40% - Accent6 15 4" xfId="756" xr:uid="{00000000-0005-0000-0000-0000EE0C0000}"/>
    <cellStyle name="40% - Accent6 15 5" xfId="757" xr:uid="{00000000-0005-0000-0000-0000EF0C0000}"/>
    <cellStyle name="40% - Accent6 16" xfId="758" xr:uid="{00000000-0005-0000-0000-0000F00C0000}"/>
    <cellStyle name="40% - Accent6 16 2" xfId="759" xr:uid="{00000000-0005-0000-0000-0000F10C0000}"/>
    <cellStyle name="40% - Accent6 16 3" xfId="760" xr:uid="{00000000-0005-0000-0000-0000F20C0000}"/>
    <cellStyle name="40% - Accent6 16 4" xfId="761" xr:uid="{00000000-0005-0000-0000-0000F30C0000}"/>
    <cellStyle name="40% - Accent6 16 5" xfId="762" xr:uid="{00000000-0005-0000-0000-0000F40C0000}"/>
    <cellStyle name="40% - Accent6 17" xfId="763" xr:uid="{00000000-0005-0000-0000-0000F50C0000}"/>
    <cellStyle name="40% - Accent6 17 2" xfId="764" xr:uid="{00000000-0005-0000-0000-0000F60C0000}"/>
    <cellStyle name="40% - Accent6 17 3" xfId="765" xr:uid="{00000000-0005-0000-0000-0000F70C0000}"/>
    <cellStyle name="40% - Accent6 17 4" xfId="766" xr:uid="{00000000-0005-0000-0000-0000F80C0000}"/>
    <cellStyle name="40% - Accent6 17 5" xfId="767" xr:uid="{00000000-0005-0000-0000-0000F90C0000}"/>
    <cellStyle name="40% - Accent6 18" xfId="768" xr:uid="{00000000-0005-0000-0000-0000FA0C0000}"/>
    <cellStyle name="40% - Accent6 19" xfId="769" xr:uid="{00000000-0005-0000-0000-0000FB0C0000}"/>
    <cellStyle name="40% - Accent6 2" xfId="770" xr:uid="{00000000-0005-0000-0000-0000FC0C0000}"/>
    <cellStyle name="40% - Accent6 2 2" xfId="771" xr:uid="{00000000-0005-0000-0000-0000FD0C0000}"/>
    <cellStyle name="40% - Accent6 2 2 2" xfId="772" xr:uid="{00000000-0005-0000-0000-0000FE0C0000}"/>
    <cellStyle name="40% - Accent6 2 2 2 2" xfId="773" xr:uid="{00000000-0005-0000-0000-0000FF0C0000}"/>
    <cellStyle name="40% - Accent6 2 2 2 2 2" xfId="4769" xr:uid="{00000000-0005-0000-0000-0000000D0000}"/>
    <cellStyle name="40% - Accent6 2 2 2 2 2 2" xfId="4770" xr:uid="{00000000-0005-0000-0000-0000010D0000}"/>
    <cellStyle name="40% - Accent6 2 2 2 2 2 2 2" xfId="4771" xr:uid="{00000000-0005-0000-0000-0000020D0000}"/>
    <cellStyle name="40% - Accent6 2 2 2 2 2 3" xfId="4772" xr:uid="{00000000-0005-0000-0000-0000030D0000}"/>
    <cellStyle name="40% - Accent6 2 2 2 2 3" xfId="4773" xr:uid="{00000000-0005-0000-0000-0000040D0000}"/>
    <cellStyle name="40% - Accent6 2 2 2 2 3 2" xfId="4774" xr:uid="{00000000-0005-0000-0000-0000050D0000}"/>
    <cellStyle name="40% - Accent6 2 2 2 2 4" xfId="4775" xr:uid="{00000000-0005-0000-0000-0000060D0000}"/>
    <cellStyle name="40% - Accent6 2 2 2 2 5" xfId="4776" xr:uid="{00000000-0005-0000-0000-0000070D0000}"/>
    <cellStyle name="40% - Accent6 2 2 2 3" xfId="774" xr:uid="{00000000-0005-0000-0000-0000080D0000}"/>
    <cellStyle name="40% - Accent6 2 2 2 3 2" xfId="4777" xr:uid="{00000000-0005-0000-0000-0000090D0000}"/>
    <cellStyle name="40% - Accent6 2 2 2 3 2 2" xfId="4778" xr:uid="{00000000-0005-0000-0000-00000A0D0000}"/>
    <cellStyle name="40% - Accent6 2 2 2 3 3" xfId="4779" xr:uid="{00000000-0005-0000-0000-00000B0D0000}"/>
    <cellStyle name="40% - Accent6 2 2 2 4" xfId="775" xr:uid="{00000000-0005-0000-0000-00000C0D0000}"/>
    <cellStyle name="40% - Accent6 2 2 2 4 2" xfId="4780" xr:uid="{00000000-0005-0000-0000-00000D0D0000}"/>
    <cellStyle name="40% - Accent6 2 2 2 5" xfId="776" xr:uid="{00000000-0005-0000-0000-00000E0D0000}"/>
    <cellStyle name="40% - Accent6 2 2 2 6" xfId="4781" xr:uid="{00000000-0005-0000-0000-00000F0D0000}"/>
    <cellStyle name="40% - Accent6 2 2 3" xfId="777" xr:uid="{00000000-0005-0000-0000-0000100D0000}"/>
    <cellStyle name="40% - Accent6 2 2 3 2" xfId="4782" xr:uid="{00000000-0005-0000-0000-0000110D0000}"/>
    <cellStyle name="40% - Accent6 2 2 3 2 2" xfId="4783" xr:uid="{00000000-0005-0000-0000-0000120D0000}"/>
    <cellStyle name="40% - Accent6 2 2 3 2 2 2" xfId="4784" xr:uid="{00000000-0005-0000-0000-0000130D0000}"/>
    <cellStyle name="40% - Accent6 2 2 3 2 3" xfId="4785" xr:uid="{00000000-0005-0000-0000-0000140D0000}"/>
    <cellStyle name="40% - Accent6 2 2 3 3" xfId="4786" xr:uid="{00000000-0005-0000-0000-0000150D0000}"/>
    <cellStyle name="40% - Accent6 2 2 3 3 2" xfId="4787" xr:uid="{00000000-0005-0000-0000-0000160D0000}"/>
    <cellStyle name="40% - Accent6 2 2 3 4" xfId="4788" xr:uid="{00000000-0005-0000-0000-0000170D0000}"/>
    <cellStyle name="40% - Accent6 2 2 3 5" xfId="4789" xr:uid="{00000000-0005-0000-0000-0000180D0000}"/>
    <cellStyle name="40% - Accent6 2 2 4" xfId="778" xr:uid="{00000000-0005-0000-0000-0000190D0000}"/>
    <cellStyle name="40% - Accent6 2 2 4 2" xfId="4790" xr:uid="{00000000-0005-0000-0000-00001A0D0000}"/>
    <cellStyle name="40% - Accent6 2 2 4 2 2" xfId="4791" xr:uid="{00000000-0005-0000-0000-00001B0D0000}"/>
    <cellStyle name="40% - Accent6 2 2 4 3" xfId="4792" xr:uid="{00000000-0005-0000-0000-00001C0D0000}"/>
    <cellStyle name="40% - Accent6 2 2 5" xfId="779" xr:uid="{00000000-0005-0000-0000-00001D0D0000}"/>
    <cellStyle name="40% - Accent6 2 2 5 2" xfId="4793" xr:uid="{00000000-0005-0000-0000-00001E0D0000}"/>
    <cellStyle name="40% - Accent6 2 2 6" xfId="4794" xr:uid="{00000000-0005-0000-0000-00001F0D0000}"/>
    <cellStyle name="40% - Accent6 2 2 7" xfId="4795" xr:uid="{00000000-0005-0000-0000-0000200D0000}"/>
    <cellStyle name="40% - Accent6 2 3" xfId="780" xr:uid="{00000000-0005-0000-0000-0000210D0000}"/>
    <cellStyle name="40% - Accent6 2 3 2" xfId="4796" xr:uid="{00000000-0005-0000-0000-0000220D0000}"/>
    <cellStyle name="40% - Accent6 2 3 2 2" xfId="4797" xr:uid="{00000000-0005-0000-0000-0000230D0000}"/>
    <cellStyle name="40% - Accent6 2 3 2 2 2" xfId="4798" xr:uid="{00000000-0005-0000-0000-0000240D0000}"/>
    <cellStyle name="40% - Accent6 2 3 2 2 2 2" xfId="4799" xr:uid="{00000000-0005-0000-0000-0000250D0000}"/>
    <cellStyle name="40% - Accent6 2 3 2 2 3" xfId="4800" xr:uid="{00000000-0005-0000-0000-0000260D0000}"/>
    <cellStyle name="40% - Accent6 2 3 2 3" xfId="4801" xr:uid="{00000000-0005-0000-0000-0000270D0000}"/>
    <cellStyle name="40% - Accent6 2 3 2 3 2" xfId="4802" xr:uid="{00000000-0005-0000-0000-0000280D0000}"/>
    <cellStyle name="40% - Accent6 2 3 2 4" xfId="4803" xr:uid="{00000000-0005-0000-0000-0000290D0000}"/>
    <cellStyle name="40% - Accent6 2 3 3" xfId="4804" xr:uid="{00000000-0005-0000-0000-00002A0D0000}"/>
    <cellStyle name="40% - Accent6 2 3 3 2" xfId="4805" xr:uid="{00000000-0005-0000-0000-00002B0D0000}"/>
    <cellStyle name="40% - Accent6 2 3 3 2 2" xfId="4806" xr:uid="{00000000-0005-0000-0000-00002C0D0000}"/>
    <cellStyle name="40% - Accent6 2 3 3 3" xfId="4807" xr:uid="{00000000-0005-0000-0000-00002D0D0000}"/>
    <cellStyle name="40% - Accent6 2 3 4" xfId="4808" xr:uid="{00000000-0005-0000-0000-00002E0D0000}"/>
    <cellStyle name="40% - Accent6 2 3 4 2" xfId="4809" xr:uid="{00000000-0005-0000-0000-00002F0D0000}"/>
    <cellStyle name="40% - Accent6 2 3 5" xfId="4810" xr:uid="{00000000-0005-0000-0000-0000300D0000}"/>
    <cellStyle name="40% - Accent6 2 3 6" xfId="4811" xr:uid="{00000000-0005-0000-0000-0000310D0000}"/>
    <cellStyle name="40% - Accent6 2 4" xfId="781" xr:uid="{00000000-0005-0000-0000-0000320D0000}"/>
    <cellStyle name="40% - Accent6 2 4 2" xfId="4812" xr:uid="{00000000-0005-0000-0000-0000330D0000}"/>
    <cellStyle name="40% - Accent6 2 4 2 2" xfId="4813" xr:uid="{00000000-0005-0000-0000-0000340D0000}"/>
    <cellStyle name="40% - Accent6 2 4 2 2 2" xfId="4814" xr:uid="{00000000-0005-0000-0000-0000350D0000}"/>
    <cellStyle name="40% - Accent6 2 4 2 3" xfId="4815" xr:uid="{00000000-0005-0000-0000-0000360D0000}"/>
    <cellStyle name="40% - Accent6 2 4 3" xfId="4816" xr:uid="{00000000-0005-0000-0000-0000370D0000}"/>
    <cellStyle name="40% - Accent6 2 4 3 2" xfId="4817" xr:uid="{00000000-0005-0000-0000-0000380D0000}"/>
    <cellStyle name="40% - Accent6 2 4 4" xfId="4818" xr:uid="{00000000-0005-0000-0000-0000390D0000}"/>
    <cellStyle name="40% - Accent6 2 4 5" xfId="4819" xr:uid="{00000000-0005-0000-0000-00003A0D0000}"/>
    <cellStyle name="40% - Accent6 2 5" xfId="782" xr:uid="{00000000-0005-0000-0000-00003B0D0000}"/>
    <cellStyle name="40% - Accent6 2 5 2" xfId="4820" xr:uid="{00000000-0005-0000-0000-00003C0D0000}"/>
    <cellStyle name="40% - Accent6 2 5 2 2" xfId="4821" xr:uid="{00000000-0005-0000-0000-00003D0D0000}"/>
    <cellStyle name="40% - Accent6 2 5 3" xfId="4822" xr:uid="{00000000-0005-0000-0000-00003E0D0000}"/>
    <cellStyle name="40% - Accent6 2 5 4" xfId="4823" xr:uid="{00000000-0005-0000-0000-00003F0D0000}"/>
    <cellStyle name="40% - Accent6 2 6" xfId="783" xr:uid="{00000000-0005-0000-0000-0000400D0000}"/>
    <cellStyle name="40% - Accent6 2 6 2" xfId="4824" xr:uid="{00000000-0005-0000-0000-0000410D0000}"/>
    <cellStyle name="40% - Accent6 2 6 3" xfId="4825" xr:uid="{00000000-0005-0000-0000-0000420D0000}"/>
    <cellStyle name="40% - Accent6 2 7" xfId="784" xr:uid="{00000000-0005-0000-0000-0000430D0000}"/>
    <cellStyle name="40% - Accent6 2 8" xfId="785" xr:uid="{00000000-0005-0000-0000-0000440D0000}"/>
    <cellStyle name="40% - Accent6 2 9" xfId="786" xr:uid="{00000000-0005-0000-0000-0000450D0000}"/>
    <cellStyle name="40% - Accent6 20" xfId="787" xr:uid="{00000000-0005-0000-0000-0000460D0000}"/>
    <cellStyle name="40% - Accent6 21" xfId="788" xr:uid="{00000000-0005-0000-0000-0000470D0000}"/>
    <cellStyle name="40% - Accent6 22" xfId="789" xr:uid="{00000000-0005-0000-0000-0000480D0000}"/>
    <cellStyle name="40% - Accent6 23" xfId="790" xr:uid="{00000000-0005-0000-0000-0000490D0000}"/>
    <cellStyle name="40% - Accent6 24" xfId="791" xr:uid="{00000000-0005-0000-0000-00004A0D0000}"/>
    <cellStyle name="40% - Accent6 25" xfId="792" xr:uid="{00000000-0005-0000-0000-00004B0D0000}"/>
    <cellStyle name="40% - Accent6 26" xfId="793" xr:uid="{00000000-0005-0000-0000-00004C0D0000}"/>
    <cellStyle name="40% - Accent6 27" xfId="794" xr:uid="{00000000-0005-0000-0000-00004D0D0000}"/>
    <cellStyle name="40% - Accent6 28" xfId="795" xr:uid="{00000000-0005-0000-0000-00004E0D0000}"/>
    <cellStyle name="40% - Accent6 29" xfId="796" xr:uid="{00000000-0005-0000-0000-00004F0D0000}"/>
    <cellStyle name="40% - Accent6 3" xfId="797" xr:uid="{00000000-0005-0000-0000-0000500D0000}"/>
    <cellStyle name="40% - Accent6 3 2" xfId="4826" xr:uid="{00000000-0005-0000-0000-0000510D0000}"/>
    <cellStyle name="40% - Accent6 3 2 2" xfId="4827" xr:uid="{00000000-0005-0000-0000-0000520D0000}"/>
    <cellStyle name="40% - Accent6 3 2 2 2" xfId="4828" xr:uid="{00000000-0005-0000-0000-0000530D0000}"/>
    <cellStyle name="40% - Accent6 3 2 2 2 2" xfId="4829" xr:uid="{00000000-0005-0000-0000-0000540D0000}"/>
    <cellStyle name="40% - Accent6 3 2 2 2 2 2" xfId="4830" xr:uid="{00000000-0005-0000-0000-0000550D0000}"/>
    <cellStyle name="40% - Accent6 3 2 2 2 2 2 2" xfId="4831" xr:uid="{00000000-0005-0000-0000-0000560D0000}"/>
    <cellStyle name="40% - Accent6 3 2 2 2 2 3" xfId="4832" xr:uid="{00000000-0005-0000-0000-0000570D0000}"/>
    <cellStyle name="40% - Accent6 3 2 2 2 3" xfId="4833" xr:uid="{00000000-0005-0000-0000-0000580D0000}"/>
    <cellStyle name="40% - Accent6 3 2 2 2 3 2" xfId="4834" xr:uid="{00000000-0005-0000-0000-0000590D0000}"/>
    <cellStyle name="40% - Accent6 3 2 2 2 4" xfId="4835" xr:uid="{00000000-0005-0000-0000-00005A0D0000}"/>
    <cellStyle name="40% - Accent6 3 2 2 3" xfId="4836" xr:uid="{00000000-0005-0000-0000-00005B0D0000}"/>
    <cellStyle name="40% - Accent6 3 2 2 3 2" xfId="4837" xr:uid="{00000000-0005-0000-0000-00005C0D0000}"/>
    <cellStyle name="40% - Accent6 3 2 2 3 2 2" xfId="4838" xr:uid="{00000000-0005-0000-0000-00005D0D0000}"/>
    <cellStyle name="40% - Accent6 3 2 2 3 3" xfId="4839" xr:uid="{00000000-0005-0000-0000-00005E0D0000}"/>
    <cellStyle name="40% - Accent6 3 2 2 4" xfId="4840" xr:uid="{00000000-0005-0000-0000-00005F0D0000}"/>
    <cellStyle name="40% - Accent6 3 2 2 4 2" xfId="4841" xr:uid="{00000000-0005-0000-0000-0000600D0000}"/>
    <cellStyle name="40% - Accent6 3 2 2 5" xfId="4842" xr:uid="{00000000-0005-0000-0000-0000610D0000}"/>
    <cellStyle name="40% - Accent6 3 2 2 6" xfId="4843" xr:uid="{00000000-0005-0000-0000-0000620D0000}"/>
    <cellStyle name="40% - Accent6 3 2 3" xfId="4844" xr:uid="{00000000-0005-0000-0000-0000630D0000}"/>
    <cellStyle name="40% - Accent6 3 2 3 2" xfId="4845" xr:uid="{00000000-0005-0000-0000-0000640D0000}"/>
    <cellStyle name="40% - Accent6 3 2 3 2 2" xfId="4846" xr:uid="{00000000-0005-0000-0000-0000650D0000}"/>
    <cellStyle name="40% - Accent6 3 2 3 2 2 2" xfId="4847" xr:uid="{00000000-0005-0000-0000-0000660D0000}"/>
    <cellStyle name="40% - Accent6 3 2 3 2 3" xfId="4848" xr:uid="{00000000-0005-0000-0000-0000670D0000}"/>
    <cellStyle name="40% - Accent6 3 2 3 3" xfId="4849" xr:uid="{00000000-0005-0000-0000-0000680D0000}"/>
    <cellStyle name="40% - Accent6 3 2 3 3 2" xfId="4850" xr:uid="{00000000-0005-0000-0000-0000690D0000}"/>
    <cellStyle name="40% - Accent6 3 2 3 4" xfId="4851" xr:uid="{00000000-0005-0000-0000-00006A0D0000}"/>
    <cellStyle name="40% - Accent6 3 2 4" xfId="4852" xr:uid="{00000000-0005-0000-0000-00006B0D0000}"/>
    <cellStyle name="40% - Accent6 3 2 4 2" xfId="4853" xr:uid="{00000000-0005-0000-0000-00006C0D0000}"/>
    <cellStyle name="40% - Accent6 3 2 4 2 2" xfId="4854" xr:uid="{00000000-0005-0000-0000-00006D0D0000}"/>
    <cellStyle name="40% - Accent6 3 2 4 3" xfId="4855" xr:uid="{00000000-0005-0000-0000-00006E0D0000}"/>
    <cellStyle name="40% - Accent6 3 2 5" xfId="4856" xr:uid="{00000000-0005-0000-0000-00006F0D0000}"/>
    <cellStyle name="40% - Accent6 3 2 5 2" xfId="4857" xr:uid="{00000000-0005-0000-0000-0000700D0000}"/>
    <cellStyle name="40% - Accent6 3 2 6" xfId="4858" xr:uid="{00000000-0005-0000-0000-0000710D0000}"/>
    <cellStyle name="40% - Accent6 3 2 7" xfId="4859" xr:uid="{00000000-0005-0000-0000-0000720D0000}"/>
    <cellStyle name="40% - Accent6 3 3" xfId="4860" xr:uid="{00000000-0005-0000-0000-0000730D0000}"/>
    <cellStyle name="40% - Accent6 3 3 2" xfId="4861" xr:uid="{00000000-0005-0000-0000-0000740D0000}"/>
    <cellStyle name="40% - Accent6 3 3 2 2" xfId="4862" xr:uid="{00000000-0005-0000-0000-0000750D0000}"/>
    <cellStyle name="40% - Accent6 3 3 2 2 2" xfId="4863" xr:uid="{00000000-0005-0000-0000-0000760D0000}"/>
    <cellStyle name="40% - Accent6 3 3 2 2 2 2" xfId="4864" xr:uid="{00000000-0005-0000-0000-0000770D0000}"/>
    <cellStyle name="40% - Accent6 3 3 2 2 3" xfId="4865" xr:uid="{00000000-0005-0000-0000-0000780D0000}"/>
    <cellStyle name="40% - Accent6 3 3 2 3" xfId="4866" xr:uid="{00000000-0005-0000-0000-0000790D0000}"/>
    <cellStyle name="40% - Accent6 3 3 2 3 2" xfId="4867" xr:uid="{00000000-0005-0000-0000-00007A0D0000}"/>
    <cellStyle name="40% - Accent6 3 3 2 4" xfId="4868" xr:uid="{00000000-0005-0000-0000-00007B0D0000}"/>
    <cellStyle name="40% - Accent6 3 3 3" xfId="4869" xr:uid="{00000000-0005-0000-0000-00007C0D0000}"/>
    <cellStyle name="40% - Accent6 3 3 3 2" xfId="4870" xr:uid="{00000000-0005-0000-0000-00007D0D0000}"/>
    <cellStyle name="40% - Accent6 3 3 3 2 2" xfId="4871" xr:uid="{00000000-0005-0000-0000-00007E0D0000}"/>
    <cellStyle name="40% - Accent6 3 3 3 3" xfId="4872" xr:uid="{00000000-0005-0000-0000-00007F0D0000}"/>
    <cellStyle name="40% - Accent6 3 3 4" xfId="4873" xr:uid="{00000000-0005-0000-0000-0000800D0000}"/>
    <cellStyle name="40% - Accent6 3 3 4 2" xfId="4874" xr:uid="{00000000-0005-0000-0000-0000810D0000}"/>
    <cellStyle name="40% - Accent6 3 3 5" xfId="4875" xr:uid="{00000000-0005-0000-0000-0000820D0000}"/>
    <cellStyle name="40% - Accent6 3 3 6" xfId="4876" xr:uid="{00000000-0005-0000-0000-0000830D0000}"/>
    <cellStyle name="40% - Accent6 3 4" xfId="4877" xr:uid="{00000000-0005-0000-0000-0000840D0000}"/>
    <cellStyle name="40% - Accent6 3 4 2" xfId="4878" xr:uid="{00000000-0005-0000-0000-0000850D0000}"/>
    <cellStyle name="40% - Accent6 3 4 2 2" xfId="4879" xr:uid="{00000000-0005-0000-0000-0000860D0000}"/>
    <cellStyle name="40% - Accent6 3 4 2 2 2" xfId="4880" xr:uid="{00000000-0005-0000-0000-0000870D0000}"/>
    <cellStyle name="40% - Accent6 3 4 2 3" xfId="4881" xr:uid="{00000000-0005-0000-0000-0000880D0000}"/>
    <cellStyle name="40% - Accent6 3 4 3" xfId="4882" xr:uid="{00000000-0005-0000-0000-0000890D0000}"/>
    <cellStyle name="40% - Accent6 3 4 3 2" xfId="4883" xr:uid="{00000000-0005-0000-0000-00008A0D0000}"/>
    <cellStyle name="40% - Accent6 3 4 4" xfId="4884" xr:uid="{00000000-0005-0000-0000-00008B0D0000}"/>
    <cellStyle name="40% - Accent6 3 4 5" xfId="4885" xr:uid="{00000000-0005-0000-0000-00008C0D0000}"/>
    <cellStyle name="40% - Accent6 3 5" xfId="4886" xr:uid="{00000000-0005-0000-0000-00008D0D0000}"/>
    <cellStyle name="40% - Accent6 3 5 2" xfId="4887" xr:uid="{00000000-0005-0000-0000-00008E0D0000}"/>
    <cellStyle name="40% - Accent6 3 5 2 2" xfId="4888" xr:uid="{00000000-0005-0000-0000-00008F0D0000}"/>
    <cellStyle name="40% - Accent6 3 5 3" xfId="4889" xr:uid="{00000000-0005-0000-0000-0000900D0000}"/>
    <cellStyle name="40% - Accent6 3 6" xfId="4890" xr:uid="{00000000-0005-0000-0000-0000910D0000}"/>
    <cellStyle name="40% - Accent6 3 6 2" xfId="4891" xr:uid="{00000000-0005-0000-0000-0000920D0000}"/>
    <cellStyle name="40% - Accent6 3 7" xfId="4892" xr:uid="{00000000-0005-0000-0000-0000930D0000}"/>
    <cellStyle name="40% - Accent6 3 8" xfId="4893" xr:uid="{00000000-0005-0000-0000-0000940D0000}"/>
    <cellStyle name="40% - Accent6 3 9" xfId="4894" xr:uid="{00000000-0005-0000-0000-0000950D0000}"/>
    <cellStyle name="40% - Accent6 30" xfId="798" xr:uid="{00000000-0005-0000-0000-0000960D0000}"/>
    <cellStyle name="40% - Accent6 31" xfId="799" xr:uid="{00000000-0005-0000-0000-0000970D0000}"/>
    <cellStyle name="40% - Accent6 32" xfId="800" xr:uid="{00000000-0005-0000-0000-0000980D0000}"/>
    <cellStyle name="40% - Accent6 33" xfId="801" xr:uid="{00000000-0005-0000-0000-0000990D0000}"/>
    <cellStyle name="40% - Accent6 34" xfId="802" xr:uid="{00000000-0005-0000-0000-00009A0D0000}"/>
    <cellStyle name="40% - Accent6 35" xfId="803" xr:uid="{00000000-0005-0000-0000-00009B0D0000}"/>
    <cellStyle name="40% - Accent6 4" xfId="804" xr:uid="{00000000-0005-0000-0000-00009C0D0000}"/>
    <cellStyle name="40% - Accent6 4 2" xfId="4895" xr:uid="{00000000-0005-0000-0000-00009D0D0000}"/>
    <cellStyle name="40% - Accent6 4 2 2" xfId="4896" xr:uid="{00000000-0005-0000-0000-00009E0D0000}"/>
    <cellStyle name="40% - Accent6 4 2 2 2" xfId="4897" xr:uid="{00000000-0005-0000-0000-00009F0D0000}"/>
    <cellStyle name="40% - Accent6 4 2 2 2 2" xfId="4898" xr:uid="{00000000-0005-0000-0000-0000A00D0000}"/>
    <cellStyle name="40% - Accent6 4 2 2 2 2 2" xfId="4899" xr:uid="{00000000-0005-0000-0000-0000A10D0000}"/>
    <cellStyle name="40% - Accent6 4 2 2 2 3" xfId="4900" xr:uid="{00000000-0005-0000-0000-0000A20D0000}"/>
    <cellStyle name="40% - Accent6 4 2 2 3" xfId="4901" xr:uid="{00000000-0005-0000-0000-0000A30D0000}"/>
    <cellStyle name="40% - Accent6 4 2 2 3 2" xfId="4902" xr:uid="{00000000-0005-0000-0000-0000A40D0000}"/>
    <cellStyle name="40% - Accent6 4 2 2 4" xfId="4903" xr:uid="{00000000-0005-0000-0000-0000A50D0000}"/>
    <cellStyle name="40% - Accent6 4 2 3" xfId="4904" xr:uid="{00000000-0005-0000-0000-0000A60D0000}"/>
    <cellStyle name="40% - Accent6 4 2 3 2" xfId="4905" xr:uid="{00000000-0005-0000-0000-0000A70D0000}"/>
    <cellStyle name="40% - Accent6 4 2 3 2 2" xfId="4906" xr:uid="{00000000-0005-0000-0000-0000A80D0000}"/>
    <cellStyle name="40% - Accent6 4 2 3 3" xfId="4907" xr:uid="{00000000-0005-0000-0000-0000A90D0000}"/>
    <cellStyle name="40% - Accent6 4 2 4" xfId="4908" xr:uid="{00000000-0005-0000-0000-0000AA0D0000}"/>
    <cellStyle name="40% - Accent6 4 2 4 2" xfId="4909" xr:uid="{00000000-0005-0000-0000-0000AB0D0000}"/>
    <cellStyle name="40% - Accent6 4 2 5" xfId="4910" xr:uid="{00000000-0005-0000-0000-0000AC0D0000}"/>
    <cellStyle name="40% - Accent6 4 2 6" xfId="4911" xr:uid="{00000000-0005-0000-0000-0000AD0D0000}"/>
    <cellStyle name="40% - Accent6 4 3" xfId="4912" xr:uid="{00000000-0005-0000-0000-0000AE0D0000}"/>
    <cellStyle name="40% - Accent6 4 3 2" xfId="4913" xr:uid="{00000000-0005-0000-0000-0000AF0D0000}"/>
    <cellStyle name="40% - Accent6 4 3 2 2" xfId="4914" xr:uid="{00000000-0005-0000-0000-0000B00D0000}"/>
    <cellStyle name="40% - Accent6 4 3 2 2 2" xfId="4915" xr:uid="{00000000-0005-0000-0000-0000B10D0000}"/>
    <cellStyle name="40% - Accent6 4 3 2 3" xfId="4916" xr:uid="{00000000-0005-0000-0000-0000B20D0000}"/>
    <cellStyle name="40% - Accent6 4 3 3" xfId="4917" xr:uid="{00000000-0005-0000-0000-0000B30D0000}"/>
    <cellStyle name="40% - Accent6 4 3 3 2" xfId="4918" xr:uid="{00000000-0005-0000-0000-0000B40D0000}"/>
    <cellStyle name="40% - Accent6 4 3 4" xfId="4919" xr:uid="{00000000-0005-0000-0000-0000B50D0000}"/>
    <cellStyle name="40% - Accent6 4 3 5" xfId="4920" xr:uid="{00000000-0005-0000-0000-0000B60D0000}"/>
    <cellStyle name="40% - Accent6 4 4" xfId="4921" xr:uid="{00000000-0005-0000-0000-0000B70D0000}"/>
    <cellStyle name="40% - Accent6 4 4 2" xfId="4922" xr:uid="{00000000-0005-0000-0000-0000B80D0000}"/>
    <cellStyle name="40% - Accent6 4 4 2 2" xfId="4923" xr:uid="{00000000-0005-0000-0000-0000B90D0000}"/>
    <cellStyle name="40% - Accent6 4 4 3" xfId="4924" xr:uid="{00000000-0005-0000-0000-0000BA0D0000}"/>
    <cellStyle name="40% - Accent6 4 5" xfId="4925" xr:uid="{00000000-0005-0000-0000-0000BB0D0000}"/>
    <cellStyle name="40% - Accent6 4 5 2" xfId="4926" xr:uid="{00000000-0005-0000-0000-0000BC0D0000}"/>
    <cellStyle name="40% - Accent6 4 6" xfId="4927" xr:uid="{00000000-0005-0000-0000-0000BD0D0000}"/>
    <cellStyle name="40% - Accent6 4 7" xfId="4928" xr:uid="{00000000-0005-0000-0000-0000BE0D0000}"/>
    <cellStyle name="40% - Accent6 5" xfId="805" xr:uid="{00000000-0005-0000-0000-0000BF0D0000}"/>
    <cellStyle name="40% - Accent6 5 2" xfId="4929" xr:uid="{00000000-0005-0000-0000-0000C00D0000}"/>
    <cellStyle name="40% - Accent6 5 2 2" xfId="4930" xr:uid="{00000000-0005-0000-0000-0000C10D0000}"/>
    <cellStyle name="40% - Accent6 5 2 2 2" xfId="4931" xr:uid="{00000000-0005-0000-0000-0000C20D0000}"/>
    <cellStyle name="40% - Accent6 5 2 2 2 2" xfId="4932" xr:uid="{00000000-0005-0000-0000-0000C30D0000}"/>
    <cellStyle name="40% - Accent6 5 2 2 3" xfId="4933" xr:uid="{00000000-0005-0000-0000-0000C40D0000}"/>
    <cellStyle name="40% - Accent6 5 2 3" xfId="4934" xr:uid="{00000000-0005-0000-0000-0000C50D0000}"/>
    <cellStyle name="40% - Accent6 5 2 3 2" xfId="4935" xr:uid="{00000000-0005-0000-0000-0000C60D0000}"/>
    <cellStyle name="40% - Accent6 5 2 4" xfId="4936" xr:uid="{00000000-0005-0000-0000-0000C70D0000}"/>
    <cellStyle name="40% - Accent6 5 2 5" xfId="4937" xr:uid="{00000000-0005-0000-0000-0000C80D0000}"/>
    <cellStyle name="40% - Accent6 5 3" xfId="4938" xr:uid="{00000000-0005-0000-0000-0000C90D0000}"/>
    <cellStyle name="40% - Accent6 5 3 2" xfId="4939" xr:uid="{00000000-0005-0000-0000-0000CA0D0000}"/>
    <cellStyle name="40% - Accent6 5 3 2 2" xfId="4940" xr:uid="{00000000-0005-0000-0000-0000CB0D0000}"/>
    <cellStyle name="40% - Accent6 5 3 3" xfId="4941" xr:uid="{00000000-0005-0000-0000-0000CC0D0000}"/>
    <cellStyle name="40% - Accent6 5 4" xfId="4942" xr:uid="{00000000-0005-0000-0000-0000CD0D0000}"/>
    <cellStyle name="40% - Accent6 5 4 2" xfId="4943" xr:uid="{00000000-0005-0000-0000-0000CE0D0000}"/>
    <cellStyle name="40% - Accent6 5 5" xfId="4944" xr:uid="{00000000-0005-0000-0000-0000CF0D0000}"/>
    <cellStyle name="40% - Accent6 5 6" xfId="4945" xr:uid="{00000000-0005-0000-0000-0000D00D0000}"/>
    <cellStyle name="40% - Accent6 6" xfId="806" xr:uid="{00000000-0005-0000-0000-0000D10D0000}"/>
    <cellStyle name="40% - Accent6 6 2" xfId="4946" xr:uid="{00000000-0005-0000-0000-0000D20D0000}"/>
    <cellStyle name="40% - Accent6 6 2 2" xfId="4947" xr:uid="{00000000-0005-0000-0000-0000D30D0000}"/>
    <cellStyle name="40% - Accent6 6 2 2 2" xfId="4948" xr:uid="{00000000-0005-0000-0000-0000D40D0000}"/>
    <cellStyle name="40% - Accent6 6 2 3" xfId="4949" xr:uid="{00000000-0005-0000-0000-0000D50D0000}"/>
    <cellStyle name="40% - Accent6 6 2 4" xfId="4950" xr:uid="{00000000-0005-0000-0000-0000D60D0000}"/>
    <cellStyle name="40% - Accent6 6 2 5" xfId="4951" xr:uid="{00000000-0005-0000-0000-0000D70D0000}"/>
    <cellStyle name="40% - Accent6 6 3" xfId="4952" xr:uid="{00000000-0005-0000-0000-0000D80D0000}"/>
    <cellStyle name="40% - Accent6 6 3 2" xfId="4953" xr:uid="{00000000-0005-0000-0000-0000D90D0000}"/>
    <cellStyle name="40% - Accent6 6 4" xfId="4954" xr:uid="{00000000-0005-0000-0000-0000DA0D0000}"/>
    <cellStyle name="40% - Accent6 6 5" xfId="4955" xr:uid="{00000000-0005-0000-0000-0000DB0D0000}"/>
    <cellStyle name="40% - Accent6 7" xfId="807" xr:uid="{00000000-0005-0000-0000-0000DC0D0000}"/>
    <cellStyle name="40% - Accent6 7 2" xfId="4956" xr:uid="{00000000-0005-0000-0000-0000DD0D0000}"/>
    <cellStyle name="40% - Accent6 7 2 2" xfId="4957" xr:uid="{00000000-0005-0000-0000-0000DE0D0000}"/>
    <cellStyle name="40% - Accent6 7 2 2 2" xfId="4958" xr:uid="{00000000-0005-0000-0000-0000DF0D0000}"/>
    <cellStyle name="40% - Accent6 7 2 3" xfId="4959" xr:uid="{00000000-0005-0000-0000-0000E00D0000}"/>
    <cellStyle name="40% - Accent6 7 3" xfId="4960" xr:uid="{00000000-0005-0000-0000-0000E10D0000}"/>
    <cellStyle name="40% - Accent6 7 3 2" xfId="4961" xr:uid="{00000000-0005-0000-0000-0000E20D0000}"/>
    <cellStyle name="40% - Accent6 7 4" xfId="4962" xr:uid="{00000000-0005-0000-0000-0000E30D0000}"/>
    <cellStyle name="40% - Accent6 7 5" xfId="4963" xr:uid="{00000000-0005-0000-0000-0000E40D0000}"/>
    <cellStyle name="40% - Accent6 8" xfId="808" xr:uid="{00000000-0005-0000-0000-0000E50D0000}"/>
    <cellStyle name="40% - Accent6 8 2" xfId="4964" xr:uid="{00000000-0005-0000-0000-0000E60D0000}"/>
    <cellStyle name="40% - Accent6 8 2 2" xfId="4965" xr:uid="{00000000-0005-0000-0000-0000E70D0000}"/>
    <cellStyle name="40% - Accent6 8 2 2 2" xfId="4966" xr:uid="{00000000-0005-0000-0000-0000E80D0000}"/>
    <cellStyle name="40% - Accent6 8 2 3" xfId="4967" xr:uid="{00000000-0005-0000-0000-0000E90D0000}"/>
    <cellStyle name="40% - Accent6 8 3" xfId="4968" xr:uid="{00000000-0005-0000-0000-0000EA0D0000}"/>
    <cellStyle name="40% - Accent6 8 3 2" xfId="4969" xr:uid="{00000000-0005-0000-0000-0000EB0D0000}"/>
    <cellStyle name="40% - Accent6 8 4" xfId="4970" xr:uid="{00000000-0005-0000-0000-0000EC0D0000}"/>
    <cellStyle name="40% - Accent6 8 5" xfId="4971" xr:uid="{00000000-0005-0000-0000-0000ED0D0000}"/>
    <cellStyle name="40% - Accent6 9" xfId="809" xr:uid="{00000000-0005-0000-0000-0000EE0D0000}"/>
    <cellStyle name="40% - Accent6 9 2" xfId="4972" xr:uid="{00000000-0005-0000-0000-0000EF0D0000}"/>
    <cellStyle name="40% - Accent6 9 2 2" xfId="4973" xr:uid="{00000000-0005-0000-0000-0000F00D0000}"/>
    <cellStyle name="40% - Accent6 9 3" xfId="4974" xr:uid="{00000000-0005-0000-0000-0000F10D0000}"/>
    <cellStyle name="40% - Accent6 9 4" xfId="4975" xr:uid="{00000000-0005-0000-0000-0000F20D0000}"/>
    <cellStyle name="60% - Accent1 10" xfId="810" xr:uid="{00000000-0005-0000-0000-0000F30D0000}"/>
    <cellStyle name="60% - Accent1 11" xfId="811" xr:uid="{00000000-0005-0000-0000-0000F40D0000}"/>
    <cellStyle name="60% - Accent1 12" xfId="812" xr:uid="{00000000-0005-0000-0000-0000F50D0000}"/>
    <cellStyle name="60% - Accent1 13" xfId="813" xr:uid="{00000000-0005-0000-0000-0000F60D0000}"/>
    <cellStyle name="60% - Accent1 14" xfId="814" xr:uid="{00000000-0005-0000-0000-0000F70D0000}"/>
    <cellStyle name="60% - Accent1 15" xfId="815" xr:uid="{00000000-0005-0000-0000-0000F80D0000}"/>
    <cellStyle name="60% - Accent1 16" xfId="816" xr:uid="{00000000-0005-0000-0000-0000F90D0000}"/>
    <cellStyle name="60% - Accent1 17" xfId="817" xr:uid="{00000000-0005-0000-0000-0000FA0D0000}"/>
    <cellStyle name="60% - Accent1 17 2" xfId="4976" xr:uid="{00000000-0005-0000-0000-0000FB0D0000}"/>
    <cellStyle name="60% - Accent1 18" xfId="818" xr:uid="{00000000-0005-0000-0000-0000FC0D0000}"/>
    <cellStyle name="60% - Accent1 19" xfId="819" xr:uid="{00000000-0005-0000-0000-0000FD0D0000}"/>
    <cellStyle name="60% - Accent1 2" xfId="820" xr:uid="{00000000-0005-0000-0000-0000FE0D0000}"/>
    <cellStyle name="60% - Accent1 2 2" xfId="821" xr:uid="{00000000-0005-0000-0000-0000FF0D0000}"/>
    <cellStyle name="60% - Accent1 2 2 2" xfId="822" xr:uid="{00000000-0005-0000-0000-0000000E0000}"/>
    <cellStyle name="60% - Accent1 2 2 2 2" xfId="823" xr:uid="{00000000-0005-0000-0000-0000010E0000}"/>
    <cellStyle name="60% - Accent1 2 2 2 3" xfId="824" xr:uid="{00000000-0005-0000-0000-0000020E0000}"/>
    <cellStyle name="60% - Accent1 2 2 2 4" xfId="825" xr:uid="{00000000-0005-0000-0000-0000030E0000}"/>
    <cellStyle name="60% - Accent1 2 2 2 5" xfId="826" xr:uid="{00000000-0005-0000-0000-0000040E0000}"/>
    <cellStyle name="60% - Accent1 2 2 3" xfId="827" xr:uid="{00000000-0005-0000-0000-0000050E0000}"/>
    <cellStyle name="60% - Accent1 2 2 4" xfId="828" xr:uid="{00000000-0005-0000-0000-0000060E0000}"/>
    <cellStyle name="60% - Accent1 2 2 5" xfId="829" xr:uid="{00000000-0005-0000-0000-0000070E0000}"/>
    <cellStyle name="60% - Accent1 2 3" xfId="830" xr:uid="{00000000-0005-0000-0000-0000080E0000}"/>
    <cellStyle name="60% - Accent1 2 4" xfId="831" xr:uid="{00000000-0005-0000-0000-0000090E0000}"/>
    <cellStyle name="60% - Accent1 2 5" xfId="832" xr:uid="{00000000-0005-0000-0000-00000A0E0000}"/>
    <cellStyle name="60% - Accent1 2 6" xfId="833" xr:uid="{00000000-0005-0000-0000-00000B0E0000}"/>
    <cellStyle name="60% - Accent1 2 7" xfId="834" xr:uid="{00000000-0005-0000-0000-00000C0E0000}"/>
    <cellStyle name="60% - Accent1 2 8" xfId="835" xr:uid="{00000000-0005-0000-0000-00000D0E0000}"/>
    <cellStyle name="60% - Accent1 2 9" xfId="836" xr:uid="{00000000-0005-0000-0000-00000E0E0000}"/>
    <cellStyle name="60% - Accent1 20" xfId="837" xr:uid="{00000000-0005-0000-0000-00000F0E0000}"/>
    <cellStyle name="60% - Accent1 21" xfId="838" xr:uid="{00000000-0005-0000-0000-0000100E0000}"/>
    <cellStyle name="60% - Accent1 22" xfId="839" xr:uid="{00000000-0005-0000-0000-0000110E0000}"/>
    <cellStyle name="60% - Accent1 3" xfId="840" xr:uid="{00000000-0005-0000-0000-0000120E0000}"/>
    <cellStyle name="60% - Accent1 3 2" xfId="4977" xr:uid="{00000000-0005-0000-0000-0000130E0000}"/>
    <cellStyle name="60% - Accent1 4" xfId="841" xr:uid="{00000000-0005-0000-0000-0000140E0000}"/>
    <cellStyle name="60% - Accent1 4 2" xfId="4978" xr:uid="{00000000-0005-0000-0000-0000150E0000}"/>
    <cellStyle name="60% - Accent1 5" xfId="842" xr:uid="{00000000-0005-0000-0000-0000160E0000}"/>
    <cellStyle name="60% - Accent1 6" xfId="843" xr:uid="{00000000-0005-0000-0000-0000170E0000}"/>
    <cellStyle name="60% - Accent1 7" xfId="844" xr:uid="{00000000-0005-0000-0000-0000180E0000}"/>
    <cellStyle name="60% - Accent1 8" xfId="845" xr:uid="{00000000-0005-0000-0000-0000190E0000}"/>
    <cellStyle name="60% - Accent1 9" xfId="846" xr:uid="{00000000-0005-0000-0000-00001A0E0000}"/>
    <cellStyle name="60% - Accent2 10" xfId="847" xr:uid="{00000000-0005-0000-0000-00001B0E0000}"/>
    <cellStyle name="60% - Accent2 11" xfId="848" xr:uid="{00000000-0005-0000-0000-00001C0E0000}"/>
    <cellStyle name="60% - Accent2 12" xfId="849" xr:uid="{00000000-0005-0000-0000-00001D0E0000}"/>
    <cellStyle name="60% - Accent2 13" xfId="850" xr:uid="{00000000-0005-0000-0000-00001E0E0000}"/>
    <cellStyle name="60% - Accent2 14" xfId="851" xr:uid="{00000000-0005-0000-0000-00001F0E0000}"/>
    <cellStyle name="60% - Accent2 15" xfId="852" xr:uid="{00000000-0005-0000-0000-0000200E0000}"/>
    <cellStyle name="60% - Accent2 16" xfId="853" xr:uid="{00000000-0005-0000-0000-0000210E0000}"/>
    <cellStyle name="60% - Accent2 17" xfId="854" xr:uid="{00000000-0005-0000-0000-0000220E0000}"/>
    <cellStyle name="60% - Accent2 17 2" xfId="4979" xr:uid="{00000000-0005-0000-0000-0000230E0000}"/>
    <cellStyle name="60% - Accent2 18" xfId="855" xr:uid="{00000000-0005-0000-0000-0000240E0000}"/>
    <cellStyle name="60% - Accent2 19" xfId="856" xr:uid="{00000000-0005-0000-0000-0000250E0000}"/>
    <cellStyle name="60% - Accent2 2" xfId="857" xr:uid="{00000000-0005-0000-0000-0000260E0000}"/>
    <cellStyle name="60% - Accent2 2 2" xfId="858" xr:uid="{00000000-0005-0000-0000-0000270E0000}"/>
    <cellStyle name="60% - Accent2 2 2 2" xfId="859" xr:uid="{00000000-0005-0000-0000-0000280E0000}"/>
    <cellStyle name="60% - Accent2 2 2 2 2" xfId="860" xr:uid="{00000000-0005-0000-0000-0000290E0000}"/>
    <cellStyle name="60% - Accent2 2 2 2 3" xfId="861" xr:uid="{00000000-0005-0000-0000-00002A0E0000}"/>
    <cellStyle name="60% - Accent2 2 2 2 4" xfId="862" xr:uid="{00000000-0005-0000-0000-00002B0E0000}"/>
    <cellStyle name="60% - Accent2 2 2 2 5" xfId="863" xr:uid="{00000000-0005-0000-0000-00002C0E0000}"/>
    <cellStyle name="60% - Accent2 2 2 3" xfId="864" xr:uid="{00000000-0005-0000-0000-00002D0E0000}"/>
    <cellStyle name="60% - Accent2 2 2 4" xfId="865" xr:uid="{00000000-0005-0000-0000-00002E0E0000}"/>
    <cellStyle name="60% - Accent2 2 2 5" xfId="866" xr:uid="{00000000-0005-0000-0000-00002F0E0000}"/>
    <cellStyle name="60% - Accent2 2 3" xfId="867" xr:uid="{00000000-0005-0000-0000-0000300E0000}"/>
    <cellStyle name="60% - Accent2 2 4" xfId="868" xr:uid="{00000000-0005-0000-0000-0000310E0000}"/>
    <cellStyle name="60% - Accent2 2 5" xfId="869" xr:uid="{00000000-0005-0000-0000-0000320E0000}"/>
    <cellStyle name="60% - Accent2 2 6" xfId="870" xr:uid="{00000000-0005-0000-0000-0000330E0000}"/>
    <cellStyle name="60% - Accent2 2 7" xfId="871" xr:uid="{00000000-0005-0000-0000-0000340E0000}"/>
    <cellStyle name="60% - Accent2 2 8" xfId="872" xr:uid="{00000000-0005-0000-0000-0000350E0000}"/>
    <cellStyle name="60% - Accent2 2 9" xfId="873" xr:uid="{00000000-0005-0000-0000-0000360E0000}"/>
    <cellStyle name="60% - Accent2 20" xfId="874" xr:uid="{00000000-0005-0000-0000-0000370E0000}"/>
    <cellStyle name="60% - Accent2 21" xfId="875" xr:uid="{00000000-0005-0000-0000-0000380E0000}"/>
    <cellStyle name="60% - Accent2 22" xfId="876" xr:uid="{00000000-0005-0000-0000-0000390E0000}"/>
    <cellStyle name="60% - Accent2 3" xfId="877" xr:uid="{00000000-0005-0000-0000-00003A0E0000}"/>
    <cellStyle name="60% - Accent2 3 2" xfId="4980" xr:uid="{00000000-0005-0000-0000-00003B0E0000}"/>
    <cellStyle name="60% - Accent2 4" xfId="878" xr:uid="{00000000-0005-0000-0000-00003C0E0000}"/>
    <cellStyle name="60% - Accent2 4 2" xfId="4981" xr:uid="{00000000-0005-0000-0000-00003D0E0000}"/>
    <cellStyle name="60% - Accent2 5" xfId="879" xr:uid="{00000000-0005-0000-0000-00003E0E0000}"/>
    <cellStyle name="60% - Accent2 6" xfId="880" xr:uid="{00000000-0005-0000-0000-00003F0E0000}"/>
    <cellStyle name="60% - Accent2 7" xfId="881" xr:uid="{00000000-0005-0000-0000-0000400E0000}"/>
    <cellStyle name="60% - Accent2 8" xfId="882" xr:uid="{00000000-0005-0000-0000-0000410E0000}"/>
    <cellStyle name="60% - Accent2 9" xfId="883" xr:uid="{00000000-0005-0000-0000-0000420E0000}"/>
    <cellStyle name="60% - Accent3 10" xfId="884" xr:uid="{00000000-0005-0000-0000-0000430E0000}"/>
    <cellStyle name="60% - Accent3 11" xfId="885" xr:uid="{00000000-0005-0000-0000-0000440E0000}"/>
    <cellStyle name="60% - Accent3 12" xfId="886" xr:uid="{00000000-0005-0000-0000-0000450E0000}"/>
    <cellStyle name="60% - Accent3 13" xfId="887" xr:uid="{00000000-0005-0000-0000-0000460E0000}"/>
    <cellStyle name="60% - Accent3 14" xfId="888" xr:uid="{00000000-0005-0000-0000-0000470E0000}"/>
    <cellStyle name="60% - Accent3 15" xfId="889" xr:uid="{00000000-0005-0000-0000-0000480E0000}"/>
    <cellStyle name="60% - Accent3 16" xfId="890" xr:uid="{00000000-0005-0000-0000-0000490E0000}"/>
    <cellStyle name="60% - Accent3 17" xfId="891" xr:uid="{00000000-0005-0000-0000-00004A0E0000}"/>
    <cellStyle name="60% - Accent3 17 2" xfId="4982" xr:uid="{00000000-0005-0000-0000-00004B0E0000}"/>
    <cellStyle name="60% - Accent3 18" xfId="892" xr:uid="{00000000-0005-0000-0000-00004C0E0000}"/>
    <cellStyle name="60% - Accent3 19" xfId="893" xr:uid="{00000000-0005-0000-0000-00004D0E0000}"/>
    <cellStyle name="60% - Accent3 2" xfId="894" xr:uid="{00000000-0005-0000-0000-00004E0E0000}"/>
    <cellStyle name="60% - Accent3 2 2" xfId="895" xr:uid="{00000000-0005-0000-0000-00004F0E0000}"/>
    <cellStyle name="60% - Accent3 2 2 2" xfId="896" xr:uid="{00000000-0005-0000-0000-0000500E0000}"/>
    <cellStyle name="60% - Accent3 2 2 2 2" xfId="897" xr:uid="{00000000-0005-0000-0000-0000510E0000}"/>
    <cellStyle name="60% - Accent3 2 2 2 3" xfId="898" xr:uid="{00000000-0005-0000-0000-0000520E0000}"/>
    <cellStyle name="60% - Accent3 2 2 2 4" xfId="899" xr:uid="{00000000-0005-0000-0000-0000530E0000}"/>
    <cellStyle name="60% - Accent3 2 2 2 5" xfId="900" xr:uid="{00000000-0005-0000-0000-0000540E0000}"/>
    <cellStyle name="60% - Accent3 2 2 3" xfId="901" xr:uid="{00000000-0005-0000-0000-0000550E0000}"/>
    <cellStyle name="60% - Accent3 2 2 4" xfId="902" xr:uid="{00000000-0005-0000-0000-0000560E0000}"/>
    <cellStyle name="60% - Accent3 2 2 5" xfId="903" xr:uid="{00000000-0005-0000-0000-0000570E0000}"/>
    <cellStyle name="60% - Accent3 2 3" xfId="904" xr:uid="{00000000-0005-0000-0000-0000580E0000}"/>
    <cellStyle name="60% - Accent3 2 4" xfId="905" xr:uid="{00000000-0005-0000-0000-0000590E0000}"/>
    <cellStyle name="60% - Accent3 2 5" xfId="906" xr:uid="{00000000-0005-0000-0000-00005A0E0000}"/>
    <cellStyle name="60% - Accent3 2 6" xfId="907" xr:uid="{00000000-0005-0000-0000-00005B0E0000}"/>
    <cellStyle name="60% - Accent3 2 7" xfId="908" xr:uid="{00000000-0005-0000-0000-00005C0E0000}"/>
    <cellStyle name="60% - Accent3 2 8" xfId="909" xr:uid="{00000000-0005-0000-0000-00005D0E0000}"/>
    <cellStyle name="60% - Accent3 2 9" xfId="910" xr:uid="{00000000-0005-0000-0000-00005E0E0000}"/>
    <cellStyle name="60% - Accent3 20" xfId="911" xr:uid="{00000000-0005-0000-0000-00005F0E0000}"/>
    <cellStyle name="60% - Accent3 21" xfId="912" xr:uid="{00000000-0005-0000-0000-0000600E0000}"/>
    <cellStyle name="60% - Accent3 22" xfId="913" xr:uid="{00000000-0005-0000-0000-0000610E0000}"/>
    <cellStyle name="60% - Accent3 3" xfId="914" xr:uid="{00000000-0005-0000-0000-0000620E0000}"/>
    <cellStyle name="60% - Accent3 3 2" xfId="4983" xr:uid="{00000000-0005-0000-0000-0000630E0000}"/>
    <cellStyle name="60% - Accent3 4" xfId="915" xr:uid="{00000000-0005-0000-0000-0000640E0000}"/>
    <cellStyle name="60% - Accent3 4 2" xfId="4984" xr:uid="{00000000-0005-0000-0000-0000650E0000}"/>
    <cellStyle name="60% - Accent3 5" xfId="916" xr:uid="{00000000-0005-0000-0000-0000660E0000}"/>
    <cellStyle name="60% - Accent3 6" xfId="917" xr:uid="{00000000-0005-0000-0000-0000670E0000}"/>
    <cellStyle name="60% - Accent3 7" xfId="918" xr:uid="{00000000-0005-0000-0000-0000680E0000}"/>
    <cellStyle name="60% - Accent3 8" xfId="919" xr:uid="{00000000-0005-0000-0000-0000690E0000}"/>
    <cellStyle name="60% - Accent3 9" xfId="920" xr:uid="{00000000-0005-0000-0000-00006A0E0000}"/>
    <cellStyle name="60% - Accent4 10" xfId="921" xr:uid="{00000000-0005-0000-0000-00006B0E0000}"/>
    <cellStyle name="60% - Accent4 11" xfId="922" xr:uid="{00000000-0005-0000-0000-00006C0E0000}"/>
    <cellStyle name="60% - Accent4 12" xfId="923" xr:uid="{00000000-0005-0000-0000-00006D0E0000}"/>
    <cellStyle name="60% - Accent4 13" xfId="924" xr:uid="{00000000-0005-0000-0000-00006E0E0000}"/>
    <cellStyle name="60% - Accent4 14" xfId="925" xr:uid="{00000000-0005-0000-0000-00006F0E0000}"/>
    <cellStyle name="60% - Accent4 15" xfId="926" xr:uid="{00000000-0005-0000-0000-0000700E0000}"/>
    <cellStyle name="60% - Accent4 16" xfId="927" xr:uid="{00000000-0005-0000-0000-0000710E0000}"/>
    <cellStyle name="60% - Accent4 17" xfId="928" xr:uid="{00000000-0005-0000-0000-0000720E0000}"/>
    <cellStyle name="60% - Accent4 17 2" xfId="4985" xr:uid="{00000000-0005-0000-0000-0000730E0000}"/>
    <cellStyle name="60% - Accent4 18" xfId="929" xr:uid="{00000000-0005-0000-0000-0000740E0000}"/>
    <cellStyle name="60% - Accent4 19" xfId="930" xr:uid="{00000000-0005-0000-0000-0000750E0000}"/>
    <cellStyle name="60% - Accent4 2" xfId="931" xr:uid="{00000000-0005-0000-0000-0000760E0000}"/>
    <cellStyle name="60% - Accent4 2 2" xfId="932" xr:uid="{00000000-0005-0000-0000-0000770E0000}"/>
    <cellStyle name="60% - Accent4 2 2 2" xfId="933" xr:uid="{00000000-0005-0000-0000-0000780E0000}"/>
    <cellStyle name="60% - Accent4 2 2 2 2" xfId="934" xr:uid="{00000000-0005-0000-0000-0000790E0000}"/>
    <cellStyle name="60% - Accent4 2 2 2 3" xfId="935" xr:uid="{00000000-0005-0000-0000-00007A0E0000}"/>
    <cellStyle name="60% - Accent4 2 2 2 4" xfId="936" xr:uid="{00000000-0005-0000-0000-00007B0E0000}"/>
    <cellStyle name="60% - Accent4 2 2 2 5" xfId="937" xr:uid="{00000000-0005-0000-0000-00007C0E0000}"/>
    <cellStyle name="60% - Accent4 2 2 3" xfId="938" xr:uid="{00000000-0005-0000-0000-00007D0E0000}"/>
    <cellStyle name="60% - Accent4 2 2 4" xfId="939" xr:uid="{00000000-0005-0000-0000-00007E0E0000}"/>
    <cellStyle name="60% - Accent4 2 2 5" xfId="940" xr:uid="{00000000-0005-0000-0000-00007F0E0000}"/>
    <cellStyle name="60% - Accent4 2 3" xfId="941" xr:uid="{00000000-0005-0000-0000-0000800E0000}"/>
    <cellStyle name="60% - Accent4 2 4" xfId="942" xr:uid="{00000000-0005-0000-0000-0000810E0000}"/>
    <cellStyle name="60% - Accent4 2 5" xfId="943" xr:uid="{00000000-0005-0000-0000-0000820E0000}"/>
    <cellStyle name="60% - Accent4 2 6" xfId="944" xr:uid="{00000000-0005-0000-0000-0000830E0000}"/>
    <cellStyle name="60% - Accent4 2 7" xfId="945" xr:uid="{00000000-0005-0000-0000-0000840E0000}"/>
    <cellStyle name="60% - Accent4 2 8" xfId="946" xr:uid="{00000000-0005-0000-0000-0000850E0000}"/>
    <cellStyle name="60% - Accent4 2 9" xfId="947" xr:uid="{00000000-0005-0000-0000-0000860E0000}"/>
    <cellStyle name="60% - Accent4 20" xfId="948" xr:uid="{00000000-0005-0000-0000-0000870E0000}"/>
    <cellStyle name="60% - Accent4 21" xfId="949" xr:uid="{00000000-0005-0000-0000-0000880E0000}"/>
    <cellStyle name="60% - Accent4 22" xfId="950" xr:uid="{00000000-0005-0000-0000-0000890E0000}"/>
    <cellStyle name="60% - Accent4 3" xfId="951" xr:uid="{00000000-0005-0000-0000-00008A0E0000}"/>
    <cellStyle name="60% - Accent4 3 2" xfId="4986" xr:uid="{00000000-0005-0000-0000-00008B0E0000}"/>
    <cellStyle name="60% - Accent4 4" xfId="952" xr:uid="{00000000-0005-0000-0000-00008C0E0000}"/>
    <cellStyle name="60% - Accent4 4 2" xfId="4987" xr:uid="{00000000-0005-0000-0000-00008D0E0000}"/>
    <cellStyle name="60% - Accent4 5" xfId="953" xr:uid="{00000000-0005-0000-0000-00008E0E0000}"/>
    <cellStyle name="60% - Accent4 6" xfId="954" xr:uid="{00000000-0005-0000-0000-00008F0E0000}"/>
    <cellStyle name="60% - Accent4 7" xfId="955" xr:uid="{00000000-0005-0000-0000-0000900E0000}"/>
    <cellStyle name="60% - Accent4 8" xfId="956" xr:uid="{00000000-0005-0000-0000-0000910E0000}"/>
    <cellStyle name="60% - Accent4 9" xfId="957" xr:uid="{00000000-0005-0000-0000-0000920E0000}"/>
    <cellStyle name="60% - Accent5 10" xfId="958" xr:uid="{00000000-0005-0000-0000-0000930E0000}"/>
    <cellStyle name="60% - Accent5 11" xfId="959" xr:uid="{00000000-0005-0000-0000-0000940E0000}"/>
    <cellStyle name="60% - Accent5 12" xfId="960" xr:uid="{00000000-0005-0000-0000-0000950E0000}"/>
    <cellStyle name="60% - Accent5 13" xfId="961" xr:uid="{00000000-0005-0000-0000-0000960E0000}"/>
    <cellStyle name="60% - Accent5 14" xfId="962" xr:uid="{00000000-0005-0000-0000-0000970E0000}"/>
    <cellStyle name="60% - Accent5 15" xfId="963" xr:uid="{00000000-0005-0000-0000-0000980E0000}"/>
    <cellStyle name="60% - Accent5 16" xfId="964" xr:uid="{00000000-0005-0000-0000-0000990E0000}"/>
    <cellStyle name="60% - Accent5 17" xfId="965" xr:uid="{00000000-0005-0000-0000-00009A0E0000}"/>
    <cellStyle name="60% - Accent5 17 2" xfId="4988" xr:uid="{00000000-0005-0000-0000-00009B0E0000}"/>
    <cellStyle name="60% - Accent5 18" xfId="966" xr:uid="{00000000-0005-0000-0000-00009C0E0000}"/>
    <cellStyle name="60% - Accent5 19" xfId="967" xr:uid="{00000000-0005-0000-0000-00009D0E0000}"/>
    <cellStyle name="60% - Accent5 2" xfId="968" xr:uid="{00000000-0005-0000-0000-00009E0E0000}"/>
    <cellStyle name="60% - Accent5 2 2" xfId="969" xr:uid="{00000000-0005-0000-0000-00009F0E0000}"/>
    <cellStyle name="60% - Accent5 2 2 2" xfId="970" xr:uid="{00000000-0005-0000-0000-0000A00E0000}"/>
    <cellStyle name="60% - Accent5 2 2 2 2" xfId="971" xr:uid="{00000000-0005-0000-0000-0000A10E0000}"/>
    <cellStyle name="60% - Accent5 2 2 2 3" xfId="972" xr:uid="{00000000-0005-0000-0000-0000A20E0000}"/>
    <cellStyle name="60% - Accent5 2 2 2 4" xfId="973" xr:uid="{00000000-0005-0000-0000-0000A30E0000}"/>
    <cellStyle name="60% - Accent5 2 2 2 5" xfId="974" xr:uid="{00000000-0005-0000-0000-0000A40E0000}"/>
    <cellStyle name="60% - Accent5 2 2 3" xfId="975" xr:uid="{00000000-0005-0000-0000-0000A50E0000}"/>
    <cellStyle name="60% - Accent5 2 2 4" xfId="976" xr:uid="{00000000-0005-0000-0000-0000A60E0000}"/>
    <cellStyle name="60% - Accent5 2 2 5" xfId="977" xr:uid="{00000000-0005-0000-0000-0000A70E0000}"/>
    <cellStyle name="60% - Accent5 2 3" xfId="978" xr:uid="{00000000-0005-0000-0000-0000A80E0000}"/>
    <cellStyle name="60% - Accent5 2 4" xfId="979" xr:uid="{00000000-0005-0000-0000-0000A90E0000}"/>
    <cellStyle name="60% - Accent5 2 5" xfId="980" xr:uid="{00000000-0005-0000-0000-0000AA0E0000}"/>
    <cellStyle name="60% - Accent5 2 6" xfId="981" xr:uid="{00000000-0005-0000-0000-0000AB0E0000}"/>
    <cellStyle name="60% - Accent5 2 7" xfId="982" xr:uid="{00000000-0005-0000-0000-0000AC0E0000}"/>
    <cellStyle name="60% - Accent5 2 8" xfId="983" xr:uid="{00000000-0005-0000-0000-0000AD0E0000}"/>
    <cellStyle name="60% - Accent5 2 9" xfId="984" xr:uid="{00000000-0005-0000-0000-0000AE0E0000}"/>
    <cellStyle name="60% - Accent5 20" xfId="985" xr:uid="{00000000-0005-0000-0000-0000AF0E0000}"/>
    <cellStyle name="60% - Accent5 21" xfId="986" xr:uid="{00000000-0005-0000-0000-0000B00E0000}"/>
    <cellStyle name="60% - Accent5 22" xfId="987" xr:uid="{00000000-0005-0000-0000-0000B10E0000}"/>
    <cellStyle name="60% - Accent5 3" xfId="988" xr:uid="{00000000-0005-0000-0000-0000B20E0000}"/>
    <cellStyle name="60% - Accent5 3 2" xfId="4989" xr:uid="{00000000-0005-0000-0000-0000B30E0000}"/>
    <cellStyle name="60% - Accent5 4" xfId="989" xr:uid="{00000000-0005-0000-0000-0000B40E0000}"/>
    <cellStyle name="60% - Accent5 4 2" xfId="4990" xr:uid="{00000000-0005-0000-0000-0000B50E0000}"/>
    <cellStyle name="60% - Accent5 5" xfId="990" xr:uid="{00000000-0005-0000-0000-0000B60E0000}"/>
    <cellStyle name="60% - Accent5 6" xfId="991" xr:uid="{00000000-0005-0000-0000-0000B70E0000}"/>
    <cellStyle name="60% - Accent5 7" xfId="992" xr:uid="{00000000-0005-0000-0000-0000B80E0000}"/>
    <cellStyle name="60% - Accent5 8" xfId="993" xr:uid="{00000000-0005-0000-0000-0000B90E0000}"/>
    <cellStyle name="60% - Accent5 9" xfId="994" xr:uid="{00000000-0005-0000-0000-0000BA0E0000}"/>
    <cellStyle name="60% - Accent6 10" xfId="995" xr:uid="{00000000-0005-0000-0000-0000BB0E0000}"/>
    <cellStyle name="60% - Accent6 11" xfId="996" xr:uid="{00000000-0005-0000-0000-0000BC0E0000}"/>
    <cellStyle name="60% - Accent6 12" xfId="997" xr:uid="{00000000-0005-0000-0000-0000BD0E0000}"/>
    <cellStyle name="60% - Accent6 13" xfId="998" xr:uid="{00000000-0005-0000-0000-0000BE0E0000}"/>
    <cellStyle name="60% - Accent6 14" xfId="999" xr:uid="{00000000-0005-0000-0000-0000BF0E0000}"/>
    <cellStyle name="60% - Accent6 15" xfId="1000" xr:uid="{00000000-0005-0000-0000-0000C00E0000}"/>
    <cellStyle name="60% - Accent6 16" xfId="1001" xr:uid="{00000000-0005-0000-0000-0000C10E0000}"/>
    <cellStyle name="60% - Accent6 17" xfId="1002" xr:uid="{00000000-0005-0000-0000-0000C20E0000}"/>
    <cellStyle name="60% - Accent6 17 2" xfId="4991" xr:uid="{00000000-0005-0000-0000-0000C30E0000}"/>
    <cellStyle name="60% - Accent6 18" xfId="1003" xr:uid="{00000000-0005-0000-0000-0000C40E0000}"/>
    <cellStyle name="60% - Accent6 19" xfId="1004" xr:uid="{00000000-0005-0000-0000-0000C50E0000}"/>
    <cellStyle name="60% - Accent6 2" xfId="1005" xr:uid="{00000000-0005-0000-0000-0000C60E0000}"/>
    <cellStyle name="60% - Accent6 2 2" xfId="1006" xr:uid="{00000000-0005-0000-0000-0000C70E0000}"/>
    <cellStyle name="60% - Accent6 2 2 2" xfId="1007" xr:uid="{00000000-0005-0000-0000-0000C80E0000}"/>
    <cellStyle name="60% - Accent6 2 2 2 2" xfId="1008" xr:uid="{00000000-0005-0000-0000-0000C90E0000}"/>
    <cellStyle name="60% - Accent6 2 2 2 3" xfId="1009" xr:uid="{00000000-0005-0000-0000-0000CA0E0000}"/>
    <cellStyle name="60% - Accent6 2 2 2 4" xfId="1010" xr:uid="{00000000-0005-0000-0000-0000CB0E0000}"/>
    <cellStyle name="60% - Accent6 2 2 2 5" xfId="1011" xr:uid="{00000000-0005-0000-0000-0000CC0E0000}"/>
    <cellStyle name="60% - Accent6 2 2 3" xfId="1012" xr:uid="{00000000-0005-0000-0000-0000CD0E0000}"/>
    <cellStyle name="60% - Accent6 2 2 4" xfId="1013" xr:uid="{00000000-0005-0000-0000-0000CE0E0000}"/>
    <cellStyle name="60% - Accent6 2 2 5" xfId="1014" xr:uid="{00000000-0005-0000-0000-0000CF0E0000}"/>
    <cellStyle name="60% - Accent6 2 3" xfId="1015" xr:uid="{00000000-0005-0000-0000-0000D00E0000}"/>
    <cellStyle name="60% - Accent6 2 4" xfId="1016" xr:uid="{00000000-0005-0000-0000-0000D10E0000}"/>
    <cellStyle name="60% - Accent6 2 5" xfId="1017" xr:uid="{00000000-0005-0000-0000-0000D20E0000}"/>
    <cellStyle name="60% - Accent6 2 6" xfId="1018" xr:uid="{00000000-0005-0000-0000-0000D30E0000}"/>
    <cellStyle name="60% - Accent6 2 7" xfId="1019" xr:uid="{00000000-0005-0000-0000-0000D40E0000}"/>
    <cellStyle name="60% - Accent6 2 8" xfId="1020" xr:uid="{00000000-0005-0000-0000-0000D50E0000}"/>
    <cellStyle name="60% - Accent6 2 9" xfId="1021" xr:uid="{00000000-0005-0000-0000-0000D60E0000}"/>
    <cellStyle name="60% - Accent6 20" xfId="1022" xr:uid="{00000000-0005-0000-0000-0000D70E0000}"/>
    <cellStyle name="60% - Accent6 21" xfId="1023" xr:uid="{00000000-0005-0000-0000-0000D80E0000}"/>
    <cellStyle name="60% - Accent6 22" xfId="1024" xr:uid="{00000000-0005-0000-0000-0000D90E0000}"/>
    <cellStyle name="60% - Accent6 3" xfId="1025" xr:uid="{00000000-0005-0000-0000-0000DA0E0000}"/>
    <cellStyle name="60% - Accent6 3 2" xfId="4992" xr:uid="{00000000-0005-0000-0000-0000DB0E0000}"/>
    <cellStyle name="60% - Accent6 4" xfId="1026" xr:uid="{00000000-0005-0000-0000-0000DC0E0000}"/>
    <cellStyle name="60% - Accent6 4 2" xfId="4993" xr:uid="{00000000-0005-0000-0000-0000DD0E0000}"/>
    <cellStyle name="60% - Accent6 5" xfId="1027" xr:uid="{00000000-0005-0000-0000-0000DE0E0000}"/>
    <cellStyle name="60% - Accent6 6" xfId="1028" xr:uid="{00000000-0005-0000-0000-0000DF0E0000}"/>
    <cellStyle name="60% - Accent6 7" xfId="1029" xr:uid="{00000000-0005-0000-0000-0000E00E0000}"/>
    <cellStyle name="60% - Accent6 8" xfId="1030" xr:uid="{00000000-0005-0000-0000-0000E10E0000}"/>
    <cellStyle name="60% - Accent6 9" xfId="1031" xr:uid="{00000000-0005-0000-0000-0000E20E0000}"/>
    <cellStyle name="ac" xfId="4994" xr:uid="{00000000-0005-0000-0000-0000E30E0000}"/>
    <cellStyle name="Accent1" xfId="15176" builtinId="29" customBuiltin="1"/>
    <cellStyle name="Accent1 10" xfId="1032" xr:uid="{00000000-0005-0000-0000-0000E50E0000}"/>
    <cellStyle name="Accent1 11" xfId="1033" xr:uid="{00000000-0005-0000-0000-0000E60E0000}"/>
    <cellStyle name="Accent1 12" xfId="1034" xr:uid="{00000000-0005-0000-0000-0000E70E0000}"/>
    <cellStyle name="Accent1 13" xfId="1035" xr:uid="{00000000-0005-0000-0000-0000E80E0000}"/>
    <cellStyle name="Accent1 14" xfId="1036" xr:uid="{00000000-0005-0000-0000-0000E90E0000}"/>
    <cellStyle name="Accent1 15" xfId="1037" xr:uid="{00000000-0005-0000-0000-0000EA0E0000}"/>
    <cellStyle name="Accent1 16" xfId="1038" xr:uid="{00000000-0005-0000-0000-0000EB0E0000}"/>
    <cellStyle name="Accent1 17" xfId="1039" xr:uid="{00000000-0005-0000-0000-0000EC0E0000}"/>
    <cellStyle name="Accent1 17 2" xfId="4995" xr:uid="{00000000-0005-0000-0000-0000ED0E0000}"/>
    <cellStyle name="Accent1 18" xfId="1040" xr:uid="{00000000-0005-0000-0000-0000EE0E0000}"/>
    <cellStyle name="Accent1 19" xfId="1041" xr:uid="{00000000-0005-0000-0000-0000EF0E0000}"/>
    <cellStyle name="Accent1 2" xfId="1042" xr:uid="{00000000-0005-0000-0000-0000F00E0000}"/>
    <cellStyle name="Accent1 2 2" xfId="1043" xr:uid="{00000000-0005-0000-0000-0000F10E0000}"/>
    <cellStyle name="Accent1 2 2 2" xfId="1044" xr:uid="{00000000-0005-0000-0000-0000F20E0000}"/>
    <cellStyle name="Accent1 2 2 2 2" xfId="1045" xr:uid="{00000000-0005-0000-0000-0000F30E0000}"/>
    <cellStyle name="Accent1 2 2 2 3" xfId="1046" xr:uid="{00000000-0005-0000-0000-0000F40E0000}"/>
    <cellStyle name="Accent1 2 2 2 4" xfId="1047" xr:uid="{00000000-0005-0000-0000-0000F50E0000}"/>
    <cellStyle name="Accent1 2 2 2 5" xfId="1048" xr:uid="{00000000-0005-0000-0000-0000F60E0000}"/>
    <cellStyle name="Accent1 2 2 3" xfId="1049" xr:uid="{00000000-0005-0000-0000-0000F70E0000}"/>
    <cellStyle name="Accent1 2 2 4" xfId="1050" xr:uid="{00000000-0005-0000-0000-0000F80E0000}"/>
    <cellStyle name="Accent1 2 2 5" xfId="1051" xr:uid="{00000000-0005-0000-0000-0000F90E0000}"/>
    <cellStyle name="Accent1 2 3" xfId="1052" xr:uid="{00000000-0005-0000-0000-0000FA0E0000}"/>
    <cellStyle name="Accent1 2 4" xfId="1053" xr:uid="{00000000-0005-0000-0000-0000FB0E0000}"/>
    <cellStyle name="Accent1 2 5" xfId="1054" xr:uid="{00000000-0005-0000-0000-0000FC0E0000}"/>
    <cellStyle name="Accent1 2 6" xfId="1055" xr:uid="{00000000-0005-0000-0000-0000FD0E0000}"/>
    <cellStyle name="Accent1 2 7" xfId="1056" xr:uid="{00000000-0005-0000-0000-0000FE0E0000}"/>
    <cellStyle name="Accent1 2 8" xfId="1057" xr:uid="{00000000-0005-0000-0000-0000FF0E0000}"/>
    <cellStyle name="Accent1 2 9" xfId="1058" xr:uid="{00000000-0005-0000-0000-0000000F0000}"/>
    <cellStyle name="Accent1 20" xfId="1059" xr:uid="{00000000-0005-0000-0000-0000010F0000}"/>
    <cellStyle name="Accent1 21" xfId="1060" xr:uid="{00000000-0005-0000-0000-0000020F0000}"/>
    <cellStyle name="Accent1 22" xfId="1061" xr:uid="{00000000-0005-0000-0000-0000030F0000}"/>
    <cellStyle name="Accent1 3" xfId="1062" xr:uid="{00000000-0005-0000-0000-0000040F0000}"/>
    <cellStyle name="Accent1 3 2" xfId="4996" xr:uid="{00000000-0005-0000-0000-0000050F0000}"/>
    <cellStyle name="Accent1 4" xfId="1063" xr:uid="{00000000-0005-0000-0000-0000060F0000}"/>
    <cellStyle name="Accent1 4 2" xfId="4997" xr:uid="{00000000-0005-0000-0000-0000070F0000}"/>
    <cellStyle name="Accent1 5" xfId="1064" xr:uid="{00000000-0005-0000-0000-0000080F0000}"/>
    <cellStyle name="Accent1 6" xfId="1065" xr:uid="{00000000-0005-0000-0000-0000090F0000}"/>
    <cellStyle name="Accent1 7" xfId="1066" xr:uid="{00000000-0005-0000-0000-00000A0F0000}"/>
    <cellStyle name="Accent1 8" xfId="1067" xr:uid="{00000000-0005-0000-0000-00000B0F0000}"/>
    <cellStyle name="Accent1 9" xfId="1068" xr:uid="{00000000-0005-0000-0000-00000C0F0000}"/>
    <cellStyle name="Accent2" xfId="15179" builtinId="33" customBuiltin="1"/>
    <cellStyle name="Accent2 10" xfId="1069" xr:uid="{00000000-0005-0000-0000-00000E0F0000}"/>
    <cellStyle name="Accent2 11" xfId="1070" xr:uid="{00000000-0005-0000-0000-00000F0F0000}"/>
    <cellStyle name="Accent2 12" xfId="1071" xr:uid="{00000000-0005-0000-0000-0000100F0000}"/>
    <cellStyle name="Accent2 13" xfId="1072" xr:uid="{00000000-0005-0000-0000-0000110F0000}"/>
    <cellStyle name="Accent2 14" xfId="1073" xr:uid="{00000000-0005-0000-0000-0000120F0000}"/>
    <cellStyle name="Accent2 15" xfId="1074" xr:uid="{00000000-0005-0000-0000-0000130F0000}"/>
    <cellStyle name="Accent2 16" xfId="1075" xr:uid="{00000000-0005-0000-0000-0000140F0000}"/>
    <cellStyle name="Accent2 17" xfId="1076" xr:uid="{00000000-0005-0000-0000-0000150F0000}"/>
    <cellStyle name="Accent2 17 2" xfId="4998" xr:uid="{00000000-0005-0000-0000-0000160F0000}"/>
    <cellStyle name="Accent2 18" xfId="1077" xr:uid="{00000000-0005-0000-0000-0000170F0000}"/>
    <cellStyle name="Accent2 19" xfId="1078" xr:uid="{00000000-0005-0000-0000-0000180F0000}"/>
    <cellStyle name="Accent2 2" xfId="1079" xr:uid="{00000000-0005-0000-0000-0000190F0000}"/>
    <cellStyle name="Accent2 2 2" xfId="1080" xr:uid="{00000000-0005-0000-0000-00001A0F0000}"/>
    <cellStyle name="Accent2 2 2 2" xfId="1081" xr:uid="{00000000-0005-0000-0000-00001B0F0000}"/>
    <cellStyle name="Accent2 2 2 2 2" xfId="1082" xr:uid="{00000000-0005-0000-0000-00001C0F0000}"/>
    <cellStyle name="Accent2 2 2 2 3" xfId="1083" xr:uid="{00000000-0005-0000-0000-00001D0F0000}"/>
    <cellStyle name="Accent2 2 2 2 4" xfId="1084" xr:uid="{00000000-0005-0000-0000-00001E0F0000}"/>
    <cellStyle name="Accent2 2 2 2 5" xfId="1085" xr:uid="{00000000-0005-0000-0000-00001F0F0000}"/>
    <cellStyle name="Accent2 2 2 3" xfId="1086" xr:uid="{00000000-0005-0000-0000-0000200F0000}"/>
    <cellStyle name="Accent2 2 2 4" xfId="1087" xr:uid="{00000000-0005-0000-0000-0000210F0000}"/>
    <cellStyle name="Accent2 2 2 5" xfId="1088" xr:uid="{00000000-0005-0000-0000-0000220F0000}"/>
    <cellStyle name="Accent2 2 3" xfId="1089" xr:uid="{00000000-0005-0000-0000-0000230F0000}"/>
    <cellStyle name="Accent2 2 4" xfId="1090" xr:uid="{00000000-0005-0000-0000-0000240F0000}"/>
    <cellStyle name="Accent2 2 5" xfId="1091" xr:uid="{00000000-0005-0000-0000-0000250F0000}"/>
    <cellStyle name="Accent2 2 6" xfId="1092" xr:uid="{00000000-0005-0000-0000-0000260F0000}"/>
    <cellStyle name="Accent2 2 7" xfId="1093" xr:uid="{00000000-0005-0000-0000-0000270F0000}"/>
    <cellStyle name="Accent2 2 8" xfId="1094" xr:uid="{00000000-0005-0000-0000-0000280F0000}"/>
    <cellStyle name="Accent2 2 9" xfId="1095" xr:uid="{00000000-0005-0000-0000-0000290F0000}"/>
    <cellStyle name="Accent2 20" xfId="1096" xr:uid="{00000000-0005-0000-0000-00002A0F0000}"/>
    <cellStyle name="Accent2 21" xfId="1097" xr:uid="{00000000-0005-0000-0000-00002B0F0000}"/>
    <cellStyle name="Accent2 22" xfId="1098" xr:uid="{00000000-0005-0000-0000-00002C0F0000}"/>
    <cellStyle name="Accent2 3" xfId="1099" xr:uid="{00000000-0005-0000-0000-00002D0F0000}"/>
    <cellStyle name="Accent2 3 2" xfId="4999" xr:uid="{00000000-0005-0000-0000-00002E0F0000}"/>
    <cellStyle name="Accent2 4" xfId="1100" xr:uid="{00000000-0005-0000-0000-00002F0F0000}"/>
    <cellStyle name="Accent2 4 2" xfId="5000" xr:uid="{00000000-0005-0000-0000-0000300F0000}"/>
    <cellStyle name="Accent2 5" xfId="1101" xr:uid="{00000000-0005-0000-0000-0000310F0000}"/>
    <cellStyle name="Accent2 6" xfId="1102" xr:uid="{00000000-0005-0000-0000-0000320F0000}"/>
    <cellStyle name="Accent2 7" xfId="1103" xr:uid="{00000000-0005-0000-0000-0000330F0000}"/>
    <cellStyle name="Accent2 8" xfId="1104" xr:uid="{00000000-0005-0000-0000-0000340F0000}"/>
    <cellStyle name="Accent2 9" xfId="1105" xr:uid="{00000000-0005-0000-0000-0000350F0000}"/>
    <cellStyle name="Accent3" xfId="15182" builtinId="37" customBuiltin="1"/>
    <cellStyle name="Accent3 10" xfId="1106" xr:uid="{00000000-0005-0000-0000-0000370F0000}"/>
    <cellStyle name="Accent3 11" xfId="1107" xr:uid="{00000000-0005-0000-0000-0000380F0000}"/>
    <cellStyle name="Accent3 12" xfId="1108" xr:uid="{00000000-0005-0000-0000-0000390F0000}"/>
    <cellStyle name="Accent3 13" xfId="1109" xr:uid="{00000000-0005-0000-0000-00003A0F0000}"/>
    <cellStyle name="Accent3 14" xfId="1110" xr:uid="{00000000-0005-0000-0000-00003B0F0000}"/>
    <cellStyle name="Accent3 15" xfId="1111" xr:uid="{00000000-0005-0000-0000-00003C0F0000}"/>
    <cellStyle name="Accent3 16" xfId="1112" xr:uid="{00000000-0005-0000-0000-00003D0F0000}"/>
    <cellStyle name="Accent3 17" xfId="1113" xr:uid="{00000000-0005-0000-0000-00003E0F0000}"/>
    <cellStyle name="Accent3 17 2" xfId="5001" xr:uid="{00000000-0005-0000-0000-00003F0F0000}"/>
    <cellStyle name="Accent3 18" xfId="1114" xr:uid="{00000000-0005-0000-0000-0000400F0000}"/>
    <cellStyle name="Accent3 19" xfId="1115" xr:uid="{00000000-0005-0000-0000-0000410F0000}"/>
    <cellStyle name="Accent3 2" xfId="1116" xr:uid="{00000000-0005-0000-0000-0000420F0000}"/>
    <cellStyle name="Accent3 2 2" xfId="1117" xr:uid="{00000000-0005-0000-0000-0000430F0000}"/>
    <cellStyle name="Accent3 2 2 2" xfId="1118" xr:uid="{00000000-0005-0000-0000-0000440F0000}"/>
    <cellStyle name="Accent3 2 2 2 2" xfId="1119" xr:uid="{00000000-0005-0000-0000-0000450F0000}"/>
    <cellStyle name="Accent3 2 2 2 3" xfId="1120" xr:uid="{00000000-0005-0000-0000-0000460F0000}"/>
    <cellStyle name="Accent3 2 2 2 4" xfId="1121" xr:uid="{00000000-0005-0000-0000-0000470F0000}"/>
    <cellStyle name="Accent3 2 2 2 5" xfId="1122" xr:uid="{00000000-0005-0000-0000-0000480F0000}"/>
    <cellStyle name="Accent3 2 2 3" xfId="1123" xr:uid="{00000000-0005-0000-0000-0000490F0000}"/>
    <cellStyle name="Accent3 2 2 4" xfId="1124" xr:uid="{00000000-0005-0000-0000-00004A0F0000}"/>
    <cellStyle name="Accent3 2 2 5" xfId="1125" xr:uid="{00000000-0005-0000-0000-00004B0F0000}"/>
    <cellStyle name="Accent3 2 3" xfId="1126" xr:uid="{00000000-0005-0000-0000-00004C0F0000}"/>
    <cellStyle name="Accent3 2 4" xfId="1127" xr:uid="{00000000-0005-0000-0000-00004D0F0000}"/>
    <cellStyle name="Accent3 2 5" xfId="1128" xr:uid="{00000000-0005-0000-0000-00004E0F0000}"/>
    <cellStyle name="Accent3 2 6" xfId="1129" xr:uid="{00000000-0005-0000-0000-00004F0F0000}"/>
    <cellStyle name="Accent3 2 7" xfId="1130" xr:uid="{00000000-0005-0000-0000-0000500F0000}"/>
    <cellStyle name="Accent3 2 8" xfId="1131" xr:uid="{00000000-0005-0000-0000-0000510F0000}"/>
    <cellStyle name="Accent3 2 9" xfId="1132" xr:uid="{00000000-0005-0000-0000-0000520F0000}"/>
    <cellStyle name="Accent3 20" xfId="1133" xr:uid="{00000000-0005-0000-0000-0000530F0000}"/>
    <cellStyle name="Accent3 21" xfId="1134" xr:uid="{00000000-0005-0000-0000-0000540F0000}"/>
    <cellStyle name="Accent3 22" xfId="1135" xr:uid="{00000000-0005-0000-0000-0000550F0000}"/>
    <cellStyle name="Accent3 3" xfId="1136" xr:uid="{00000000-0005-0000-0000-0000560F0000}"/>
    <cellStyle name="Accent3 3 2" xfId="5002" xr:uid="{00000000-0005-0000-0000-0000570F0000}"/>
    <cellStyle name="Accent3 4" xfId="1137" xr:uid="{00000000-0005-0000-0000-0000580F0000}"/>
    <cellStyle name="Accent3 4 2" xfId="5003" xr:uid="{00000000-0005-0000-0000-0000590F0000}"/>
    <cellStyle name="Accent3 5" xfId="1138" xr:uid="{00000000-0005-0000-0000-00005A0F0000}"/>
    <cellStyle name="Accent3 6" xfId="1139" xr:uid="{00000000-0005-0000-0000-00005B0F0000}"/>
    <cellStyle name="Accent3 7" xfId="1140" xr:uid="{00000000-0005-0000-0000-00005C0F0000}"/>
    <cellStyle name="Accent3 8" xfId="1141" xr:uid="{00000000-0005-0000-0000-00005D0F0000}"/>
    <cellStyle name="Accent3 9" xfId="1142" xr:uid="{00000000-0005-0000-0000-00005E0F0000}"/>
    <cellStyle name="Accent4" xfId="15185" builtinId="41" customBuiltin="1"/>
    <cellStyle name="Accent4 10" xfId="1143" xr:uid="{00000000-0005-0000-0000-0000600F0000}"/>
    <cellStyle name="Accent4 11" xfId="1144" xr:uid="{00000000-0005-0000-0000-0000610F0000}"/>
    <cellStyle name="Accent4 12" xfId="1145" xr:uid="{00000000-0005-0000-0000-0000620F0000}"/>
    <cellStyle name="Accent4 13" xfId="1146" xr:uid="{00000000-0005-0000-0000-0000630F0000}"/>
    <cellStyle name="Accent4 14" xfId="1147" xr:uid="{00000000-0005-0000-0000-0000640F0000}"/>
    <cellStyle name="Accent4 15" xfId="1148" xr:uid="{00000000-0005-0000-0000-0000650F0000}"/>
    <cellStyle name="Accent4 16" xfId="1149" xr:uid="{00000000-0005-0000-0000-0000660F0000}"/>
    <cellStyle name="Accent4 17" xfId="1150" xr:uid="{00000000-0005-0000-0000-0000670F0000}"/>
    <cellStyle name="Accent4 17 2" xfId="5004" xr:uid="{00000000-0005-0000-0000-0000680F0000}"/>
    <cellStyle name="Accent4 18" xfId="1151" xr:uid="{00000000-0005-0000-0000-0000690F0000}"/>
    <cellStyle name="Accent4 19" xfId="1152" xr:uid="{00000000-0005-0000-0000-00006A0F0000}"/>
    <cellStyle name="Accent4 2" xfId="1153" xr:uid="{00000000-0005-0000-0000-00006B0F0000}"/>
    <cellStyle name="Accent4 2 2" xfId="1154" xr:uid="{00000000-0005-0000-0000-00006C0F0000}"/>
    <cellStyle name="Accent4 2 2 2" xfId="1155" xr:uid="{00000000-0005-0000-0000-00006D0F0000}"/>
    <cellStyle name="Accent4 2 2 2 2" xfId="1156" xr:uid="{00000000-0005-0000-0000-00006E0F0000}"/>
    <cellStyle name="Accent4 2 2 2 3" xfId="1157" xr:uid="{00000000-0005-0000-0000-00006F0F0000}"/>
    <cellStyle name="Accent4 2 2 2 4" xfId="1158" xr:uid="{00000000-0005-0000-0000-0000700F0000}"/>
    <cellStyle name="Accent4 2 2 2 5" xfId="1159" xr:uid="{00000000-0005-0000-0000-0000710F0000}"/>
    <cellStyle name="Accent4 2 2 3" xfId="1160" xr:uid="{00000000-0005-0000-0000-0000720F0000}"/>
    <cellStyle name="Accent4 2 2 4" xfId="1161" xr:uid="{00000000-0005-0000-0000-0000730F0000}"/>
    <cellStyle name="Accent4 2 2 5" xfId="1162" xr:uid="{00000000-0005-0000-0000-0000740F0000}"/>
    <cellStyle name="Accent4 2 3" xfId="1163" xr:uid="{00000000-0005-0000-0000-0000750F0000}"/>
    <cellStyle name="Accent4 2 4" xfId="1164" xr:uid="{00000000-0005-0000-0000-0000760F0000}"/>
    <cellStyle name="Accent4 2 5" xfId="1165" xr:uid="{00000000-0005-0000-0000-0000770F0000}"/>
    <cellStyle name="Accent4 2 6" xfId="1166" xr:uid="{00000000-0005-0000-0000-0000780F0000}"/>
    <cellStyle name="Accent4 2 7" xfId="1167" xr:uid="{00000000-0005-0000-0000-0000790F0000}"/>
    <cellStyle name="Accent4 2 8" xfId="1168" xr:uid="{00000000-0005-0000-0000-00007A0F0000}"/>
    <cellStyle name="Accent4 2 9" xfId="1169" xr:uid="{00000000-0005-0000-0000-00007B0F0000}"/>
    <cellStyle name="Accent4 20" xfId="1170" xr:uid="{00000000-0005-0000-0000-00007C0F0000}"/>
    <cellStyle name="Accent4 21" xfId="1171" xr:uid="{00000000-0005-0000-0000-00007D0F0000}"/>
    <cellStyle name="Accent4 22" xfId="1172" xr:uid="{00000000-0005-0000-0000-00007E0F0000}"/>
    <cellStyle name="Accent4 3" xfId="1173" xr:uid="{00000000-0005-0000-0000-00007F0F0000}"/>
    <cellStyle name="Accent4 3 2" xfId="5005" xr:uid="{00000000-0005-0000-0000-0000800F0000}"/>
    <cellStyle name="Accent4 4" xfId="1174" xr:uid="{00000000-0005-0000-0000-0000810F0000}"/>
    <cellStyle name="Accent4 4 2" xfId="5006" xr:uid="{00000000-0005-0000-0000-0000820F0000}"/>
    <cellStyle name="Accent4 5" xfId="1175" xr:uid="{00000000-0005-0000-0000-0000830F0000}"/>
    <cellStyle name="Accent4 6" xfId="1176" xr:uid="{00000000-0005-0000-0000-0000840F0000}"/>
    <cellStyle name="Accent4 7" xfId="1177" xr:uid="{00000000-0005-0000-0000-0000850F0000}"/>
    <cellStyle name="Accent4 8" xfId="1178" xr:uid="{00000000-0005-0000-0000-0000860F0000}"/>
    <cellStyle name="Accent4 9" xfId="1179" xr:uid="{00000000-0005-0000-0000-0000870F0000}"/>
    <cellStyle name="Accent5" xfId="15188" builtinId="45" customBuiltin="1"/>
    <cellStyle name="Accent5 10" xfId="1180" xr:uid="{00000000-0005-0000-0000-0000890F0000}"/>
    <cellStyle name="Accent5 11" xfId="1181" xr:uid="{00000000-0005-0000-0000-00008A0F0000}"/>
    <cellStyle name="Accent5 12" xfId="1182" xr:uid="{00000000-0005-0000-0000-00008B0F0000}"/>
    <cellStyle name="Accent5 13" xfId="1183" xr:uid="{00000000-0005-0000-0000-00008C0F0000}"/>
    <cellStyle name="Accent5 14" xfId="1184" xr:uid="{00000000-0005-0000-0000-00008D0F0000}"/>
    <cellStyle name="Accent5 15" xfId="1185" xr:uid="{00000000-0005-0000-0000-00008E0F0000}"/>
    <cellStyle name="Accent5 16" xfId="1186" xr:uid="{00000000-0005-0000-0000-00008F0F0000}"/>
    <cellStyle name="Accent5 17" xfId="1187" xr:uid="{00000000-0005-0000-0000-0000900F0000}"/>
    <cellStyle name="Accent5 18" xfId="1188" xr:uid="{00000000-0005-0000-0000-0000910F0000}"/>
    <cellStyle name="Accent5 19" xfId="1189" xr:uid="{00000000-0005-0000-0000-0000920F0000}"/>
    <cellStyle name="Accent5 2" xfId="1190" xr:uid="{00000000-0005-0000-0000-0000930F0000}"/>
    <cellStyle name="Accent5 2 2" xfId="1191" xr:uid="{00000000-0005-0000-0000-0000940F0000}"/>
    <cellStyle name="Accent5 2 2 2" xfId="1192" xr:uid="{00000000-0005-0000-0000-0000950F0000}"/>
    <cellStyle name="Accent5 2 2 2 2" xfId="1193" xr:uid="{00000000-0005-0000-0000-0000960F0000}"/>
    <cellStyle name="Accent5 2 2 2 3" xfId="1194" xr:uid="{00000000-0005-0000-0000-0000970F0000}"/>
    <cellStyle name="Accent5 2 2 2 4" xfId="1195" xr:uid="{00000000-0005-0000-0000-0000980F0000}"/>
    <cellStyle name="Accent5 2 2 2 5" xfId="1196" xr:uid="{00000000-0005-0000-0000-0000990F0000}"/>
    <cellStyle name="Accent5 2 2 3" xfId="1197" xr:uid="{00000000-0005-0000-0000-00009A0F0000}"/>
    <cellStyle name="Accent5 2 2 4" xfId="1198" xr:uid="{00000000-0005-0000-0000-00009B0F0000}"/>
    <cellStyle name="Accent5 2 2 5" xfId="1199" xr:uid="{00000000-0005-0000-0000-00009C0F0000}"/>
    <cellStyle name="Accent5 2 3" xfId="1200" xr:uid="{00000000-0005-0000-0000-00009D0F0000}"/>
    <cellStyle name="Accent5 2 4" xfId="1201" xr:uid="{00000000-0005-0000-0000-00009E0F0000}"/>
    <cellStyle name="Accent5 2 5" xfId="1202" xr:uid="{00000000-0005-0000-0000-00009F0F0000}"/>
    <cellStyle name="Accent5 2 6" xfId="1203" xr:uid="{00000000-0005-0000-0000-0000A00F0000}"/>
    <cellStyle name="Accent5 2 7" xfId="1204" xr:uid="{00000000-0005-0000-0000-0000A10F0000}"/>
    <cellStyle name="Accent5 2 8" xfId="1205" xr:uid="{00000000-0005-0000-0000-0000A20F0000}"/>
    <cellStyle name="Accent5 2 9" xfId="1206" xr:uid="{00000000-0005-0000-0000-0000A30F0000}"/>
    <cellStyle name="Accent5 20" xfId="1207" xr:uid="{00000000-0005-0000-0000-0000A40F0000}"/>
    <cellStyle name="Accent5 21" xfId="1208" xr:uid="{00000000-0005-0000-0000-0000A50F0000}"/>
    <cellStyle name="Accent5 22" xfId="1209" xr:uid="{00000000-0005-0000-0000-0000A60F0000}"/>
    <cellStyle name="Accent5 3" xfId="1210" xr:uid="{00000000-0005-0000-0000-0000A70F0000}"/>
    <cellStyle name="Accent5 3 2" xfId="5007" xr:uid="{00000000-0005-0000-0000-0000A80F0000}"/>
    <cellStyle name="Accent5 4" xfId="1211" xr:uid="{00000000-0005-0000-0000-0000A90F0000}"/>
    <cellStyle name="Accent5 4 2" xfId="5008" xr:uid="{00000000-0005-0000-0000-0000AA0F0000}"/>
    <cellStyle name="Accent5 5" xfId="1212" xr:uid="{00000000-0005-0000-0000-0000AB0F0000}"/>
    <cellStyle name="Accent5 6" xfId="1213" xr:uid="{00000000-0005-0000-0000-0000AC0F0000}"/>
    <cellStyle name="Accent5 7" xfId="1214" xr:uid="{00000000-0005-0000-0000-0000AD0F0000}"/>
    <cellStyle name="Accent5 8" xfId="1215" xr:uid="{00000000-0005-0000-0000-0000AE0F0000}"/>
    <cellStyle name="Accent5 9" xfId="1216" xr:uid="{00000000-0005-0000-0000-0000AF0F0000}"/>
    <cellStyle name="Accent6" xfId="15191" builtinId="49" customBuiltin="1"/>
    <cellStyle name="Accent6 10" xfId="1217" xr:uid="{00000000-0005-0000-0000-0000B10F0000}"/>
    <cellStyle name="Accent6 11" xfId="1218" xr:uid="{00000000-0005-0000-0000-0000B20F0000}"/>
    <cellStyle name="Accent6 12" xfId="1219" xr:uid="{00000000-0005-0000-0000-0000B30F0000}"/>
    <cellStyle name="Accent6 13" xfId="1220" xr:uid="{00000000-0005-0000-0000-0000B40F0000}"/>
    <cellStyle name="Accent6 14" xfId="1221" xr:uid="{00000000-0005-0000-0000-0000B50F0000}"/>
    <cellStyle name="Accent6 15" xfId="1222" xr:uid="{00000000-0005-0000-0000-0000B60F0000}"/>
    <cellStyle name="Accent6 16" xfId="1223" xr:uid="{00000000-0005-0000-0000-0000B70F0000}"/>
    <cellStyle name="Accent6 17" xfId="1224" xr:uid="{00000000-0005-0000-0000-0000B80F0000}"/>
    <cellStyle name="Accent6 17 2" xfId="5009" xr:uid="{00000000-0005-0000-0000-0000B90F0000}"/>
    <cellStyle name="Accent6 18" xfId="1225" xr:uid="{00000000-0005-0000-0000-0000BA0F0000}"/>
    <cellStyle name="Accent6 19" xfId="1226" xr:uid="{00000000-0005-0000-0000-0000BB0F0000}"/>
    <cellStyle name="Accent6 2" xfId="1227" xr:uid="{00000000-0005-0000-0000-0000BC0F0000}"/>
    <cellStyle name="Accent6 2 2" xfId="1228" xr:uid="{00000000-0005-0000-0000-0000BD0F0000}"/>
    <cellStyle name="Accent6 2 2 2" xfId="1229" xr:uid="{00000000-0005-0000-0000-0000BE0F0000}"/>
    <cellStyle name="Accent6 2 2 2 2" xfId="1230" xr:uid="{00000000-0005-0000-0000-0000BF0F0000}"/>
    <cellStyle name="Accent6 2 2 2 3" xfId="1231" xr:uid="{00000000-0005-0000-0000-0000C00F0000}"/>
    <cellStyle name="Accent6 2 2 2 4" xfId="1232" xr:uid="{00000000-0005-0000-0000-0000C10F0000}"/>
    <cellStyle name="Accent6 2 2 2 5" xfId="1233" xr:uid="{00000000-0005-0000-0000-0000C20F0000}"/>
    <cellStyle name="Accent6 2 2 3" xfId="1234" xr:uid="{00000000-0005-0000-0000-0000C30F0000}"/>
    <cellStyle name="Accent6 2 2 4" xfId="1235" xr:uid="{00000000-0005-0000-0000-0000C40F0000}"/>
    <cellStyle name="Accent6 2 2 5" xfId="1236" xr:uid="{00000000-0005-0000-0000-0000C50F0000}"/>
    <cellStyle name="Accent6 2 3" xfId="1237" xr:uid="{00000000-0005-0000-0000-0000C60F0000}"/>
    <cellStyle name="Accent6 2 4" xfId="1238" xr:uid="{00000000-0005-0000-0000-0000C70F0000}"/>
    <cellStyle name="Accent6 2 5" xfId="1239" xr:uid="{00000000-0005-0000-0000-0000C80F0000}"/>
    <cellStyle name="Accent6 2 6" xfId="1240" xr:uid="{00000000-0005-0000-0000-0000C90F0000}"/>
    <cellStyle name="Accent6 2 7" xfId="1241" xr:uid="{00000000-0005-0000-0000-0000CA0F0000}"/>
    <cellStyle name="Accent6 2 8" xfId="1242" xr:uid="{00000000-0005-0000-0000-0000CB0F0000}"/>
    <cellStyle name="Accent6 2 9" xfId="1243" xr:uid="{00000000-0005-0000-0000-0000CC0F0000}"/>
    <cellStyle name="Accent6 20" xfId="1244" xr:uid="{00000000-0005-0000-0000-0000CD0F0000}"/>
    <cellStyle name="Accent6 21" xfId="1245" xr:uid="{00000000-0005-0000-0000-0000CE0F0000}"/>
    <cellStyle name="Accent6 22" xfId="1246" xr:uid="{00000000-0005-0000-0000-0000CF0F0000}"/>
    <cellStyle name="Accent6 3" xfId="1247" xr:uid="{00000000-0005-0000-0000-0000D00F0000}"/>
    <cellStyle name="Accent6 3 2" xfId="5010" xr:uid="{00000000-0005-0000-0000-0000D10F0000}"/>
    <cellStyle name="Accent6 4" xfId="1248" xr:uid="{00000000-0005-0000-0000-0000D20F0000}"/>
    <cellStyle name="Accent6 4 2" xfId="5011" xr:uid="{00000000-0005-0000-0000-0000D30F0000}"/>
    <cellStyle name="Accent6 5" xfId="1249" xr:uid="{00000000-0005-0000-0000-0000D40F0000}"/>
    <cellStyle name="Accent6 6" xfId="1250" xr:uid="{00000000-0005-0000-0000-0000D50F0000}"/>
    <cellStyle name="Accent6 7" xfId="1251" xr:uid="{00000000-0005-0000-0000-0000D60F0000}"/>
    <cellStyle name="Accent6 8" xfId="1252" xr:uid="{00000000-0005-0000-0000-0000D70F0000}"/>
    <cellStyle name="Accent6 9" xfId="1253" xr:uid="{00000000-0005-0000-0000-0000D80F0000}"/>
    <cellStyle name="Bad" xfId="15168" builtinId="27" customBuiltin="1"/>
    <cellStyle name="Bad 10" xfId="1254" xr:uid="{00000000-0005-0000-0000-0000DA0F0000}"/>
    <cellStyle name="Bad 11" xfId="1255" xr:uid="{00000000-0005-0000-0000-0000DB0F0000}"/>
    <cellStyle name="Bad 12" xfId="1256" xr:uid="{00000000-0005-0000-0000-0000DC0F0000}"/>
    <cellStyle name="Bad 13" xfId="1257" xr:uid="{00000000-0005-0000-0000-0000DD0F0000}"/>
    <cellStyle name="Bad 14" xfId="1258" xr:uid="{00000000-0005-0000-0000-0000DE0F0000}"/>
    <cellStyle name="Bad 15" xfId="1259" xr:uid="{00000000-0005-0000-0000-0000DF0F0000}"/>
    <cellStyle name="Bad 16" xfId="1260" xr:uid="{00000000-0005-0000-0000-0000E00F0000}"/>
    <cellStyle name="Bad 17" xfId="1261" xr:uid="{00000000-0005-0000-0000-0000E10F0000}"/>
    <cellStyle name="Bad 17 2" xfId="5012" xr:uid="{00000000-0005-0000-0000-0000E20F0000}"/>
    <cellStyle name="Bad 18" xfId="1262" xr:uid="{00000000-0005-0000-0000-0000E30F0000}"/>
    <cellStyle name="Bad 19" xfId="1263" xr:uid="{00000000-0005-0000-0000-0000E40F0000}"/>
    <cellStyle name="Bad 2" xfId="1264" xr:uid="{00000000-0005-0000-0000-0000E50F0000}"/>
    <cellStyle name="Bad 2 2" xfId="1265" xr:uid="{00000000-0005-0000-0000-0000E60F0000}"/>
    <cellStyle name="Bad 2 2 2" xfId="1266" xr:uid="{00000000-0005-0000-0000-0000E70F0000}"/>
    <cellStyle name="Bad 2 2 2 2" xfId="1267" xr:uid="{00000000-0005-0000-0000-0000E80F0000}"/>
    <cellStyle name="Bad 2 2 2 3" xfId="1268" xr:uid="{00000000-0005-0000-0000-0000E90F0000}"/>
    <cellStyle name="Bad 2 2 2 4" xfId="1269" xr:uid="{00000000-0005-0000-0000-0000EA0F0000}"/>
    <cellStyle name="Bad 2 2 2 5" xfId="1270" xr:uid="{00000000-0005-0000-0000-0000EB0F0000}"/>
    <cellStyle name="Bad 2 2 3" xfId="1271" xr:uid="{00000000-0005-0000-0000-0000EC0F0000}"/>
    <cellStyle name="Bad 2 2 4" xfId="1272" xr:uid="{00000000-0005-0000-0000-0000ED0F0000}"/>
    <cellStyle name="Bad 2 2 5" xfId="1273" xr:uid="{00000000-0005-0000-0000-0000EE0F0000}"/>
    <cellStyle name="Bad 2 3" xfId="1274" xr:uid="{00000000-0005-0000-0000-0000EF0F0000}"/>
    <cellStyle name="Bad 2 4" xfId="1275" xr:uid="{00000000-0005-0000-0000-0000F00F0000}"/>
    <cellStyle name="Bad 2 5" xfId="1276" xr:uid="{00000000-0005-0000-0000-0000F10F0000}"/>
    <cellStyle name="Bad 2 6" xfId="1277" xr:uid="{00000000-0005-0000-0000-0000F20F0000}"/>
    <cellStyle name="Bad 2 7" xfId="1278" xr:uid="{00000000-0005-0000-0000-0000F30F0000}"/>
    <cellStyle name="Bad 2 8" xfId="1279" xr:uid="{00000000-0005-0000-0000-0000F40F0000}"/>
    <cellStyle name="Bad 2 9" xfId="1280" xr:uid="{00000000-0005-0000-0000-0000F50F0000}"/>
    <cellStyle name="Bad 20" xfId="1281" xr:uid="{00000000-0005-0000-0000-0000F60F0000}"/>
    <cellStyle name="Bad 21" xfId="1282" xr:uid="{00000000-0005-0000-0000-0000F70F0000}"/>
    <cellStyle name="Bad 22" xfId="1283" xr:uid="{00000000-0005-0000-0000-0000F80F0000}"/>
    <cellStyle name="Bad 3" xfId="1284" xr:uid="{00000000-0005-0000-0000-0000F90F0000}"/>
    <cellStyle name="Bad 3 2" xfId="5013" xr:uid="{00000000-0005-0000-0000-0000FA0F0000}"/>
    <cellStyle name="Bad 4" xfId="1285" xr:uid="{00000000-0005-0000-0000-0000FB0F0000}"/>
    <cellStyle name="Bad 5" xfId="1286" xr:uid="{00000000-0005-0000-0000-0000FC0F0000}"/>
    <cellStyle name="Bad 6" xfId="1287" xr:uid="{00000000-0005-0000-0000-0000FD0F0000}"/>
    <cellStyle name="Bad 7" xfId="1288" xr:uid="{00000000-0005-0000-0000-0000FE0F0000}"/>
    <cellStyle name="Bad 8" xfId="1289" xr:uid="{00000000-0005-0000-0000-0000FF0F0000}"/>
    <cellStyle name="Bad 9" xfId="1290" xr:uid="{00000000-0005-0000-0000-000000100000}"/>
    <cellStyle name="c" xfId="5014" xr:uid="{00000000-0005-0000-0000-000001100000}"/>
    <cellStyle name="Calculation" xfId="15171" builtinId="22" customBuiltin="1"/>
    <cellStyle name="Calculation 10" xfId="1291" xr:uid="{00000000-0005-0000-0000-000003100000}"/>
    <cellStyle name="Calculation 10 10" xfId="5015" xr:uid="{00000000-0005-0000-0000-000004100000}"/>
    <cellStyle name="Calculation 10 11" xfId="5016" xr:uid="{00000000-0005-0000-0000-000005100000}"/>
    <cellStyle name="Calculation 10 12" xfId="5017" xr:uid="{00000000-0005-0000-0000-000006100000}"/>
    <cellStyle name="Calculation 10 2" xfId="5018" xr:uid="{00000000-0005-0000-0000-000007100000}"/>
    <cellStyle name="Calculation 10 2 2" xfId="5019" xr:uid="{00000000-0005-0000-0000-000008100000}"/>
    <cellStyle name="Calculation 10 2 2 2" xfId="5020" xr:uid="{00000000-0005-0000-0000-000009100000}"/>
    <cellStyle name="Calculation 10 2 3" xfId="5021" xr:uid="{00000000-0005-0000-0000-00000A100000}"/>
    <cellStyle name="Calculation 10 2 3 2" xfId="5022" xr:uid="{00000000-0005-0000-0000-00000B100000}"/>
    <cellStyle name="Calculation 10 2 4" xfId="5023" xr:uid="{00000000-0005-0000-0000-00000C100000}"/>
    <cellStyle name="Calculation 10 2 4 2" xfId="5024" xr:uid="{00000000-0005-0000-0000-00000D100000}"/>
    <cellStyle name="Calculation 10 2 5" xfId="5025" xr:uid="{00000000-0005-0000-0000-00000E100000}"/>
    <cellStyle name="Calculation 10 2 5 2" xfId="5026" xr:uid="{00000000-0005-0000-0000-00000F100000}"/>
    <cellStyle name="Calculation 10 2 6" xfId="5027" xr:uid="{00000000-0005-0000-0000-000010100000}"/>
    <cellStyle name="Calculation 10 2 6 2" xfId="5028" xr:uid="{00000000-0005-0000-0000-000011100000}"/>
    <cellStyle name="Calculation 10 2 7" xfId="5029" xr:uid="{00000000-0005-0000-0000-000012100000}"/>
    <cellStyle name="Calculation 10 2 7 2" xfId="5030" xr:uid="{00000000-0005-0000-0000-000013100000}"/>
    <cellStyle name="Calculation 10 2 8" xfId="5031" xr:uid="{00000000-0005-0000-0000-000014100000}"/>
    <cellStyle name="Calculation 10 2 8 2" xfId="5032" xr:uid="{00000000-0005-0000-0000-000015100000}"/>
    <cellStyle name="Calculation 10 2 9" xfId="5033" xr:uid="{00000000-0005-0000-0000-000016100000}"/>
    <cellStyle name="Calculation 10 3" xfId="5034" xr:uid="{00000000-0005-0000-0000-000017100000}"/>
    <cellStyle name="Calculation 10 3 2" xfId="5035" xr:uid="{00000000-0005-0000-0000-000018100000}"/>
    <cellStyle name="Calculation 10 4" xfId="5036" xr:uid="{00000000-0005-0000-0000-000019100000}"/>
    <cellStyle name="Calculation 10 4 2" xfId="5037" xr:uid="{00000000-0005-0000-0000-00001A100000}"/>
    <cellStyle name="Calculation 10 5" xfId="5038" xr:uid="{00000000-0005-0000-0000-00001B100000}"/>
    <cellStyle name="Calculation 10 5 2" xfId="5039" xr:uid="{00000000-0005-0000-0000-00001C100000}"/>
    <cellStyle name="Calculation 10 6" xfId="5040" xr:uid="{00000000-0005-0000-0000-00001D100000}"/>
    <cellStyle name="Calculation 10 6 2" xfId="5041" xr:uid="{00000000-0005-0000-0000-00001E100000}"/>
    <cellStyle name="Calculation 10 7" xfId="5042" xr:uid="{00000000-0005-0000-0000-00001F100000}"/>
    <cellStyle name="Calculation 10 7 2" xfId="5043" xr:uid="{00000000-0005-0000-0000-000020100000}"/>
    <cellStyle name="Calculation 10 8" xfId="5044" xr:uid="{00000000-0005-0000-0000-000021100000}"/>
    <cellStyle name="Calculation 10 8 2" xfId="5045" xr:uid="{00000000-0005-0000-0000-000022100000}"/>
    <cellStyle name="Calculation 10 9" xfId="5046" xr:uid="{00000000-0005-0000-0000-000023100000}"/>
    <cellStyle name="Calculation 10 9 2" xfId="5047" xr:uid="{00000000-0005-0000-0000-000024100000}"/>
    <cellStyle name="Calculation 11" xfId="1292" xr:uid="{00000000-0005-0000-0000-000025100000}"/>
    <cellStyle name="Calculation 11 10" xfId="5048" xr:uid="{00000000-0005-0000-0000-000026100000}"/>
    <cellStyle name="Calculation 11 11" xfId="5049" xr:uid="{00000000-0005-0000-0000-000027100000}"/>
    <cellStyle name="Calculation 11 12" xfId="5050" xr:uid="{00000000-0005-0000-0000-000028100000}"/>
    <cellStyle name="Calculation 11 2" xfId="5051" xr:uid="{00000000-0005-0000-0000-000029100000}"/>
    <cellStyle name="Calculation 11 2 2" xfId="5052" xr:uid="{00000000-0005-0000-0000-00002A100000}"/>
    <cellStyle name="Calculation 11 2 2 2" xfId="5053" xr:uid="{00000000-0005-0000-0000-00002B100000}"/>
    <cellStyle name="Calculation 11 2 3" xfId="5054" xr:uid="{00000000-0005-0000-0000-00002C100000}"/>
    <cellStyle name="Calculation 11 2 3 2" xfId="5055" xr:uid="{00000000-0005-0000-0000-00002D100000}"/>
    <cellStyle name="Calculation 11 2 4" xfId="5056" xr:uid="{00000000-0005-0000-0000-00002E100000}"/>
    <cellStyle name="Calculation 11 2 4 2" xfId="5057" xr:uid="{00000000-0005-0000-0000-00002F100000}"/>
    <cellStyle name="Calculation 11 2 5" xfId="5058" xr:uid="{00000000-0005-0000-0000-000030100000}"/>
    <cellStyle name="Calculation 11 2 5 2" xfId="5059" xr:uid="{00000000-0005-0000-0000-000031100000}"/>
    <cellStyle name="Calculation 11 2 6" xfId="5060" xr:uid="{00000000-0005-0000-0000-000032100000}"/>
    <cellStyle name="Calculation 11 2 6 2" xfId="5061" xr:uid="{00000000-0005-0000-0000-000033100000}"/>
    <cellStyle name="Calculation 11 2 7" xfId="5062" xr:uid="{00000000-0005-0000-0000-000034100000}"/>
    <cellStyle name="Calculation 11 2 7 2" xfId="5063" xr:uid="{00000000-0005-0000-0000-000035100000}"/>
    <cellStyle name="Calculation 11 2 8" xfId="5064" xr:uid="{00000000-0005-0000-0000-000036100000}"/>
    <cellStyle name="Calculation 11 2 8 2" xfId="5065" xr:uid="{00000000-0005-0000-0000-000037100000}"/>
    <cellStyle name="Calculation 11 2 9" xfId="5066" xr:uid="{00000000-0005-0000-0000-000038100000}"/>
    <cellStyle name="Calculation 11 3" xfId="5067" xr:uid="{00000000-0005-0000-0000-000039100000}"/>
    <cellStyle name="Calculation 11 3 2" xfId="5068" xr:uid="{00000000-0005-0000-0000-00003A100000}"/>
    <cellStyle name="Calculation 11 4" xfId="5069" xr:uid="{00000000-0005-0000-0000-00003B100000}"/>
    <cellStyle name="Calculation 11 4 2" xfId="5070" xr:uid="{00000000-0005-0000-0000-00003C100000}"/>
    <cellStyle name="Calculation 11 5" xfId="5071" xr:uid="{00000000-0005-0000-0000-00003D100000}"/>
    <cellStyle name="Calculation 11 5 2" xfId="5072" xr:uid="{00000000-0005-0000-0000-00003E100000}"/>
    <cellStyle name="Calculation 11 6" xfId="5073" xr:uid="{00000000-0005-0000-0000-00003F100000}"/>
    <cellStyle name="Calculation 11 6 2" xfId="5074" xr:uid="{00000000-0005-0000-0000-000040100000}"/>
    <cellStyle name="Calculation 11 7" xfId="5075" xr:uid="{00000000-0005-0000-0000-000041100000}"/>
    <cellStyle name="Calculation 11 7 2" xfId="5076" xr:uid="{00000000-0005-0000-0000-000042100000}"/>
    <cellStyle name="Calculation 11 8" xfId="5077" xr:uid="{00000000-0005-0000-0000-000043100000}"/>
    <cellStyle name="Calculation 11 8 2" xfId="5078" xr:uid="{00000000-0005-0000-0000-000044100000}"/>
    <cellStyle name="Calculation 11 9" xfId="5079" xr:uid="{00000000-0005-0000-0000-000045100000}"/>
    <cellStyle name="Calculation 11 9 2" xfId="5080" xr:uid="{00000000-0005-0000-0000-000046100000}"/>
    <cellStyle name="Calculation 12" xfId="1293" xr:uid="{00000000-0005-0000-0000-000047100000}"/>
    <cellStyle name="Calculation 12 10" xfId="5081" xr:uid="{00000000-0005-0000-0000-000048100000}"/>
    <cellStyle name="Calculation 12 11" xfId="5082" xr:uid="{00000000-0005-0000-0000-000049100000}"/>
    <cellStyle name="Calculation 12 12" xfId="5083" xr:uid="{00000000-0005-0000-0000-00004A100000}"/>
    <cellStyle name="Calculation 12 2" xfId="5084" xr:uid="{00000000-0005-0000-0000-00004B100000}"/>
    <cellStyle name="Calculation 12 2 2" xfId="5085" xr:uid="{00000000-0005-0000-0000-00004C100000}"/>
    <cellStyle name="Calculation 12 2 2 2" xfId="5086" xr:uid="{00000000-0005-0000-0000-00004D100000}"/>
    <cellStyle name="Calculation 12 2 3" xfId="5087" xr:uid="{00000000-0005-0000-0000-00004E100000}"/>
    <cellStyle name="Calculation 12 2 3 2" xfId="5088" xr:uid="{00000000-0005-0000-0000-00004F100000}"/>
    <cellStyle name="Calculation 12 2 4" xfId="5089" xr:uid="{00000000-0005-0000-0000-000050100000}"/>
    <cellStyle name="Calculation 12 2 4 2" xfId="5090" xr:uid="{00000000-0005-0000-0000-000051100000}"/>
    <cellStyle name="Calculation 12 2 5" xfId="5091" xr:uid="{00000000-0005-0000-0000-000052100000}"/>
    <cellStyle name="Calculation 12 2 5 2" xfId="5092" xr:uid="{00000000-0005-0000-0000-000053100000}"/>
    <cellStyle name="Calculation 12 2 6" xfId="5093" xr:uid="{00000000-0005-0000-0000-000054100000}"/>
    <cellStyle name="Calculation 12 2 6 2" xfId="5094" xr:uid="{00000000-0005-0000-0000-000055100000}"/>
    <cellStyle name="Calculation 12 2 7" xfId="5095" xr:uid="{00000000-0005-0000-0000-000056100000}"/>
    <cellStyle name="Calculation 12 2 7 2" xfId="5096" xr:uid="{00000000-0005-0000-0000-000057100000}"/>
    <cellStyle name="Calculation 12 2 8" xfId="5097" xr:uid="{00000000-0005-0000-0000-000058100000}"/>
    <cellStyle name="Calculation 12 2 8 2" xfId="5098" xr:uid="{00000000-0005-0000-0000-000059100000}"/>
    <cellStyle name="Calculation 12 2 9" xfId="5099" xr:uid="{00000000-0005-0000-0000-00005A100000}"/>
    <cellStyle name="Calculation 12 3" xfId="5100" xr:uid="{00000000-0005-0000-0000-00005B100000}"/>
    <cellStyle name="Calculation 12 3 2" xfId="5101" xr:uid="{00000000-0005-0000-0000-00005C100000}"/>
    <cellStyle name="Calculation 12 4" xfId="5102" xr:uid="{00000000-0005-0000-0000-00005D100000}"/>
    <cellStyle name="Calculation 12 4 2" xfId="5103" xr:uid="{00000000-0005-0000-0000-00005E100000}"/>
    <cellStyle name="Calculation 12 5" xfId="5104" xr:uid="{00000000-0005-0000-0000-00005F100000}"/>
    <cellStyle name="Calculation 12 5 2" xfId="5105" xr:uid="{00000000-0005-0000-0000-000060100000}"/>
    <cellStyle name="Calculation 12 6" xfId="5106" xr:uid="{00000000-0005-0000-0000-000061100000}"/>
    <cellStyle name="Calculation 12 6 2" xfId="5107" xr:uid="{00000000-0005-0000-0000-000062100000}"/>
    <cellStyle name="Calculation 12 7" xfId="5108" xr:uid="{00000000-0005-0000-0000-000063100000}"/>
    <cellStyle name="Calculation 12 7 2" xfId="5109" xr:uid="{00000000-0005-0000-0000-000064100000}"/>
    <cellStyle name="Calculation 12 8" xfId="5110" xr:uid="{00000000-0005-0000-0000-000065100000}"/>
    <cellStyle name="Calculation 12 8 2" xfId="5111" xr:uid="{00000000-0005-0000-0000-000066100000}"/>
    <cellStyle name="Calculation 12 9" xfId="5112" xr:uid="{00000000-0005-0000-0000-000067100000}"/>
    <cellStyle name="Calculation 12 9 2" xfId="5113" xr:uid="{00000000-0005-0000-0000-000068100000}"/>
    <cellStyle name="Calculation 13" xfId="1294" xr:uid="{00000000-0005-0000-0000-000069100000}"/>
    <cellStyle name="Calculation 13 10" xfId="5114" xr:uid="{00000000-0005-0000-0000-00006A100000}"/>
    <cellStyle name="Calculation 13 11" xfId="5115" xr:uid="{00000000-0005-0000-0000-00006B100000}"/>
    <cellStyle name="Calculation 13 12" xfId="5116" xr:uid="{00000000-0005-0000-0000-00006C100000}"/>
    <cellStyle name="Calculation 13 2" xfId="5117" xr:uid="{00000000-0005-0000-0000-00006D100000}"/>
    <cellStyle name="Calculation 13 2 2" xfId="5118" xr:uid="{00000000-0005-0000-0000-00006E100000}"/>
    <cellStyle name="Calculation 13 2 2 2" xfId="5119" xr:uid="{00000000-0005-0000-0000-00006F100000}"/>
    <cellStyle name="Calculation 13 2 3" xfId="5120" xr:uid="{00000000-0005-0000-0000-000070100000}"/>
    <cellStyle name="Calculation 13 2 3 2" xfId="5121" xr:uid="{00000000-0005-0000-0000-000071100000}"/>
    <cellStyle name="Calculation 13 2 4" xfId="5122" xr:uid="{00000000-0005-0000-0000-000072100000}"/>
    <cellStyle name="Calculation 13 2 4 2" xfId="5123" xr:uid="{00000000-0005-0000-0000-000073100000}"/>
    <cellStyle name="Calculation 13 2 5" xfId="5124" xr:uid="{00000000-0005-0000-0000-000074100000}"/>
    <cellStyle name="Calculation 13 2 5 2" xfId="5125" xr:uid="{00000000-0005-0000-0000-000075100000}"/>
    <cellStyle name="Calculation 13 2 6" xfId="5126" xr:uid="{00000000-0005-0000-0000-000076100000}"/>
    <cellStyle name="Calculation 13 2 6 2" xfId="5127" xr:uid="{00000000-0005-0000-0000-000077100000}"/>
    <cellStyle name="Calculation 13 2 7" xfId="5128" xr:uid="{00000000-0005-0000-0000-000078100000}"/>
    <cellStyle name="Calculation 13 2 7 2" xfId="5129" xr:uid="{00000000-0005-0000-0000-000079100000}"/>
    <cellStyle name="Calculation 13 2 8" xfId="5130" xr:uid="{00000000-0005-0000-0000-00007A100000}"/>
    <cellStyle name="Calculation 13 2 8 2" xfId="5131" xr:uid="{00000000-0005-0000-0000-00007B100000}"/>
    <cellStyle name="Calculation 13 2 9" xfId="5132" xr:uid="{00000000-0005-0000-0000-00007C100000}"/>
    <cellStyle name="Calculation 13 3" xfId="5133" xr:uid="{00000000-0005-0000-0000-00007D100000}"/>
    <cellStyle name="Calculation 13 3 2" xfId="5134" xr:uid="{00000000-0005-0000-0000-00007E100000}"/>
    <cellStyle name="Calculation 13 4" xfId="5135" xr:uid="{00000000-0005-0000-0000-00007F100000}"/>
    <cellStyle name="Calculation 13 4 2" xfId="5136" xr:uid="{00000000-0005-0000-0000-000080100000}"/>
    <cellStyle name="Calculation 13 5" xfId="5137" xr:uid="{00000000-0005-0000-0000-000081100000}"/>
    <cellStyle name="Calculation 13 5 2" xfId="5138" xr:uid="{00000000-0005-0000-0000-000082100000}"/>
    <cellStyle name="Calculation 13 6" xfId="5139" xr:uid="{00000000-0005-0000-0000-000083100000}"/>
    <cellStyle name="Calculation 13 6 2" xfId="5140" xr:uid="{00000000-0005-0000-0000-000084100000}"/>
    <cellStyle name="Calculation 13 7" xfId="5141" xr:uid="{00000000-0005-0000-0000-000085100000}"/>
    <cellStyle name="Calculation 13 7 2" xfId="5142" xr:uid="{00000000-0005-0000-0000-000086100000}"/>
    <cellStyle name="Calculation 13 8" xfId="5143" xr:uid="{00000000-0005-0000-0000-000087100000}"/>
    <cellStyle name="Calculation 13 8 2" xfId="5144" xr:uid="{00000000-0005-0000-0000-000088100000}"/>
    <cellStyle name="Calculation 13 9" xfId="5145" xr:uid="{00000000-0005-0000-0000-000089100000}"/>
    <cellStyle name="Calculation 13 9 2" xfId="5146" xr:uid="{00000000-0005-0000-0000-00008A100000}"/>
    <cellStyle name="Calculation 14" xfId="1295" xr:uid="{00000000-0005-0000-0000-00008B100000}"/>
    <cellStyle name="Calculation 14 10" xfId="5147" xr:uid="{00000000-0005-0000-0000-00008C100000}"/>
    <cellStyle name="Calculation 14 11" xfId="5148" xr:uid="{00000000-0005-0000-0000-00008D100000}"/>
    <cellStyle name="Calculation 14 12" xfId="5149" xr:uid="{00000000-0005-0000-0000-00008E100000}"/>
    <cellStyle name="Calculation 14 2" xfId="5150" xr:uid="{00000000-0005-0000-0000-00008F100000}"/>
    <cellStyle name="Calculation 14 2 2" xfId="5151" xr:uid="{00000000-0005-0000-0000-000090100000}"/>
    <cellStyle name="Calculation 14 2 2 2" xfId="5152" xr:uid="{00000000-0005-0000-0000-000091100000}"/>
    <cellStyle name="Calculation 14 2 3" xfId="5153" xr:uid="{00000000-0005-0000-0000-000092100000}"/>
    <cellStyle name="Calculation 14 2 3 2" xfId="5154" xr:uid="{00000000-0005-0000-0000-000093100000}"/>
    <cellStyle name="Calculation 14 2 4" xfId="5155" xr:uid="{00000000-0005-0000-0000-000094100000}"/>
    <cellStyle name="Calculation 14 2 4 2" xfId="5156" xr:uid="{00000000-0005-0000-0000-000095100000}"/>
    <cellStyle name="Calculation 14 2 5" xfId="5157" xr:uid="{00000000-0005-0000-0000-000096100000}"/>
    <cellStyle name="Calculation 14 2 5 2" xfId="5158" xr:uid="{00000000-0005-0000-0000-000097100000}"/>
    <cellStyle name="Calculation 14 2 6" xfId="5159" xr:uid="{00000000-0005-0000-0000-000098100000}"/>
    <cellStyle name="Calculation 14 2 6 2" xfId="5160" xr:uid="{00000000-0005-0000-0000-000099100000}"/>
    <cellStyle name="Calculation 14 2 7" xfId="5161" xr:uid="{00000000-0005-0000-0000-00009A100000}"/>
    <cellStyle name="Calculation 14 2 7 2" xfId="5162" xr:uid="{00000000-0005-0000-0000-00009B100000}"/>
    <cellStyle name="Calculation 14 2 8" xfId="5163" xr:uid="{00000000-0005-0000-0000-00009C100000}"/>
    <cellStyle name="Calculation 14 2 8 2" xfId="5164" xr:uid="{00000000-0005-0000-0000-00009D100000}"/>
    <cellStyle name="Calculation 14 2 9" xfId="5165" xr:uid="{00000000-0005-0000-0000-00009E100000}"/>
    <cellStyle name="Calculation 14 3" xfId="5166" xr:uid="{00000000-0005-0000-0000-00009F100000}"/>
    <cellStyle name="Calculation 14 3 2" xfId="5167" xr:uid="{00000000-0005-0000-0000-0000A0100000}"/>
    <cellStyle name="Calculation 14 4" xfId="5168" xr:uid="{00000000-0005-0000-0000-0000A1100000}"/>
    <cellStyle name="Calculation 14 4 2" xfId="5169" xr:uid="{00000000-0005-0000-0000-0000A2100000}"/>
    <cellStyle name="Calculation 14 5" xfId="5170" xr:uid="{00000000-0005-0000-0000-0000A3100000}"/>
    <cellStyle name="Calculation 14 5 2" xfId="5171" xr:uid="{00000000-0005-0000-0000-0000A4100000}"/>
    <cellStyle name="Calculation 14 6" xfId="5172" xr:uid="{00000000-0005-0000-0000-0000A5100000}"/>
    <cellStyle name="Calculation 14 6 2" xfId="5173" xr:uid="{00000000-0005-0000-0000-0000A6100000}"/>
    <cellStyle name="Calculation 14 7" xfId="5174" xr:uid="{00000000-0005-0000-0000-0000A7100000}"/>
    <cellStyle name="Calculation 14 7 2" xfId="5175" xr:uid="{00000000-0005-0000-0000-0000A8100000}"/>
    <cellStyle name="Calculation 14 8" xfId="5176" xr:uid="{00000000-0005-0000-0000-0000A9100000}"/>
    <cellStyle name="Calculation 14 8 2" xfId="5177" xr:uid="{00000000-0005-0000-0000-0000AA100000}"/>
    <cellStyle name="Calculation 14 9" xfId="5178" xr:uid="{00000000-0005-0000-0000-0000AB100000}"/>
    <cellStyle name="Calculation 14 9 2" xfId="5179" xr:uid="{00000000-0005-0000-0000-0000AC100000}"/>
    <cellStyle name="Calculation 15" xfId="1296" xr:uid="{00000000-0005-0000-0000-0000AD100000}"/>
    <cellStyle name="Calculation 15 10" xfId="5180" xr:uid="{00000000-0005-0000-0000-0000AE100000}"/>
    <cellStyle name="Calculation 15 11" xfId="5181" xr:uid="{00000000-0005-0000-0000-0000AF100000}"/>
    <cellStyle name="Calculation 15 12" xfId="5182" xr:uid="{00000000-0005-0000-0000-0000B0100000}"/>
    <cellStyle name="Calculation 15 2" xfId="5183" xr:uid="{00000000-0005-0000-0000-0000B1100000}"/>
    <cellStyle name="Calculation 15 2 2" xfId="5184" xr:uid="{00000000-0005-0000-0000-0000B2100000}"/>
    <cellStyle name="Calculation 15 2 2 2" xfId="5185" xr:uid="{00000000-0005-0000-0000-0000B3100000}"/>
    <cellStyle name="Calculation 15 2 3" xfId="5186" xr:uid="{00000000-0005-0000-0000-0000B4100000}"/>
    <cellStyle name="Calculation 15 2 3 2" xfId="5187" xr:uid="{00000000-0005-0000-0000-0000B5100000}"/>
    <cellStyle name="Calculation 15 2 4" xfId="5188" xr:uid="{00000000-0005-0000-0000-0000B6100000}"/>
    <cellStyle name="Calculation 15 2 4 2" xfId="5189" xr:uid="{00000000-0005-0000-0000-0000B7100000}"/>
    <cellStyle name="Calculation 15 2 5" xfId="5190" xr:uid="{00000000-0005-0000-0000-0000B8100000}"/>
    <cellStyle name="Calculation 15 2 5 2" xfId="5191" xr:uid="{00000000-0005-0000-0000-0000B9100000}"/>
    <cellStyle name="Calculation 15 2 6" xfId="5192" xr:uid="{00000000-0005-0000-0000-0000BA100000}"/>
    <cellStyle name="Calculation 15 2 6 2" xfId="5193" xr:uid="{00000000-0005-0000-0000-0000BB100000}"/>
    <cellStyle name="Calculation 15 2 7" xfId="5194" xr:uid="{00000000-0005-0000-0000-0000BC100000}"/>
    <cellStyle name="Calculation 15 2 7 2" xfId="5195" xr:uid="{00000000-0005-0000-0000-0000BD100000}"/>
    <cellStyle name="Calculation 15 2 8" xfId="5196" xr:uid="{00000000-0005-0000-0000-0000BE100000}"/>
    <cellStyle name="Calculation 15 2 8 2" xfId="5197" xr:uid="{00000000-0005-0000-0000-0000BF100000}"/>
    <cellStyle name="Calculation 15 2 9" xfId="5198" xr:uid="{00000000-0005-0000-0000-0000C0100000}"/>
    <cellStyle name="Calculation 15 3" xfId="5199" xr:uid="{00000000-0005-0000-0000-0000C1100000}"/>
    <cellStyle name="Calculation 15 3 2" xfId="5200" xr:uid="{00000000-0005-0000-0000-0000C2100000}"/>
    <cellStyle name="Calculation 15 4" xfId="5201" xr:uid="{00000000-0005-0000-0000-0000C3100000}"/>
    <cellStyle name="Calculation 15 4 2" xfId="5202" xr:uid="{00000000-0005-0000-0000-0000C4100000}"/>
    <cellStyle name="Calculation 15 5" xfId="5203" xr:uid="{00000000-0005-0000-0000-0000C5100000}"/>
    <cellStyle name="Calculation 15 5 2" xfId="5204" xr:uid="{00000000-0005-0000-0000-0000C6100000}"/>
    <cellStyle name="Calculation 15 6" xfId="5205" xr:uid="{00000000-0005-0000-0000-0000C7100000}"/>
    <cellStyle name="Calculation 15 6 2" xfId="5206" xr:uid="{00000000-0005-0000-0000-0000C8100000}"/>
    <cellStyle name="Calculation 15 7" xfId="5207" xr:uid="{00000000-0005-0000-0000-0000C9100000}"/>
    <cellStyle name="Calculation 15 7 2" xfId="5208" xr:uid="{00000000-0005-0000-0000-0000CA100000}"/>
    <cellStyle name="Calculation 15 8" xfId="5209" xr:uid="{00000000-0005-0000-0000-0000CB100000}"/>
    <cellStyle name="Calculation 15 8 2" xfId="5210" xr:uid="{00000000-0005-0000-0000-0000CC100000}"/>
    <cellStyle name="Calculation 15 9" xfId="5211" xr:uid="{00000000-0005-0000-0000-0000CD100000}"/>
    <cellStyle name="Calculation 15 9 2" xfId="5212" xr:uid="{00000000-0005-0000-0000-0000CE100000}"/>
    <cellStyle name="Calculation 16" xfId="1297" xr:uid="{00000000-0005-0000-0000-0000CF100000}"/>
    <cellStyle name="Calculation 16 10" xfId="5213" xr:uid="{00000000-0005-0000-0000-0000D0100000}"/>
    <cellStyle name="Calculation 16 11" xfId="5214" xr:uid="{00000000-0005-0000-0000-0000D1100000}"/>
    <cellStyle name="Calculation 16 12" xfId="5215" xr:uid="{00000000-0005-0000-0000-0000D2100000}"/>
    <cellStyle name="Calculation 16 2" xfId="5216" xr:uid="{00000000-0005-0000-0000-0000D3100000}"/>
    <cellStyle name="Calculation 16 2 2" xfId="5217" xr:uid="{00000000-0005-0000-0000-0000D4100000}"/>
    <cellStyle name="Calculation 16 2 2 2" xfId="5218" xr:uid="{00000000-0005-0000-0000-0000D5100000}"/>
    <cellStyle name="Calculation 16 2 3" xfId="5219" xr:uid="{00000000-0005-0000-0000-0000D6100000}"/>
    <cellStyle name="Calculation 16 2 3 2" xfId="5220" xr:uid="{00000000-0005-0000-0000-0000D7100000}"/>
    <cellStyle name="Calculation 16 2 4" xfId="5221" xr:uid="{00000000-0005-0000-0000-0000D8100000}"/>
    <cellStyle name="Calculation 16 2 4 2" xfId="5222" xr:uid="{00000000-0005-0000-0000-0000D9100000}"/>
    <cellStyle name="Calculation 16 2 5" xfId="5223" xr:uid="{00000000-0005-0000-0000-0000DA100000}"/>
    <cellStyle name="Calculation 16 2 5 2" xfId="5224" xr:uid="{00000000-0005-0000-0000-0000DB100000}"/>
    <cellStyle name="Calculation 16 2 6" xfId="5225" xr:uid="{00000000-0005-0000-0000-0000DC100000}"/>
    <cellStyle name="Calculation 16 2 6 2" xfId="5226" xr:uid="{00000000-0005-0000-0000-0000DD100000}"/>
    <cellStyle name="Calculation 16 2 7" xfId="5227" xr:uid="{00000000-0005-0000-0000-0000DE100000}"/>
    <cellStyle name="Calculation 16 2 7 2" xfId="5228" xr:uid="{00000000-0005-0000-0000-0000DF100000}"/>
    <cellStyle name="Calculation 16 2 8" xfId="5229" xr:uid="{00000000-0005-0000-0000-0000E0100000}"/>
    <cellStyle name="Calculation 16 2 8 2" xfId="5230" xr:uid="{00000000-0005-0000-0000-0000E1100000}"/>
    <cellStyle name="Calculation 16 2 9" xfId="5231" xr:uid="{00000000-0005-0000-0000-0000E2100000}"/>
    <cellStyle name="Calculation 16 3" xfId="5232" xr:uid="{00000000-0005-0000-0000-0000E3100000}"/>
    <cellStyle name="Calculation 16 3 2" xfId="5233" xr:uid="{00000000-0005-0000-0000-0000E4100000}"/>
    <cellStyle name="Calculation 16 4" xfId="5234" xr:uid="{00000000-0005-0000-0000-0000E5100000}"/>
    <cellStyle name="Calculation 16 4 2" xfId="5235" xr:uid="{00000000-0005-0000-0000-0000E6100000}"/>
    <cellStyle name="Calculation 16 5" xfId="5236" xr:uid="{00000000-0005-0000-0000-0000E7100000}"/>
    <cellStyle name="Calculation 16 5 2" xfId="5237" xr:uid="{00000000-0005-0000-0000-0000E8100000}"/>
    <cellStyle name="Calculation 16 6" xfId="5238" xr:uid="{00000000-0005-0000-0000-0000E9100000}"/>
    <cellStyle name="Calculation 16 6 2" xfId="5239" xr:uid="{00000000-0005-0000-0000-0000EA100000}"/>
    <cellStyle name="Calculation 16 7" xfId="5240" xr:uid="{00000000-0005-0000-0000-0000EB100000}"/>
    <cellStyle name="Calculation 16 7 2" xfId="5241" xr:uid="{00000000-0005-0000-0000-0000EC100000}"/>
    <cellStyle name="Calculation 16 8" xfId="5242" xr:uid="{00000000-0005-0000-0000-0000ED100000}"/>
    <cellStyle name="Calculation 16 8 2" xfId="5243" xr:uid="{00000000-0005-0000-0000-0000EE100000}"/>
    <cellStyle name="Calculation 16 9" xfId="5244" xr:uid="{00000000-0005-0000-0000-0000EF100000}"/>
    <cellStyle name="Calculation 16 9 2" xfId="5245" xr:uid="{00000000-0005-0000-0000-0000F0100000}"/>
    <cellStyle name="Calculation 17" xfId="1298" xr:uid="{00000000-0005-0000-0000-0000F1100000}"/>
    <cellStyle name="Calculation 17 10" xfId="5246" xr:uid="{00000000-0005-0000-0000-0000F2100000}"/>
    <cellStyle name="Calculation 17 11" xfId="5247" xr:uid="{00000000-0005-0000-0000-0000F3100000}"/>
    <cellStyle name="Calculation 17 2" xfId="5248" xr:uid="{00000000-0005-0000-0000-0000F4100000}"/>
    <cellStyle name="Calculation 17 2 2" xfId="5249" xr:uid="{00000000-0005-0000-0000-0000F5100000}"/>
    <cellStyle name="Calculation 17 2 2 2" xfId="5250" xr:uid="{00000000-0005-0000-0000-0000F6100000}"/>
    <cellStyle name="Calculation 17 2 3" xfId="5251" xr:uid="{00000000-0005-0000-0000-0000F7100000}"/>
    <cellStyle name="Calculation 17 2 3 2" xfId="5252" xr:uid="{00000000-0005-0000-0000-0000F8100000}"/>
    <cellStyle name="Calculation 17 2 4" xfId="5253" xr:uid="{00000000-0005-0000-0000-0000F9100000}"/>
    <cellStyle name="Calculation 17 2 4 2" xfId="5254" xr:uid="{00000000-0005-0000-0000-0000FA100000}"/>
    <cellStyle name="Calculation 17 2 5" xfId="5255" xr:uid="{00000000-0005-0000-0000-0000FB100000}"/>
    <cellStyle name="Calculation 17 2 5 2" xfId="5256" xr:uid="{00000000-0005-0000-0000-0000FC100000}"/>
    <cellStyle name="Calculation 17 2 6" xfId="5257" xr:uid="{00000000-0005-0000-0000-0000FD100000}"/>
    <cellStyle name="Calculation 17 2 6 2" xfId="5258" xr:uid="{00000000-0005-0000-0000-0000FE100000}"/>
    <cellStyle name="Calculation 17 2 7" xfId="5259" xr:uid="{00000000-0005-0000-0000-0000FF100000}"/>
    <cellStyle name="Calculation 17 2 7 2" xfId="5260" xr:uid="{00000000-0005-0000-0000-000000110000}"/>
    <cellStyle name="Calculation 17 2 8" xfId="5261" xr:uid="{00000000-0005-0000-0000-000001110000}"/>
    <cellStyle name="Calculation 17 2 8 2" xfId="5262" xr:uid="{00000000-0005-0000-0000-000002110000}"/>
    <cellStyle name="Calculation 17 2 9" xfId="5263" xr:uid="{00000000-0005-0000-0000-000003110000}"/>
    <cellStyle name="Calculation 17 3" xfId="5264" xr:uid="{00000000-0005-0000-0000-000004110000}"/>
    <cellStyle name="Calculation 17 3 2" xfId="5265" xr:uid="{00000000-0005-0000-0000-000005110000}"/>
    <cellStyle name="Calculation 17 4" xfId="5266" xr:uid="{00000000-0005-0000-0000-000006110000}"/>
    <cellStyle name="Calculation 17 4 2" xfId="5267" xr:uid="{00000000-0005-0000-0000-000007110000}"/>
    <cellStyle name="Calculation 17 5" xfId="5268" xr:uid="{00000000-0005-0000-0000-000008110000}"/>
    <cellStyle name="Calculation 17 5 2" xfId="5269" xr:uid="{00000000-0005-0000-0000-000009110000}"/>
    <cellStyle name="Calculation 17 6" xfId="5270" xr:uid="{00000000-0005-0000-0000-00000A110000}"/>
    <cellStyle name="Calculation 17 6 2" xfId="5271" xr:uid="{00000000-0005-0000-0000-00000B110000}"/>
    <cellStyle name="Calculation 17 7" xfId="5272" xr:uid="{00000000-0005-0000-0000-00000C110000}"/>
    <cellStyle name="Calculation 17 7 2" xfId="5273" xr:uid="{00000000-0005-0000-0000-00000D110000}"/>
    <cellStyle name="Calculation 17 8" xfId="5274" xr:uid="{00000000-0005-0000-0000-00000E110000}"/>
    <cellStyle name="Calculation 17 8 2" xfId="5275" xr:uid="{00000000-0005-0000-0000-00000F110000}"/>
    <cellStyle name="Calculation 17 9" xfId="5276" xr:uid="{00000000-0005-0000-0000-000010110000}"/>
    <cellStyle name="Calculation 17 9 2" xfId="5277" xr:uid="{00000000-0005-0000-0000-000011110000}"/>
    <cellStyle name="Calculation 18" xfId="1299" xr:uid="{00000000-0005-0000-0000-000012110000}"/>
    <cellStyle name="Calculation 18 10" xfId="5278" xr:uid="{00000000-0005-0000-0000-000013110000}"/>
    <cellStyle name="Calculation 18 2" xfId="5279" xr:uid="{00000000-0005-0000-0000-000014110000}"/>
    <cellStyle name="Calculation 18 2 2" xfId="5280" xr:uid="{00000000-0005-0000-0000-000015110000}"/>
    <cellStyle name="Calculation 18 2 2 2" xfId="5281" xr:uid="{00000000-0005-0000-0000-000016110000}"/>
    <cellStyle name="Calculation 18 2 3" xfId="5282" xr:uid="{00000000-0005-0000-0000-000017110000}"/>
    <cellStyle name="Calculation 18 2 3 2" xfId="5283" xr:uid="{00000000-0005-0000-0000-000018110000}"/>
    <cellStyle name="Calculation 18 2 4" xfId="5284" xr:uid="{00000000-0005-0000-0000-000019110000}"/>
    <cellStyle name="Calculation 18 2 4 2" xfId="5285" xr:uid="{00000000-0005-0000-0000-00001A110000}"/>
    <cellStyle name="Calculation 18 2 5" xfId="5286" xr:uid="{00000000-0005-0000-0000-00001B110000}"/>
    <cellStyle name="Calculation 18 2 5 2" xfId="5287" xr:uid="{00000000-0005-0000-0000-00001C110000}"/>
    <cellStyle name="Calculation 18 2 6" xfId="5288" xr:uid="{00000000-0005-0000-0000-00001D110000}"/>
    <cellStyle name="Calculation 18 2 6 2" xfId="5289" xr:uid="{00000000-0005-0000-0000-00001E110000}"/>
    <cellStyle name="Calculation 18 2 7" xfId="5290" xr:uid="{00000000-0005-0000-0000-00001F110000}"/>
    <cellStyle name="Calculation 18 2 7 2" xfId="5291" xr:uid="{00000000-0005-0000-0000-000020110000}"/>
    <cellStyle name="Calculation 18 2 8" xfId="5292" xr:uid="{00000000-0005-0000-0000-000021110000}"/>
    <cellStyle name="Calculation 18 2 8 2" xfId="5293" xr:uid="{00000000-0005-0000-0000-000022110000}"/>
    <cellStyle name="Calculation 18 2 9" xfId="5294" xr:uid="{00000000-0005-0000-0000-000023110000}"/>
    <cellStyle name="Calculation 18 3" xfId="5295" xr:uid="{00000000-0005-0000-0000-000024110000}"/>
    <cellStyle name="Calculation 18 3 2" xfId="5296" xr:uid="{00000000-0005-0000-0000-000025110000}"/>
    <cellStyle name="Calculation 18 4" xfId="5297" xr:uid="{00000000-0005-0000-0000-000026110000}"/>
    <cellStyle name="Calculation 18 4 2" xfId="5298" xr:uid="{00000000-0005-0000-0000-000027110000}"/>
    <cellStyle name="Calculation 18 5" xfId="5299" xr:uid="{00000000-0005-0000-0000-000028110000}"/>
    <cellStyle name="Calculation 18 5 2" xfId="5300" xr:uid="{00000000-0005-0000-0000-000029110000}"/>
    <cellStyle name="Calculation 18 6" xfId="5301" xr:uid="{00000000-0005-0000-0000-00002A110000}"/>
    <cellStyle name="Calculation 18 6 2" xfId="5302" xr:uid="{00000000-0005-0000-0000-00002B110000}"/>
    <cellStyle name="Calculation 18 7" xfId="5303" xr:uid="{00000000-0005-0000-0000-00002C110000}"/>
    <cellStyle name="Calculation 18 7 2" xfId="5304" xr:uid="{00000000-0005-0000-0000-00002D110000}"/>
    <cellStyle name="Calculation 18 8" xfId="5305" xr:uid="{00000000-0005-0000-0000-00002E110000}"/>
    <cellStyle name="Calculation 18 8 2" xfId="5306" xr:uid="{00000000-0005-0000-0000-00002F110000}"/>
    <cellStyle name="Calculation 18 9" xfId="5307" xr:uid="{00000000-0005-0000-0000-000030110000}"/>
    <cellStyle name="Calculation 18 9 2" xfId="5308" xr:uid="{00000000-0005-0000-0000-000031110000}"/>
    <cellStyle name="Calculation 19" xfId="1300" xr:uid="{00000000-0005-0000-0000-000032110000}"/>
    <cellStyle name="Calculation 19 10" xfId="5309" xr:uid="{00000000-0005-0000-0000-000033110000}"/>
    <cellStyle name="Calculation 19 2" xfId="5310" xr:uid="{00000000-0005-0000-0000-000034110000}"/>
    <cellStyle name="Calculation 19 2 2" xfId="5311" xr:uid="{00000000-0005-0000-0000-000035110000}"/>
    <cellStyle name="Calculation 19 2 2 2" xfId="5312" xr:uid="{00000000-0005-0000-0000-000036110000}"/>
    <cellStyle name="Calculation 19 2 3" xfId="5313" xr:uid="{00000000-0005-0000-0000-000037110000}"/>
    <cellStyle name="Calculation 19 2 3 2" xfId="5314" xr:uid="{00000000-0005-0000-0000-000038110000}"/>
    <cellStyle name="Calculation 19 2 4" xfId="5315" xr:uid="{00000000-0005-0000-0000-000039110000}"/>
    <cellStyle name="Calculation 19 2 4 2" xfId="5316" xr:uid="{00000000-0005-0000-0000-00003A110000}"/>
    <cellStyle name="Calculation 19 2 5" xfId="5317" xr:uid="{00000000-0005-0000-0000-00003B110000}"/>
    <cellStyle name="Calculation 19 2 5 2" xfId="5318" xr:uid="{00000000-0005-0000-0000-00003C110000}"/>
    <cellStyle name="Calculation 19 2 6" xfId="5319" xr:uid="{00000000-0005-0000-0000-00003D110000}"/>
    <cellStyle name="Calculation 19 2 6 2" xfId="5320" xr:uid="{00000000-0005-0000-0000-00003E110000}"/>
    <cellStyle name="Calculation 19 2 7" xfId="5321" xr:uid="{00000000-0005-0000-0000-00003F110000}"/>
    <cellStyle name="Calculation 19 2 7 2" xfId="5322" xr:uid="{00000000-0005-0000-0000-000040110000}"/>
    <cellStyle name="Calculation 19 2 8" xfId="5323" xr:uid="{00000000-0005-0000-0000-000041110000}"/>
    <cellStyle name="Calculation 19 2 8 2" xfId="5324" xr:uid="{00000000-0005-0000-0000-000042110000}"/>
    <cellStyle name="Calculation 19 2 9" xfId="5325" xr:uid="{00000000-0005-0000-0000-000043110000}"/>
    <cellStyle name="Calculation 19 3" xfId="5326" xr:uid="{00000000-0005-0000-0000-000044110000}"/>
    <cellStyle name="Calculation 19 3 2" xfId="5327" xr:uid="{00000000-0005-0000-0000-000045110000}"/>
    <cellStyle name="Calculation 19 4" xfId="5328" xr:uid="{00000000-0005-0000-0000-000046110000}"/>
    <cellStyle name="Calculation 19 4 2" xfId="5329" xr:uid="{00000000-0005-0000-0000-000047110000}"/>
    <cellStyle name="Calculation 19 5" xfId="5330" xr:uid="{00000000-0005-0000-0000-000048110000}"/>
    <cellStyle name="Calculation 19 5 2" xfId="5331" xr:uid="{00000000-0005-0000-0000-000049110000}"/>
    <cellStyle name="Calculation 19 6" xfId="5332" xr:uid="{00000000-0005-0000-0000-00004A110000}"/>
    <cellStyle name="Calculation 19 6 2" xfId="5333" xr:uid="{00000000-0005-0000-0000-00004B110000}"/>
    <cellStyle name="Calculation 19 7" xfId="5334" xr:uid="{00000000-0005-0000-0000-00004C110000}"/>
    <cellStyle name="Calculation 19 7 2" xfId="5335" xr:uid="{00000000-0005-0000-0000-00004D110000}"/>
    <cellStyle name="Calculation 19 8" xfId="5336" xr:uid="{00000000-0005-0000-0000-00004E110000}"/>
    <cellStyle name="Calculation 19 8 2" xfId="5337" xr:uid="{00000000-0005-0000-0000-00004F110000}"/>
    <cellStyle name="Calculation 19 9" xfId="5338" xr:uid="{00000000-0005-0000-0000-000050110000}"/>
    <cellStyle name="Calculation 19 9 2" xfId="5339" xr:uid="{00000000-0005-0000-0000-000051110000}"/>
    <cellStyle name="Calculation 2" xfId="1301" xr:uid="{00000000-0005-0000-0000-000052110000}"/>
    <cellStyle name="Calculation 2 10" xfId="5340" xr:uid="{00000000-0005-0000-0000-000053110000}"/>
    <cellStyle name="Calculation 2 2" xfId="1302" xr:uid="{00000000-0005-0000-0000-000054110000}"/>
    <cellStyle name="Calculation 2 2 10" xfId="5341" xr:uid="{00000000-0005-0000-0000-000055110000}"/>
    <cellStyle name="Calculation 2 2 11" xfId="5342" xr:uid="{00000000-0005-0000-0000-000056110000}"/>
    <cellStyle name="Calculation 2 2 2" xfId="1303" xr:uid="{00000000-0005-0000-0000-000057110000}"/>
    <cellStyle name="Calculation 2 2 2 2" xfId="1304" xr:uid="{00000000-0005-0000-0000-000058110000}"/>
    <cellStyle name="Calculation 2 2 2 3" xfId="1305" xr:uid="{00000000-0005-0000-0000-000059110000}"/>
    <cellStyle name="Calculation 2 2 2 4" xfId="1306" xr:uid="{00000000-0005-0000-0000-00005A110000}"/>
    <cellStyle name="Calculation 2 2 2 5" xfId="1307" xr:uid="{00000000-0005-0000-0000-00005B110000}"/>
    <cellStyle name="Calculation 2 2 3" xfId="1308" xr:uid="{00000000-0005-0000-0000-00005C110000}"/>
    <cellStyle name="Calculation 2 2 3 2" xfId="5343" xr:uid="{00000000-0005-0000-0000-00005D110000}"/>
    <cellStyle name="Calculation 2 2 4" xfId="1309" xr:uid="{00000000-0005-0000-0000-00005E110000}"/>
    <cellStyle name="Calculation 2 2 4 2" xfId="5344" xr:uid="{00000000-0005-0000-0000-00005F110000}"/>
    <cellStyle name="Calculation 2 2 5" xfId="1310" xr:uid="{00000000-0005-0000-0000-000060110000}"/>
    <cellStyle name="Calculation 2 2 5 2" xfId="5345" xr:uid="{00000000-0005-0000-0000-000061110000}"/>
    <cellStyle name="Calculation 2 2 6" xfId="5346" xr:uid="{00000000-0005-0000-0000-000062110000}"/>
    <cellStyle name="Calculation 2 2 6 2" xfId="5347" xr:uid="{00000000-0005-0000-0000-000063110000}"/>
    <cellStyle name="Calculation 2 2 7" xfId="5348" xr:uid="{00000000-0005-0000-0000-000064110000}"/>
    <cellStyle name="Calculation 2 2 7 2" xfId="5349" xr:uid="{00000000-0005-0000-0000-000065110000}"/>
    <cellStyle name="Calculation 2 2 8" xfId="5350" xr:uid="{00000000-0005-0000-0000-000066110000}"/>
    <cellStyle name="Calculation 2 2 8 2" xfId="5351" xr:uid="{00000000-0005-0000-0000-000067110000}"/>
    <cellStyle name="Calculation 2 2 9" xfId="5352" xr:uid="{00000000-0005-0000-0000-000068110000}"/>
    <cellStyle name="Calculation 2 3" xfId="1311" xr:uid="{00000000-0005-0000-0000-000069110000}"/>
    <cellStyle name="Calculation 2 3 2" xfId="5353" xr:uid="{00000000-0005-0000-0000-00006A110000}"/>
    <cellStyle name="Calculation 2 4" xfId="1312" xr:uid="{00000000-0005-0000-0000-00006B110000}"/>
    <cellStyle name="Calculation 2 4 2" xfId="5354" xr:uid="{00000000-0005-0000-0000-00006C110000}"/>
    <cellStyle name="Calculation 2 5" xfId="1313" xr:uid="{00000000-0005-0000-0000-00006D110000}"/>
    <cellStyle name="Calculation 2 5 2" xfId="5355" xr:uid="{00000000-0005-0000-0000-00006E110000}"/>
    <cellStyle name="Calculation 2 6" xfId="1314" xr:uid="{00000000-0005-0000-0000-00006F110000}"/>
    <cellStyle name="Calculation 2 6 2" xfId="5356" xr:uid="{00000000-0005-0000-0000-000070110000}"/>
    <cellStyle name="Calculation 2 7" xfId="1315" xr:uid="{00000000-0005-0000-0000-000071110000}"/>
    <cellStyle name="Calculation 2 7 2" xfId="5357" xr:uid="{00000000-0005-0000-0000-000072110000}"/>
    <cellStyle name="Calculation 2 8" xfId="1316" xr:uid="{00000000-0005-0000-0000-000073110000}"/>
    <cellStyle name="Calculation 2 8 2" xfId="5358" xr:uid="{00000000-0005-0000-0000-000074110000}"/>
    <cellStyle name="Calculation 2 9" xfId="1317" xr:uid="{00000000-0005-0000-0000-000075110000}"/>
    <cellStyle name="Calculation 20" xfId="1318" xr:uid="{00000000-0005-0000-0000-000076110000}"/>
    <cellStyle name="Calculation 20 10" xfId="5359" xr:uid="{00000000-0005-0000-0000-000077110000}"/>
    <cellStyle name="Calculation 20 2" xfId="5360" xr:uid="{00000000-0005-0000-0000-000078110000}"/>
    <cellStyle name="Calculation 20 2 2" xfId="5361" xr:uid="{00000000-0005-0000-0000-000079110000}"/>
    <cellStyle name="Calculation 20 2 2 2" xfId="5362" xr:uid="{00000000-0005-0000-0000-00007A110000}"/>
    <cellStyle name="Calculation 20 2 3" xfId="5363" xr:uid="{00000000-0005-0000-0000-00007B110000}"/>
    <cellStyle name="Calculation 20 2 3 2" xfId="5364" xr:uid="{00000000-0005-0000-0000-00007C110000}"/>
    <cellStyle name="Calculation 20 2 4" xfId="5365" xr:uid="{00000000-0005-0000-0000-00007D110000}"/>
    <cellStyle name="Calculation 20 2 4 2" xfId="5366" xr:uid="{00000000-0005-0000-0000-00007E110000}"/>
    <cellStyle name="Calculation 20 2 5" xfId="5367" xr:uid="{00000000-0005-0000-0000-00007F110000}"/>
    <cellStyle name="Calculation 20 2 5 2" xfId="5368" xr:uid="{00000000-0005-0000-0000-000080110000}"/>
    <cellStyle name="Calculation 20 2 6" xfId="5369" xr:uid="{00000000-0005-0000-0000-000081110000}"/>
    <cellStyle name="Calculation 20 2 6 2" xfId="5370" xr:uid="{00000000-0005-0000-0000-000082110000}"/>
    <cellStyle name="Calculation 20 2 7" xfId="5371" xr:uid="{00000000-0005-0000-0000-000083110000}"/>
    <cellStyle name="Calculation 20 2 7 2" xfId="5372" xr:uid="{00000000-0005-0000-0000-000084110000}"/>
    <cellStyle name="Calculation 20 2 8" xfId="5373" xr:uid="{00000000-0005-0000-0000-000085110000}"/>
    <cellStyle name="Calculation 20 2 8 2" xfId="5374" xr:uid="{00000000-0005-0000-0000-000086110000}"/>
    <cellStyle name="Calculation 20 2 9" xfId="5375" xr:uid="{00000000-0005-0000-0000-000087110000}"/>
    <cellStyle name="Calculation 20 3" xfId="5376" xr:uid="{00000000-0005-0000-0000-000088110000}"/>
    <cellStyle name="Calculation 20 3 2" xfId="5377" xr:uid="{00000000-0005-0000-0000-000089110000}"/>
    <cellStyle name="Calculation 20 4" xfId="5378" xr:uid="{00000000-0005-0000-0000-00008A110000}"/>
    <cellStyle name="Calculation 20 4 2" xfId="5379" xr:uid="{00000000-0005-0000-0000-00008B110000}"/>
    <cellStyle name="Calculation 20 5" xfId="5380" xr:uid="{00000000-0005-0000-0000-00008C110000}"/>
    <cellStyle name="Calculation 20 5 2" xfId="5381" xr:uid="{00000000-0005-0000-0000-00008D110000}"/>
    <cellStyle name="Calculation 20 6" xfId="5382" xr:uid="{00000000-0005-0000-0000-00008E110000}"/>
    <cellStyle name="Calculation 20 6 2" xfId="5383" xr:uid="{00000000-0005-0000-0000-00008F110000}"/>
    <cellStyle name="Calculation 20 7" xfId="5384" xr:uid="{00000000-0005-0000-0000-000090110000}"/>
    <cellStyle name="Calculation 20 7 2" xfId="5385" xr:uid="{00000000-0005-0000-0000-000091110000}"/>
    <cellStyle name="Calculation 20 8" xfId="5386" xr:uid="{00000000-0005-0000-0000-000092110000}"/>
    <cellStyle name="Calculation 20 8 2" xfId="5387" xr:uid="{00000000-0005-0000-0000-000093110000}"/>
    <cellStyle name="Calculation 20 9" xfId="5388" xr:uid="{00000000-0005-0000-0000-000094110000}"/>
    <cellStyle name="Calculation 20 9 2" xfId="5389" xr:uid="{00000000-0005-0000-0000-000095110000}"/>
    <cellStyle name="Calculation 21" xfId="1319" xr:uid="{00000000-0005-0000-0000-000096110000}"/>
    <cellStyle name="Calculation 21 10" xfId="5390" xr:uid="{00000000-0005-0000-0000-000097110000}"/>
    <cellStyle name="Calculation 21 2" xfId="5391" xr:uid="{00000000-0005-0000-0000-000098110000}"/>
    <cellStyle name="Calculation 21 2 2" xfId="5392" xr:uid="{00000000-0005-0000-0000-000099110000}"/>
    <cellStyle name="Calculation 21 2 2 2" xfId="5393" xr:uid="{00000000-0005-0000-0000-00009A110000}"/>
    <cellStyle name="Calculation 21 2 3" xfId="5394" xr:uid="{00000000-0005-0000-0000-00009B110000}"/>
    <cellStyle name="Calculation 21 2 3 2" xfId="5395" xr:uid="{00000000-0005-0000-0000-00009C110000}"/>
    <cellStyle name="Calculation 21 2 4" xfId="5396" xr:uid="{00000000-0005-0000-0000-00009D110000}"/>
    <cellStyle name="Calculation 21 2 4 2" xfId="5397" xr:uid="{00000000-0005-0000-0000-00009E110000}"/>
    <cellStyle name="Calculation 21 2 5" xfId="5398" xr:uid="{00000000-0005-0000-0000-00009F110000}"/>
    <cellStyle name="Calculation 21 2 5 2" xfId="5399" xr:uid="{00000000-0005-0000-0000-0000A0110000}"/>
    <cellStyle name="Calculation 21 2 6" xfId="5400" xr:uid="{00000000-0005-0000-0000-0000A1110000}"/>
    <cellStyle name="Calculation 21 2 6 2" xfId="5401" xr:uid="{00000000-0005-0000-0000-0000A2110000}"/>
    <cellStyle name="Calculation 21 2 7" xfId="5402" xr:uid="{00000000-0005-0000-0000-0000A3110000}"/>
    <cellStyle name="Calculation 21 2 7 2" xfId="5403" xr:uid="{00000000-0005-0000-0000-0000A4110000}"/>
    <cellStyle name="Calculation 21 2 8" xfId="5404" xr:uid="{00000000-0005-0000-0000-0000A5110000}"/>
    <cellStyle name="Calculation 21 2 8 2" xfId="5405" xr:uid="{00000000-0005-0000-0000-0000A6110000}"/>
    <cellStyle name="Calculation 21 2 9" xfId="5406" xr:uid="{00000000-0005-0000-0000-0000A7110000}"/>
    <cellStyle name="Calculation 21 3" xfId="5407" xr:uid="{00000000-0005-0000-0000-0000A8110000}"/>
    <cellStyle name="Calculation 21 3 2" xfId="5408" xr:uid="{00000000-0005-0000-0000-0000A9110000}"/>
    <cellStyle name="Calculation 21 4" xfId="5409" xr:uid="{00000000-0005-0000-0000-0000AA110000}"/>
    <cellStyle name="Calculation 21 4 2" xfId="5410" xr:uid="{00000000-0005-0000-0000-0000AB110000}"/>
    <cellStyle name="Calculation 21 5" xfId="5411" xr:uid="{00000000-0005-0000-0000-0000AC110000}"/>
    <cellStyle name="Calculation 21 5 2" xfId="5412" xr:uid="{00000000-0005-0000-0000-0000AD110000}"/>
    <cellStyle name="Calculation 21 6" xfId="5413" xr:uid="{00000000-0005-0000-0000-0000AE110000}"/>
    <cellStyle name="Calculation 21 6 2" xfId="5414" xr:uid="{00000000-0005-0000-0000-0000AF110000}"/>
    <cellStyle name="Calculation 21 7" xfId="5415" xr:uid="{00000000-0005-0000-0000-0000B0110000}"/>
    <cellStyle name="Calculation 21 7 2" xfId="5416" xr:uid="{00000000-0005-0000-0000-0000B1110000}"/>
    <cellStyle name="Calculation 21 8" xfId="5417" xr:uid="{00000000-0005-0000-0000-0000B2110000}"/>
    <cellStyle name="Calculation 21 8 2" xfId="5418" xr:uid="{00000000-0005-0000-0000-0000B3110000}"/>
    <cellStyle name="Calculation 21 9" xfId="5419" xr:uid="{00000000-0005-0000-0000-0000B4110000}"/>
    <cellStyle name="Calculation 21 9 2" xfId="5420" xr:uid="{00000000-0005-0000-0000-0000B5110000}"/>
    <cellStyle name="Calculation 22" xfId="1320" xr:uid="{00000000-0005-0000-0000-0000B6110000}"/>
    <cellStyle name="Calculation 22 2" xfId="5421" xr:uid="{00000000-0005-0000-0000-0000B7110000}"/>
    <cellStyle name="Calculation 22 2 2" xfId="5422" xr:uid="{00000000-0005-0000-0000-0000B8110000}"/>
    <cellStyle name="Calculation 22 3" xfId="5423" xr:uid="{00000000-0005-0000-0000-0000B9110000}"/>
    <cellStyle name="Calculation 22 3 2" xfId="5424" xr:uid="{00000000-0005-0000-0000-0000BA110000}"/>
    <cellStyle name="Calculation 22 4" xfId="5425" xr:uid="{00000000-0005-0000-0000-0000BB110000}"/>
    <cellStyle name="Calculation 22 4 2" xfId="5426" xr:uid="{00000000-0005-0000-0000-0000BC110000}"/>
    <cellStyle name="Calculation 22 5" xfId="5427" xr:uid="{00000000-0005-0000-0000-0000BD110000}"/>
    <cellStyle name="Calculation 22 5 2" xfId="5428" xr:uid="{00000000-0005-0000-0000-0000BE110000}"/>
    <cellStyle name="Calculation 22 6" xfId="5429" xr:uid="{00000000-0005-0000-0000-0000BF110000}"/>
    <cellStyle name="Calculation 22 6 2" xfId="5430" xr:uid="{00000000-0005-0000-0000-0000C0110000}"/>
    <cellStyle name="Calculation 22 7" xfId="5431" xr:uid="{00000000-0005-0000-0000-0000C1110000}"/>
    <cellStyle name="Calculation 22 7 2" xfId="5432" xr:uid="{00000000-0005-0000-0000-0000C2110000}"/>
    <cellStyle name="Calculation 22 8" xfId="5433" xr:uid="{00000000-0005-0000-0000-0000C3110000}"/>
    <cellStyle name="Calculation 22 8 2" xfId="5434" xr:uid="{00000000-0005-0000-0000-0000C4110000}"/>
    <cellStyle name="Calculation 22 9" xfId="5435" xr:uid="{00000000-0005-0000-0000-0000C5110000}"/>
    <cellStyle name="Calculation 3" xfId="1321" xr:uid="{00000000-0005-0000-0000-0000C6110000}"/>
    <cellStyle name="Calculation 3 10" xfId="5436" xr:uid="{00000000-0005-0000-0000-0000C7110000}"/>
    <cellStyle name="Calculation 3 11" xfId="5437" xr:uid="{00000000-0005-0000-0000-0000C8110000}"/>
    <cellStyle name="Calculation 3 2" xfId="5438" xr:uid="{00000000-0005-0000-0000-0000C9110000}"/>
    <cellStyle name="Calculation 3 2 10" xfId="5439" xr:uid="{00000000-0005-0000-0000-0000CA110000}"/>
    <cellStyle name="Calculation 3 2 2" xfId="5440" xr:uid="{00000000-0005-0000-0000-0000CB110000}"/>
    <cellStyle name="Calculation 3 2 2 2" xfId="5441" xr:uid="{00000000-0005-0000-0000-0000CC110000}"/>
    <cellStyle name="Calculation 3 2 3" xfId="5442" xr:uid="{00000000-0005-0000-0000-0000CD110000}"/>
    <cellStyle name="Calculation 3 2 3 2" xfId="5443" xr:uid="{00000000-0005-0000-0000-0000CE110000}"/>
    <cellStyle name="Calculation 3 2 4" xfId="5444" xr:uid="{00000000-0005-0000-0000-0000CF110000}"/>
    <cellStyle name="Calculation 3 2 4 2" xfId="5445" xr:uid="{00000000-0005-0000-0000-0000D0110000}"/>
    <cellStyle name="Calculation 3 2 5" xfId="5446" xr:uid="{00000000-0005-0000-0000-0000D1110000}"/>
    <cellStyle name="Calculation 3 2 5 2" xfId="5447" xr:uid="{00000000-0005-0000-0000-0000D2110000}"/>
    <cellStyle name="Calculation 3 2 6" xfId="5448" xr:uid="{00000000-0005-0000-0000-0000D3110000}"/>
    <cellStyle name="Calculation 3 2 6 2" xfId="5449" xr:uid="{00000000-0005-0000-0000-0000D4110000}"/>
    <cellStyle name="Calculation 3 2 7" xfId="5450" xr:uid="{00000000-0005-0000-0000-0000D5110000}"/>
    <cellStyle name="Calculation 3 2 7 2" xfId="5451" xr:uid="{00000000-0005-0000-0000-0000D6110000}"/>
    <cellStyle name="Calculation 3 2 8" xfId="5452" xr:uid="{00000000-0005-0000-0000-0000D7110000}"/>
    <cellStyle name="Calculation 3 2 8 2" xfId="5453" xr:uid="{00000000-0005-0000-0000-0000D8110000}"/>
    <cellStyle name="Calculation 3 2 9" xfId="5454" xr:uid="{00000000-0005-0000-0000-0000D9110000}"/>
    <cellStyle name="Calculation 3 3" xfId="5455" xr:uid="{00000000-0005-0000-0000-0000DA110000}"/>
    <cellStyle name="Calculation 3 3 2" xfId="5456" xr:uid="{00000000-0005-0000-0000-0000DB110000}"/>
    <cellStyle name="Calculation 3 4" xfId="5457" xr:uid="{00000000-0005-0000-0000-0000DC110000}"/>
    <cellStyle name="Calculation 3 4 2" xfId="5458" xr:uid="{00000000-0005-0000-0000-0000DD110000}"/>
    <cellStyle name="Calculation 3 5" xfId="5459" xr:uid="{00000000-0005-0000-0000-0000DE110000}"/>
    <cellStyle name="Calculation 3 5 2" xfId="5460" xr:uid="{00000000-0005-0000-0000-0000DF110000}"/>
    <cellStyle name="Calculation 3 6" xfId="5461" xr:uid="{00000000-0005-0000-0000-0000E0110000}"/>
    <cellStyle name="Calculation 3 6 2" xfId="5462" xr:uid="{00000000-0005-0000-0000-0000E1110000}"/>
    <cellStyle name="Calculation 3 7" xfId="5463" xr:uid="{00000000-0005-0000-0000-0000E2110000}"/>
    <cellStyle name="Calculation 3 7 2" xfId="5464" xr:uid="{00000000-0005-0000-0000-0000E3110000}"/>
    <cellStyle name="Calculation 3 8" xfId="5465" xr:uid="{00000000-0005-0000-0000-0000E4110000}"/>
    <cellStyle name="Calculation 3 8 2" xfId="5466" xr:uid="{00000000-0005-0000-0000-0000E5110000}"/>
    <cellStyle name="Calculation 3 9" xfId="5467" xr:uid="{00000000-0005-0000-0000-0000E6110000}"/>
    <cellStyle name="Calculation 3 9 2" xfId="5468" xr:uid="{00000000-0005-0000-0000-0000E7110000}"/>
    <cellStyle name="Calculation 4" xfId="1322" xr:uid="{00000000-0005-0000-0000-0000E8110000}"/>
    <cellStyle name="Calculation 4 10" xfId="5469" xr:uid="{00000000-0005-0000-0000-0000E9110000}"/>
    <cellStyle name="Calculation 4 11" xfId="5470" xr:uid="{00000000-0005-0000-0000-0000EA110000}"/>
    <cellStyle name="Calculation 4 12" xfId="5471" xr:uid="{00000000-0005-0000-0000-0000EB110000}"/>
    <cellStyle name="Calculation 4 2" xfId="5472" xr:uid="{00000000-0005-0000-0000-0000EC110000}"/>
    <cellStyle name="Calculation 4 2 2" xfId="5473" xr:uid="{00000000-0005-0000-0000-0000ED110000}"/>
    <cellStyle name="Calculation 4 2 2 2" xfId="5474" xr:uid="{00000000-0005-0000-0000-0000EE110000}"/>
    <cellStyle name="Calculation 4 2 3" xfId="5475" xr:uid="{00000000-0005-0000-0000-0000EF110000}"/>
    <cellStyle name="Calculation 4 2 3 2" xfId="5476" xr:uid="{00000000-0005-0000-0000-0000F0110000}"/>
    <cellStyle name="Calculation 4 2 4" xfId="5477" xr:uid="{00000000-0005-0000-0000-0000F1110000}"/>
    <cellStyle name="Calculation 4 2 4 2" xfId="5478" xr:uid="{00000000-0005-0000-0000-0000F2110000}"/>
    <cellStyle name="Calculation 4 2 5" xfId="5479" xr:uid="{00000000-0005-0000-0000-0000F3110000}"/>
    <cellStyle name="Calculation 4 2 5 2" xfId="5480" xr:uid="{00000000-0005-0000-0000-0000F4110000}"/>
    <cellStyle name="Calculation 4 2 6" xfId="5481" xr:uid="{00000000-0005-0000-0000-0000F5110000}"/>
    <cellStyle name="Calculation 4 2 6 2" xfId="5482" xr:uid="{00000000-0005-0000-0000-0000F6110000}"/>
    <cellStyle name="Calculation 4 2 7" xfId="5483" xr:uid="{00000000-0005-0000-0000-0000F7110000}"/>
    <cellStyle name="Calculation 4 2 7 2" xfId="5484" xr:uid="{00000000-0005-0000-0000-0000F8110000}"/>
    <cellStyle name="Calculation 4 2 8" xfId="5485" xr:uid="{00000000-0005-0000-0000-0000F9110000}"/>
    <cellStyle name="Calculation 4 2 8 2" xfId="5486" xr:uid="{00000000-0005-0000-0000-0000FA110000}"/>
    <cellStyle name="Calculation 4 2 9" xfId="5487" xr:uid="{00000000-0005-0000-0000-0000FB110000}"/>
    <cellStyle name="Calculation 4 3" xfId="5488" xr:uid="{00000000-0005-0000-0000-0000FC110000}"/>
    <cellStyle name="Calculation 4 3 2" xfId="5489" xr:uid="{00000000-0005-0000-0000-0000FD110000}"/>
    <cellStyle name="Calculation 4 4" xfId="5490" xr:uid="{00000000-0005-0000-0000-0000FE110000}"/>
    <cellStyle name="Calculation 4 4 2" xfId="5491" xr:uid="{00000000-0005-0000-0000-0000FF110000}"/>
    <cellStyle name="Calculation 4 5" xfId="5492" xr:uid="{00000000-0005-0000-0000-000000120000}"/>
    <cellStyle name="Calculation 4 5 2" xfId="5493" xr:uid="{00000000-0005-0000-0000-000001120000}"/>
    <cellStyle name="Calculation 4 6" xfId="5494" xr:uid="{00000000-0005-0000-0000-000002120000}"/>
    <cellStyle name="Calculation 4 6 2" xfId="5495" xr:uid="{00000000-0005-0000-0000-000003120000}"/>
    <cellStyle name="Calculation 4 7" xfId="5496" xr:uid="{00000000-0005-0000-0000-000004120000}"/>
    <cellStyle name="Calculation 4 7 2" xfId="5497" xr:uid="{00000000-0005-0000-0000-000005120000}"/>
    <cellStyle name="Calculation 4 8" xfId="5498" xr:uid="{00000000-0005-0000-0000-000006120000}"/>
    <cellStyle name="Calculation 4 8 2" xfId="5499" xr:uid="{00000000-0005-0000-0000-000007120000}"/>
    <cellStyle name="Calculation 4 9" xfId="5500" xr:uid="{00000000-0005-0000-0000-000008120000}"/>
    <cellStyle name="Calculation 4 9 2" xfId="5501" xr:uid="{00000000-0005-0000-0000-000009120000}"/>
    <cellStyle name="Calculation 5" xfId="1323" xr:uid="{00000000-0005-0000-0000-00000A120000}"/>
    <cellStyle name="Calculation 5 10" xfId="5502" xr:uid="{00000000-0005-0000-0000-00000B120000}"/>
    <cellStyle name="Calculation 5 11" xfId="5503" xr:uid="{00000000-0005-0000-0000-00000C120000}"/>
    <cellStyle name="Calculation 5 12" xfId="5504" xr:uid="{00000000-0005-0000-0000-00000D120000}"/>
    <cellStyle name="Calculation 5 2" xfId="5505" xr:uid="{00000000-0005-0000-0000-00000E120000}"/>
    <cellStyle name="Calculation 5 2 2" xfId="5506" xr:uid="{00000000-0005-0000-0000-00000F120000}"/>
    <cellStyle name="Calculation 5 2 2 2" xfId="5507" xr:uid="{00000000-0005-0000-0000-000010120000}"/>
    <cellStyle name="Calculation 5 2 3" xfId="5508" xr:uid="{00000000-0005-0000-0000-000011120000}"/>
    <cellStyle name="Calculation 5 2 3 2" xfId="5509" xr:uid="{00000000-0005-0000-0000-000012120000}"/>
    <cellStyle name="Calculation 5 2 4" xfId="5510" xr:uid="{00000000-0005-0000-0000-000013120000}"/>
    <cellStyle name="Calculation 5 2 4 2" xfId="5511" xr:uid="{00000000-0005-0000-0000-000014120000}"/>
    <cellStyle name="Calculation 5 2 5" xfId="5512" xr:uid="{00000000-0005-0000-0000-000015120000}"/>
    <cellStyle name="Calculation 5 2 5 2" xfId="5513" xr:uid="{00000000-0005-0000-0000-000016120000}"/>
    <cellStyle name="Calculation 5 2 6" xfId="5514" xr:uid="{00000000-0005-0000-0000-000017120000}"/>
    <cellStyle name="Calculation 5 2 6 2" xfId="5515" xr:uid="{00000000-0005-0000-0000-000018120000}"/>
    <cellStyle name="Calculation 5 2 7" xfId="5516" xr:uid="{00000000-0005-0000-0000-000019120000}"/>
    <cellStyle name="Calculation 5 2 7 2" xfId="5517" xr:uid="{00000000-0005-0000-0000-00001A120000}"/>
    <cellStyle name="Calculation 5 2 8" xfId="5518" xr:uid="{00000000-0005-0000-0000-00001B120000}"/>
    <cellStyle name="Calculation 5 2 8 2" xfId="5519" xr:uid="{00000000-0005-0000-0000-00001C120000}"/>
    <cellStyle name="Calculation 5 2 9" xfId="5520" xr:uid="{00000000-0005-0000-0000-00001D120000}"/>
    <cellStyle name="Calculation 5 3" xfId="5521" xr:uid="{00000000-0005-0000-0000-00001E120000}"/>
    <cellStyle name="Calculation 5 3 2" xfId="5522" xr:uid="{00000000-0005-0000-0000-00001F120000}"/>
    <cellStyle name="Calculation 5 4" xfId="5523" xr:uid="{00000000-0005-0000-0000-000020120000}"/>
    <cellStyle name="Calculation 5 4 2" xfId="5524" xr:uid="{00000000-0005-0000-0000-000021120000}"/>
    <cellStyle name="Calculation 5 5" xfId="5525" xr:uid="{00000000-0005-0000-0000-000022120000}"/>
    <cellStyle name="Calculation 5 5 2" xfId="5526" xr:uid="{00000000-0005-0000-0000-000023120000}"/>
    <cellStyle name="Calculation 5 6" xfId="5527" xr:uid="{00000000-0005-0000-0000-000024120000}"/>
    <cellStyle name="Calculation 5 6 2" xfId="5528" xr:uid="{00000000-0005-0000-0000-000025120000}"/>
    <cellStyle name="Calculation 5 7" xfId="5529" xr:uid="{00000000-0005-0000-0000-000026120000}"/>
    <cellStyle name="Calculation 5 7 2" xfId="5530" xr:uid="{00000000-0005-0000-0000-000027120000}"/>
    <cellStyle name="Calculation 5 8" xfId="5531" xr:uid="{00000000-0005-0000-0000-000028120000}"/>
    <cellStyle name="Calculation 5 8 2" xfId="5532" xr:uid="{00000000-0005-0000-0000-000029120000}"/>
    <cellStyle name="Calculation 5 9" xfId="5533" xr:uid="{00000000-0005-0000-0000-00002A120000}"/>
    <cellStyle name="Calculation 5 9 2" xfId="5534" xr:uid="{00000000-0005-0000-0000-00002B120000}"/>
    <cellStyle name="Calculation 6" xfId="1324" xr:uid="{00000000-0005-0000-0000-00002C120000}"/>
    <cellStyle name="Calculation 6 10" xfId="5535" xr:uid="{00000000-0005-0000-0000-00002D120000}"/>
    <cellStyle name="Calculation 6 11" xfId="5536" xr:uid="{00000000-0005-0000-0000-00002E120000}"/>
    <cellStyle name="Calculation 6 12" xfId="5537" xr:uid="{00000000-0005-0000-0000-00002F120000}"/>
    <cellStyle name="Calculation 6 2" xfId="5538" xr:uid="{00000000-0005-0000-0000-000030120000}"/>
    <cellStyle name="Calculation 6 2 2" xfId="5539" xr:uid="{00000000-0005-0000-0000-000031120000}"/>
    <cellStyle name="Calculation 6 2 2 2" xfId="5540" xr:uid="{00000000-0005-0000-0000-000032120000}"/>
    <cellStyle name="Calculation 6 2 3" xfId="5541" xr:uid="{00000000-0005-0000-0000-000033120000}"/>
    <cellStyle name="Calculation 6 2 3 2" xfId="5542" xr:uid="{00000000-0005-0000-0000-000034120000}"/>
    <cellStyle name="Calculation 6 2 4" xfId="5543" xr:uid="{00000000-0005-0000-0000-000035120000}"/>
    <cellStyle name="Calculation 6 2 4 2" xfId="5544" xr:uid="{00000000-0005-0000-0000-000036120000}"/>
    <cellStyle name="Calculation 6 2 5" xfId="5545" xr:uid="{00000000-0005-0000-0000-000037120000}"/>
    <cellStyle name="Calculation 6 2 5 2" xfId="5546" xr:uid="{00000000-0005-0000-0000-000038120000}"/>
    <cellStyle name="Calculation 6 2 6" xfId="5547" xr:uid="{00000000-0005-0000-0000-000039120000}"/>
    <cellStyle name="Calculation 6 2 6 2" xfId="5548" xr:uid="{00000000-0005-0000-0000-00003A120000}"/>
    <cellStyle name="Calculation 6 2 7" xfId="5549" xr:uid="{00000000-0005-0000-0000-00003B120000}"/>
    <cellStyle name="Calculation 6 2 7 2" xfId="5550" xr:uid="{00000000-0005-0000-0000-00003C120000}"/>
    <cellStyle name="Calculation 6 2 8" xfId="5551" xr:uid="{00000000-0005-0000-0000-00003D120000}"/>
    <cellStyle name="Calculation 6 2 8 2" xfId="5552" xr:uid="{00000000-0005-0000-0000-00003E120000}"/>
    <cellStyle name="Calculation 6 2 9" xfId="5553" xr:uid="{00000000-0005-0000-0000-00003F120000}"/>
    <cellStyle name="Calculation 6 3" xfId="5554" xr:uid="{00000000-0005-0000-0000-000040120000}"/>
    <cellStyle name="Calculation 6 3 2" xfId="5555" xr:uid="{00000000-0005-0000-0000-000041120000}"/>
    <cellStyle name="Calculation 6 4" xfId="5556" xr:uid="{00000000-0005-0000-0000-000042120000}"/>
    <cellStyle name="Calculation 6 4 2" xfId="5557" xr:uid="{00000000-0005-0000-0000-000043120000}"/>
    <cellStyle name="Calculation 6 5" xfId="5558" xr:uid="{00000000-0005-0000-0000-000044120000}"/>
    <cellStyle name="Calculation 6 5 2" xfId="5559" xr:uid="{00000000-0005-0000-0000-000045120000}"/>
    <cellStyle name="Calculation 6 6" xfId="5560" xr:uid="{00000000-0005-0000-0000-000046120000}"/>
    <cellStyle name="Calculation 6 6 2" xfId="5561" xr:uid="{00000000-0005-0000-0000-000047120000}"/>
    <cellStyle name="Calculation 6 7" xfId="5562" xr:uid="{00000000-0005-0000-0000-000048120000}"/>
    <cellStyle name="Calculation 6 7 2" xfId="5563" xr:uid="{00000000-0005-0000-0000-000049120000}"/>
    <cellStyle name="Calculation 6 8" xfId="5564" xr:uid="{00000000-0005-0000-0000-00004A120000}"/>
    <cellStyle name="Calculation 6 8 2" xfId="5565" xr:uid="{00000000-0005-0000-0000-00004B120000}"/>
    <cellStyle name="Calculation 6 9" xfId="5566" xr:uid="{00000000-0005-0000-0000-00004C120000}"/>
    <cellStyle name="Calculation 6 9 2" xfId="5567" xr:uid="{00000000-0005-0000-0000-00004D120000}"/>
    <cellStyle name="Calculation 7" xfId="1325" xr:uid="{00000000-0005-0000-0000-00004E120000}"/>
    <cellStyle name="Calculation 7 10" xfId="5568" xr:uid="{00000000-0005-0000-0000-00004F120000}"/>
    <cellStyle name="Calculation 7 11" xfId="5569" xr:uid="{00000000-0005-0000-0000-000050120000}"/>
    <cellStyle name="Calculation 7 12" xfId="5570" xr:uid="{00000000-0005-0000-0000-000051120000}"/>
    <cellStyle name="Calculation 7 2" xfId="5571" xr:uid="{00000000-0005-0000-0000-000052120000}"/>
    <cellStyle name="Calculation 7 2 2" xfId="5572" xr:uid="{00000000-0005-0000-0000-000053120000}"/>
    <cellStyle name="Calculation 7 2 2 2" xfId="5573" xr:uid="{00000000-0005-0000-0000-000054120000}"/>
    <cellStyle name="Calculation 7 2 3" xfId="5574" xr:uid="{00000000-0005-0000-0000-000055120000}"/>
    <cellStyle name="Calculation 7 2 3 2" xfId="5575" xr:uid="{00000000-0005-0000-0000-000056120000}"/>
    <cellStyle name="Calculation 7 2 4" xfId="5576" xr:uid="{00000000-0005-0000-0000-000057120000}"/>
    <cellStyle name="Calculation 7 2 4 2" xfId="5577" xr:uid="{00000000-0005-0000-0000-000058120000}"/>
    <cellStyle name="Calculation 7 2 5" xfId="5578" xr:uid="{00000000-0005-0000-0000-000059120000}"/>
    <cellStyle name="Calculation 7 2 5 2" xfId="5579" xr:uid="{00000000-0005-0000-0000-00005A120000}"/>
    <cellStyle name="Calculation 7 2 6" xfId="5580" xr:uid="{00000000-0005-0000-0000-00005B120000}"/>
    <cellStyle name="Calculation 7 2 6 2" xfId="5581" xr:uid="{00000000-0005-0000-0000-00005C120000}"/>
    <cellStyle name="Calculation 7 2 7" xfId="5582" xr:uid="{00000000-0005-0000-0000-00005D120000}"/>
    <cellStyle name="Calculation 7 2 7 2" xfId="5583" xr:uid="{00000000-0005-0000-0000-00005E120000}"/>
    <cellStyle name="Calculation 7 2 8" xfId="5584" xr:uid="{00000000-0005-0000-0000-00005F120000}"/>
    <cellStyle name="Calculation 7 2 8 2" xfId="5585" xr:uid="{00000000-0005-0000-0000-000060120000}"/>
    <cellStyle name="Calculation 7 2 9" xfId="5586" xr:uid="{00000000-0005-0000-0000-000061120000}"/>
    <cellStyle name="Calculation 7 3" xfId="5587" xr:uid="{00000000-0005-0000-0000-000062120000}"/>
    <cellStyle name="Calculation 7 3 2" xfId="5588" xr:uid="{00000000-0005-0000-0000-000063120000}"/>
    <cellStyle name="Calculation 7 4" xfId="5589" xr:uid="{00000000-0005-0000-0000-000064120000}"/>
    <cellStyle name="Calculation 7 4 2" xfId="5590" xr:uid="{00000000-0005-0000-0000-000065120000}"/>
    <cellStyle name="Calculation 7 5" xfId="5591" xr:uid="{00000000-0005-0000-0000-000066120000}"/>
    <cellStyle name="Calculation 7 5 2" xfId="5592" xr:uid="{00000000-0005-0000-0000-000067120000}"/>
    <cellStyle name="Calculation 7 6" xfId="5593" xr:uid="{00000000-0005-0000-0000-000068120000}"/>
    <cellStyle name="Calculation 7 6 2" xfId="5594" xr:uid="{00000000-0005-0000-0000-000069120000}"/>
    <cellStyle name="Calculation 7 7" xfId="5595" xr:uid="{00000000-0005-0000-0000-00006A120000}"/>
    <cellStyle name="Calculation 7 7 2" xfId="5596" xr:uid="{00000000-0005-0000-0000-00006B120000}"/>
    <cellStyle name="Calculation 7 8" xfId="5597" xr:uid="{00000000-0005-0000-0000-00006C120000}"/>
    <cellStyle name="Calculation 7 8 2" xfId="5598" xr:uid="{00000000-0005-0000-0000-00006D120000}"/>
    <cellStyle name="Calculation 7 9" xfId="5599" xr:uid="{00000000-0005-0000-0000-00006E120000}"/>
    <cellStyle name="Calculation 7 9 2" xfId="5600" xr:uid="{00000000-0005-0000-0000-00006F120000}"/>
    <cellStyle name="Calculation 8" xfId="1326" xr:uid="{00000000-0005-0000-0000-000070120000}"/>
    <cellStyle name="Calculation 8 10" xfId="5601" xr:uid="{00000000-0005-0000-0000-000071120000}"/>
    <cellStyle name="Calculation 8 11" xfId="5602" xr:uid="{00000000-0005-0000-0000-000072120000}"/>
    <cellStyle name="Calculation 8 12" xfId="5603" xr:uid="{00000000-0005-0000-0000-000073120000}"/>
    <cellStyle name="Calculation 8 2" xfId="5604" xr:uid="{00000000-0005-0000-0000-000074120000}"/>
    <cellStyle name="Calculation 8 2 2" xfId="5605" xr:uid="{00000000-0005-0000-0000-000075120000}"/>
    <cellStyle name="Calculation 8 2 2 2" xfId="5606" xr:uid="{00000000-0005-0000-0000-000076120000}"/>
    <cellStyle name="Calculation 8 2 3" xfId="5607" xr:uid="{00000000-0005-0000-0000-000077120000}"/>
    <cellStyle name="Calculation 8 2 3 2" xfId="5608" xr:uid="{00000000-0005-0000-0000-000078120000}"/>
    <cellStyle name="Calculation 8 2 4" xfId="5609" xr:uid="{00000000-0005-0000-0000-000079120000}"/>
    <cellStyle name="Calculation 8 2 4 2" xfId="5610" xr:uid="{00000000-0005-0000-0000-00007A120000}"/>
    <cellStyle name="Calculation 8 2 5" xfId="5611" xr:uid="{00000000-0005-0000-0000-00007B120000}"/>
    <cellStyle name="Calculation 8 2 5 2" xfId="5612" xr:uid="{00000000-0005-0000-0000-00007C120000}"/>
    <cellStyle name="Calculation 8 2 6" xfId="5613" xr:uid="{00000000-0005-0000-0000-00007D120000}"/>
    <cellStyle name="Calculation 8 2 6 2" xfId="5614" xr:uid="{00000000-0005-0000-0000-00007E120000}"/>
    <cellStyle name="Calculation 8 2 7" xfId="5615" xr:uid="{00000000-0005-0000-0000-00007F120000}"/>
    <cellStyle name="Calculation 8 2 7 2" xfId="5616" xr:uid="{00000000-0005-0000-0000-000080120000}"/>
    <cellStyle name="Calculation 8 2 8" xfId="5617" xr:uid="{00000000-0005-0000-0000-000081120000}"/>
    <cellStyle name="Calculation 8 2 8 2" xfId="5618" xr:uid="{00000000-0005-0000-0000-000082120000}"/>
    <cellStyle name="Calculation 8 2 9" xfId="5619" xr:uid="{00000000-0005-0000-0000-000083120000}"/>
    <cellStyle name="Calculation 8 3" xfId="5620" xr:uid="{00000000-0005-0000-0000-000084120000}"/>
    <cellStyle name="Calculation 8 3 2" xfId="5621" xr:uid="{00000000-0005-0000-0000-000085120000}"/>
    <cellStyle name="Calculation 8 4" xfId="5622" xr:uid="{00000000-0005-0000-0000-000086120000}"/>
    <cellStyle name="Calculation 8 4 2" xfId="5623" xr:uid="{00000000-0005-0000-0000-000087120000}"/>
    <cellStyle name="Calculation 8 5" xfId="5624" xr:uid="{00000000-0005-0000-0000-000088120000}"/>
    <cellStyle name="Calculation 8 5 2" xfId="5625" xr:uid="{00000000-0005-0000-0000-000089120000}"/>
    <cellStyle name="Calculation 8 6" xfId="5626" xr:uid="{00000000-0005-0000-0000-00008A120000}"/>
    <cellStyle name="Calculation 8 6 2" xfId="5627" xr:uid="{00000000-0005-0000-0000-00008B120000}"/>
    <cellStyle name="Calculation 8 7" xfId="5628" xr:uid="{00000000-0005-0000-0000-00008C120000}"/>
    <cellStyle name="Calculation 8 7 2" xfId="5629" xr:uid="{00000000-0005-0000-0000-00008D120000}"/>
    <cellStyle name="Calculation 8 8" xfId="5630" xr:uid="{00000000-0005-0000-0000-00008E120000}"/>
    <cellStyle name="Calculation 8 8 2" xfId="5631" xr:uid="{00000000-0005-0000-0000-00008F120000}"/>
    <cellStyle name="Calculation 8 9" xfId="5632" xr:uid="{00000000-0005-0000-0000-000090120000}"/>
    <cellStyle name="Calculation 8 9 2" xfId="5633" xr:uid="{00000000-0005-0000-0000-000091120000}"/>
    <cellStyle name="Calculation 9" xfId="1327" xr:uid="{00000000-0005-0000-0000-000092120000}"/>
    <cellStyle name="Calculation 9 10" xfId="5634" xr:uid="{00000000-0005-0000-0000-000093120000}"/>
    <cellStyle name="Calculation 9 11" xfId="5635" xr:uid="{00000000-0005-0000-0000-000094120000}"/>
    <cellStyle name="Calculation 9 12" xfId="5636" xr:uid="{00000000-0005-0000-0000-000095120000}"/>
    <cellStyle name="Calculation 9 2" xfId="5637" xr:uid="{00000000-0005-0000-0000-000096120000}"/>
    <cellStyle name="Calculation 9 2 2" xfId="5638" xr:uid="{00000000-0005-0000-0000-000097120000}"/>
    <cellStyle name="Calculation 9 2 2 2" xfId="5639" xr:uid="{00000000-0005-0000-0000-000098120000}"/>
    <cellStyle name="Calculation 9 2 3" xfId="5640" xr:uid="{00000000-0005-0000-0000-000099120000}"/>
    <cellStyle name="Calculation 9 2 3 2" xfId="5641" xr:uid="{00000000-0005-0000-0000-00009A120000}"/>
    <cellStyle name="Calculation 9 2 4" xfId="5642" xr:uid="{00000000-0005-0000-0000-00009B120000}"/>
    <cellStyle name="Calculation 9 2 4 2" xfId="5643" xr:uid="{00000000-0005-0000-0000-00009C120000}"/>
    <cellStyle name="Calculation 9 2 5" xfId="5644" xr:uid="{00000000-0005-0000-0000-00009D120000}"/>
    <cellStyle name="Calculation 9 2 5 2" xfId="5645" xr:uid="{00000000-0005-0000-0000-00009E120000}"/>
    <cellStyle name="Calculation 9 2 6" xfId="5646" xr:uid="{00000000-0005-0000-0000-00009F120000}"/>
    <cellStyle name="Calculation 9 2 6 2" xfId="5647" xr:uid="{00000000-0005-0000-0000-0000A0120000}"/>
    <cellStyle name="Calculation 9 2 7" xfId="5648" xr:uid="{00000000-0005-0000-0000-0000A1120000}"/>
    <cellStyle name="Calculation 9 2 7 2" xfId="5649" xr:uid="{00000000-0005-0000-0000-0000A2120000}"/>
    <cellStyle name="Calculation 9 2 8" xfId="5650" xr:uid="{00000000-0005-0000-0000-0000A3120000}"/>
    <cellStyle name="Calculation 9 2 8 2" xfId="5651" xr:uid="{00000000-0005-0000-0000-0000A4120000}"/>
    <cellStyle name="Calculation 9 2 9" xfId="5652" xr:uid="{00000000-0005-0000-0000-0000A5120000}"/>
    <cellStyle name="Calculation 9 3" xfId="5653" xr:uid="{00000000-0005-0000-0000-0000A6120000}"/>
    <cellStyle name="Calculation 9 3 2" xfId="5654" xr:uid="{00000000-0005-0000-0000-0000A7120000}"/>
    <cellStyle name="Calculation 9 4" xfId="5655" xr:uid="{00000000-0005-0000-0000-0000A8120000}"/>
    <cellStyle name="Calculation 9 4 2" xfId="5656" xr:uid="{00000000-0005-0000-0000-0000A9120000}"/>
    <cellStyle name="Calculation 9 5" xfId="5657" xr:uid="{00000000-0005-0000-0000-0000AA120000}"/>
    <cellStyle name="Calculation 9 5 2" xfId="5658" xr:uid="{00000000-0005-0000-0000-0000AB120000}"/>
    <cellStyle name="Calculation 9 6" xfId="5659" xr:uid="{00000000-0005-0000-0000-0000AC120000}"/>
    <cellStyle name="Calculation 9 6 2" xfId="5660" xr:uid="{00000000-0005-0000-0000-0000AD120000}"/>
    <cellStyle name="Calculation 9 7" xfId="5661" xr:uid="{00000000-0005-0000-0000-0000AE120000}"/>
    <cellStyle name="Calculation 9 7 2" xfId="5662" xr:uid="{00000000-0005-0000-0000-0000AF120000}"/>
    <cellStyle name="Calculation 9 8" xfId="5663" xr:uid="{00000000-0005-0000-0000-0000B0120000}"/>
    <cellStyle name="Calculation 9 8 2" xfId="5664" xr:uid="{00000000-0005-0000-0000-0000B1120000}"/>
    <cellStyle name="Calculation 9 9" xfId="5665" xr:uid="{00000000-0005-0000-0000-0000B2120000}"/>
    <cellStyle name="Calculation 9 9 2" xfId="5666" xr:uid="{00000000-0005-0000-0000-0000B3120000}"/>
    <cellStyle name="Check Cell" xfId="15173" builtinId="23" customBuiltin="1"/>
    <cellStyle name="Check Cell 10" xfId="1328" xr:uid="{00000000-0005-0000-0000-0000B5120000}"/>
    <cellStyle name="Check Cell 11" xfId="1329" xr:uid="{00000000-0005-0000-0000-0000B6120000}"/>
    <cellStyle name="Check Cell 12" xfId="1330" xr:uid="{00000000-0005-0000-0000-0000B7120000}"/>
    <cellStyle name="Check Cell 13" xfId="1331" xr:uid="{00000000-0005-0000-0000-0000B8120000}"/>
    <cellStyle name="Check Cell 14" xfId="1332" xr:uid="{00000000-0005-0000-0000-0000B9120000}"/>
    <cellStyle name="Check Cell 15" xfId="1333" xr:uid="{00000000-0005-0000-0000-0000BA120000}"/>
    <cellStyle name="Check Cell 16" xfId="1334" xr:uid="{00000000-0005-0000-0000-0000BB120000}"/>
    <cellStyle name="Check Cell 17" xfId="1335" xr:uid="{00000000-0005-0000-0000-0000BC120000}"/>
    <cellStyle name="Check Cell 18" xfId="1336" xr:uid="{00000000-0005-0000-0000-0000BD120000}"/>
    <cellStyle name="Check Cell 19" xfId="1337" xr:uid="{00000000-0005-0000-0000-0000BE120000}"/>
    <cellStyle name="Check Cell 2" xfId="1338" xr:uid="{00000000-0005-0000-0000-0000BF120000}"/>
    <cellStyle name="Check Cell 2 2" xfId="1339" xr:uid="{00000000-0005-0000-0000-0000C0120000}"/>
    <cellStyle name="Check Cell 2 2 2" xfId="1340" xr:uid="{00000000-0005-0000-0000-0000C1120000}"/>
    <cellStyle name="Check Cell 2 2 2 2" xfId="1341" xr:uid="{00000000-0005-0000-0000-0000C2120000}"/>
    <cellStyle name="Check Cell 2 2 2 3" xfId="1342" xr:uid="{00000000-0005-0000-0000-0000C3120000}"/>
    <cellStyle name="Check Cell 2 2 2 4" xfId="1343" xr:uid="{00000000-0005-0000-0000-0000C4120000}"/>
    <cellStyle name="Check Cell 2 2 2 5" xfId="1344" xr:uid="{00000000-0005-0000-0000-0000C5120000}"/>
    <cellStyle name="Check Cell 2 2 3" xfId="1345" xr:uid="{00000000-0005-0000-0000-0000C6120000}"/>
    <cellStyle name="Check Cell 2 2 4" xfId="1346" xr:uid="{00000000-0005-0000-0000-0000C7120000}"/>
    <cellStyle name="Check Cell 2 2 5" xfId="1347" xr:uid="{00000000-0005-0000-0000-0000C8120000}"/>
    <cellStyle name="Check Cell 2 3" xfId="1348" xr:uid="{00000000-0005-0000-0000-0000C9120000}"/>
    <cellStyle name="Check Cell 2 4" xfId="1349" xr:uid="{00000000-0005-0000-0000-0000CA120000}"/>
    <cellStyle name="Check Cell 2 5" xfId="1350" xr:uid="{00000000-0005-0000-0000-0000CB120000}"/>
    <cellStyle name="Check Cell 2 6" xfId="1351" xr:uid="{00000000-0005-0000-0000-0000CC120000}"/>
    <cellStyle name="Check Cell 2 7" xfId="1352" xr:uid="{00000000-0005-0000-0000-0000CD120000}"/>
    <cellStyle name="Check Cell 2 8" xfId="1353" xr:uid="{00000000-0005-0000-0000-0000CE120000}"/>
    <cellStyle name="Check Cell 2 9" xfId="1354" xr:uid="{00000000-0005-0000-0000-0000CF120000}"/>
    <cellStyle name="Check Cell 20" xfId="1355" xr:uid="{00000000-0005-0000-0000-0000D0120000}"/>
    <cellStyle name="Check Cell 21" xfId="1356" xr:uid="{00000000-0005-0000-0000-0000D1120000}"/>
    <cellStyle name="Check Cell 22" xfId="1357" xr:uid="{00000000-0005-0000-0000-0000D2120000}"/>
    <cellStyle name="Check Cell 3" xfId="1358" xr:uid="{00000000-0005-0000-0000-0000D3120000}"/>
    <cellStyle name="Check Cell 3 2" xfId="5667" xr:uid="{00000000-0005-0000-0000-0000D4120000}"/>
    <cellStyle name="Check Cell 4" xfId="1359" xr:uid="{00000000-0005-0000-0000-0000D5120000}"/>
    <cellStyle name="Check Cell 5" xfId="1360" xr:uid="{00000000-0005-0000-0000-0000D6120000}"/>
    <cellStyle name="Check Cell 6" xfId="1361" xr:uid="{00000000-0005-0000-0000-0000D7120000}"/>
    <cellStyle name="Check Cell 7" xfId="1362" xr:uid="{00000000-0005-0000-0000-0000D8120000}"/>
    <cellStyle name="Check Cell 8" xfId="1363" xr:uid="{00000000-0005-0000-0000-0000D9120000}"/>
    <cellStyle name="Check Cell 9" xfId="1364" xr:uid="{00000000-0005-0000-0000-0000DA120000}"/>
    <cellStyle name="CodeEingabe" xfId="5668" xr:uid="{00000000-0005-0000-0000-0000DB120000}"/>
    <cellStyle name="ColumnAttributeAbovePrompt" xfId="1" xr:uid="{00000000-0005-0000-0000-0000DC120000}"/>
    <cellStyle name="ColumnAttributeAbovePrompt 2" xfId="5670" xr:uid="{00000000-0005-0000-0000-0000DD120000}"/>
    <cellStyle name="ColumnAttributeAbovePrompt 2 2" xfId="5671" xr:uid="{00000000-0005-0000-0000-0000DE120000}"/>
    <cellStyle name="ColumnAttributeAbovePrompt 2 3" xfId="5672" xr:uid="{00000000-0005-0000-0000-0000DF120000}"/>
    <cellStyle name="ColumnAttributeAbovePrompt 3" xfId="5673" xr:uid="{00000000-0005-0000-0000-0000E0120000}"/>
    <cellStyle name="ColumnAttributeAbovePrompt 4" xfId="5669" xr:uid="{00000000-0005-0000-0000-0000E1120000}"/>
    <cellStyle name="ColumnAttributePrompt" xfId="2" xr:uid="{00000000-0005-0000-0000-0000E2120000}"/>
    <cellStyle name="ColumnAttributePrompt 2" xfId="5675" xr:uid="{00000000-0005-0000-0000-0000E3120000}"/>
    <cellStyle name="ColumnAttributePrompt 2 2" xfId="5676" xr:uid="{00000000-0005-0000-0000-0000E4120000}"/>
    <cellStyle name="ColumnAttributePrompt 2 3" xfId="5677" xr:uid="{00000000-0005-0000-0000-0000E5120000}"/>
    <cellStyle name="ColumnAttributePrompt 3" xfId="5678" xr:uid="{00000000-0005-0000-0000-0000E6120000}"/>
    <cellStyle name="ColumnAttributePrompt 4" xfId="5674" xr:uid="{00000000-0005-0000-0000-0000E7120000}"/>
    <cellStyle name="ColumnAttributeValue" xfId="3" xr:uid="{00000000-0005-0000-0000-0000E8120000}"/>
    <cellStyle name="ColumnAttributeValue 2" xfId="5680" xr:uid="{00000000-0005-0000-0000-0000E9120000}"/>
    <cellStyle name="ColumnAttributeValue 2 2" xfId="5681" xr:uid="{00000000-0005-0000-0000-0000EA120000}"/>
    <cellStyle name="ColumnAttributeValue 2 3" xfId="5682" xr:uid="{00000000-0005-0000-0000-0000EB120000}"/>
    <cellStyle name="ColumnAttributeValue 3" xfId="5683" xr:uid="{00000000-0005-0000-0000-0000EC120000}"/>
    <cellStyle name="ColumnAttributeValue 4" xfId="5679" xr:uid="{00000000-0005-0000-0000-0000ED120000}"/>
    <cellStyle name="ColumnHeadingPrompt" xfId="4" xr:uid="{00000000-0005-0000-0000-0000EE120000}"/>
    <cellStyle name="ColumnHeadingPrompt 2" xfId="5685" xr:uid="{00000000-0005-0000-0000-0000EF120000}"/>
    <cellStyle name="ColumnHeadingPrompt 2 2" xfId="5686" xr:uid="{00000000-0005-0000-0000-0000F0120000}"/>
    <cellStyle name="ColumnHeadingPrompt 2 3" xfId="5687" xr:uid="{00000000-0005-0000-0000-0000F1120000}"/>
    <cellStyle name="ColumnHeadingPrompt 3" xfId="5688" xr:uid="{00000000-0005-0000-0000-0000F2120000}"/>
    <cellStyle name="ColumnHeadingPrompt 4" xfId="5684" xr:uid="{00000000-0005-0000-0000-0000F3120000}"/>
    <cellStyle name="ColumnHeadingValue" xfId="5" xr:uid="{00000000-0005-0000-0000-0000F4120000}"/>
    <cellStyle name="ColumnHeadingValue 2" xfId="5690" xr:uid="{00000000-0005-0000-0000-0000F5120000}"/>
    <cellStyle name="ColumnHeadingValue 2 2" xfId="5691" xr:uid="{00000000-0005-0000-0000-0000F6120000}"/>
    <cellStyle name="ColumnHeadingValue 3" xfId="5692" xr:uid="{00000000-0005-0000-0000-0000F7120000}"/>
    <cellStyle name="ColumnHeadingValue 4" xfId="5689" xr:uid="{00000000-0005-0000-0000-0000F8120000}"/>
    <cellStyle name="Comma" xfId="6" builtinId="3"/>
    <cellStyle name="Comma [0] 2" xfId="5693" xr:uid="{00000000-0005-0000-0000-0000FA120000}"/>
    <cellStyle name="Comma [0] 2 2" xfId="5694" xr:uid="{00000000-0005-0000-0000-0000FB120000}"/>
    <cellStyle name="Comma [0] 3" xfId="5695" xr:uid="{00000000-0005-0000-0000-0000FC120000}"/>
    <cellStyle name="Comma [0] 3 2" xfId="5696" xr:uid="{00000000-0005-0000-0000-0000FD120000}"/>
    <cellStyle name="Comma [0] 3 2 2" xfId="5697" xr:uid="{00000000-0005-0000-0000-0000FE120000}"/>
    <cellStyle name="Comma [0] 3 2 2 2" xfId="5698" xr:uid="{00000000-0005-0000-0000-0000FF120000}"/>
    <cellStyle name="Comma [0] 3 2 3" xfId="5699" xr:uid="{00000000-0005-0000-0000-000000130000}"/>
    <cellStyle name="Comma [0] 3 2 4" xfId="5700" xr:uid="{00000000-0005-0000-0000-000001130000}"/>
    <cellStyle name="Comma [0] 3 3" xfId="5701" xr:uid="{00000000-0005-0000-0000-000002130000}"/>
    <cellStyle name="Comma [0] 3 4" xfId="5702" xr:uid="{00000000-0005-0000-0000-000003130000}"/>
    <cellStyle name="Comma [0] 3 4 2" xfId="5703" xr:uid="{00000000-0005-0000-0000-000004130000}"/>
    <cellStyle name="Comma [0] 3 5" xfId="5704" xr:uid="{00000000-0005-0000-0000-000005130000}"/>
    <cellStyle name="Comma [0] 4" xfId="5705" xr:uid="{00000000-0005-0000-0000-000006130000}"/>
    <cellStyle name="Comma [0] 4 2" xfId="5706" xr:uid="{00000000-0005-0000-0000-000007130000}"/>
    <cellStyle name="Comma [0] 5" xfId="5707" xr:uid="{00000000-0005-0000-0000-000008130000}"/>
    <cellStyle name="Comma [0] 5 2" xfId="5708" xr:uid="{00000000-0005-0000-0000-000009130000}"/>
    <cellStyle name="Comma [0] 5 2 2" xfId="5709" xr:uid="{00000000-0005-0000-0000-00000A130000}"/>
    <cellStyle name="Comma [0] 5 2 3" xfId="5710" xr:uid="{00000000-0005-0000-0000-00000B130000}"/>
    <cellStyle name="Comma [0] 5 3" xfId="5711" xr:uid="{00000000-0005-0000-0000-00000C130000}"/>
    <cellStyle name="Comma [0] 5 4" xfId="5712" xr:uid="{00000000-0005-0000-0000-00000D130000}"/>
    <cellStyle name="Comma [0] 6" xfId="5713" xr:uid="{00000000-0005-0000-0000-00000E130000}"/>
    <cellStyle name="Comma [0] 6 2" xfId="5714" xr:uid="{00000000-0005-0000-0000-00000F130000}"/>
    <cellStyle name="Comma [0] 6 2 2" xfId="5715" xr:uid="{00000000-0005-0000-0000-000010130000}"/>
    <cellStyle name="Comma [0] 6 3" xfId="5716" xr:uid="{00000000-0005-0000-0000-000011130000}"/>
    <cellStyle name="Comma 10" xfId="1365" xr:uid="{00000000-0005-0000-0000-000012130000}"/>
    <cellStyle name="Comma 10 2" xfId="5717" xr:uid="{00000000-0005-0000-0000-000013130000}"/>
    <cellStyle name="Comma 10 2 2" xfId="5718" xr:uid="{00000000-0005-0000-0000-000014130000}"/>
    <cellStyle name="Comma 10 2 2 2" xfId="5719" xr:uid="{00000000-0005-0000-0000-000015130000}"/>
    <cellStyle name="Comma 10 2 2 2 2" xfId="5720" xr:uid="{00000000-0005-0000-0000-000016130000}"/>
    <cellStyle name="Comma 10 2 2 2 2 2" xfId="5721" xr:uid="{00000000-0005-0000-0000-000017130000}"/>
    <cellStyle name="Comma 10 2 2 2 2 2 2" xfId="5722" xr:uid="{00000000-0005-0000-0000-000018130000}"/>
    <cellStyle name="Comma 10 2 2 2 2 3" xfId="5723" xr:uid="{00000000-0005-0000-0000-000019130000}"/>
    <cellStyle name="Comma 10 2 2 2 3" xfId="5724" xr:uid="{00000000-0005-0000-0000-00001A130000}"/>
    <cellStyle name="Comma 10 2 2 2 3 2" xfId="5725" xr:uid="{00000000-0005-0000-0000-00001B130000}"/>
    <cellStyle name="Comma 10 2 2 2 4" xfId="5726" xr:uid="{00000000-0005-0000-0000-00001C130000}"/>
    <cellStyle name="Comma 10 2 2 3" xfId="5727" xr:uid="{00000000-0005-0000-0000-00001D130000}"/>
    <cellStyle name="Comma 10 2 2 3 2" xfId="5728" xr:uid="{00000000-0005-0000-0000-00001E130000}"/>
    <cellStyle name="Comma 10 2 2 3 2 2" xfId="5729" xr:uid="{00000000-0005-0000-0000-00001F130000}"/>
    <cellStyle name="Comma 10 2 2 3 3" xfId="5730" xr:uid="{00000000-0005-0000-0000-000020130000}"/>
    <cellStyle name="Comma 10 2 2 4" xfId="5731" xr:uid="{00000000-0005-0000-0000-000021130000}"/>
    <cellStyle name="Comma 10 2 2 4 2" xfId="5732" xr:uid="{00000000-0005-0000-0000-000022130000}"/>
    <cellStyle name="Comma 10 2 2 5" xfId="5733" xr:uid="{00000000-0005-0000-0000-000023130000}"/>
    <cellStyle name="Comma 10 2 2 6" xfId="5734" xr:uid="{00000000-0005-0000-0000-000024130000}"/>
    <cellStyle name="Comma 10 2 3" xfId="5735" xr:uid="{00000000-0005-0000-0000-000025130000}"/>
    <cellStyle name="Comma 10 2 3 2" xfId="5736" xr:uid="{00000000-0005-0000-0000-000026130000}"/>
    <cellStyle name="Comma 10 2 3 2 2" xfId="5737" xr:uid="{00000000-0005-0000-0000-000027130000}"/>
    <cellStyle name="Comma 10 2 3 2 2 2" xfId="5738" xr:uid="{00000000-0005-0000-0000-000028130000}"/>
    <cellStyle name="Comma 10 2 3 2 3" xfId="5739" xr:uid="{00000000-0005-0000-0000-000029130000}"/>
    <cellStyle name="Comma 10 2 3 3" xfId="5740" xr:uid="{00000000-0005-0000-0000-00002A130000}"/>
    <cellStyle name="Comma 10 2 3 3 2" xfId="5741" xr:uid="{00000000-0005-0000-0000-00002B130000}"/>
    <cellStyle name="Comma 10 2 3 4" xfId="5742" xr:uid="{00000000-0005-0000-0000-00002C130000}"/>
    <cellStyle name="Comma 10 2 4" xfId="5743" xr:uid="{00000000-0005-0000-0000-00002D130000}"/>
    <cellStyle name="Comma 10 2 4 2" xfId="5744" xr:uid="{00000000-0005-0000-0000-00002E130000}"/>
    <cellStyle name="Comma 10 2 4 2 2" xfId="5745" xr:uid="{00000000-0005-0000-0000-00002F130000}"/>
    <cellStyle name="Comma 10 2 4 3" xfId="5746" xr:uid="{00000000-0005-0000-0000-000030130000}"/>
    <cellStyle name="Comma 10 2 5" xfId="5747" xr:uid="{00000000-0005-0000-0000-000031130000}"/>
    <cellStyle name="Comma 10 2 5 2" xfId="5748" xr:uid="{00000000-0005-0000-0000-000032130000}"/>
    <cellStyle name="Comma 10 2 6" xfId="5749" xr:uid="{00000000-0005-0000-0000-000033130000}"/>
    <cellStyle name="Comma 10 2 7" xfId="5750" xr:uid="{00000000-0005-0000-0000-000034130000}"/>
    <cellStyle name="Comma 10 3" xfId="5751" xr:uid="{00000000-0005-0000-0000-000035130000}"/>
    <cellStyle name="Comma 10 3 2" xfId="5752" xr:uid="{00000000-0005-0000-0000-000036130000}"/>
    <cellStyle name="Comma 10 3 2 2" xfId="5753" xr:uid="{00000000-0005-0000-0000-000037130000}"/>
    <cellStyle name="Comma 10 3 2 2 2" xfId="5754" xr:uid="{00000000-0005-0000-0000-000038130000}"/>
    <cellStyle name="Comma 10 3 2 2 2 2" xfId="5755" xr:uid="{00000000-0005-0000-0000-000039130000}"/>
    <cellStyle name="Comma 10 3 2 2 3" xfId="5756" xr:uid="{00000000-0005-0000-0000-00003A130000}"/>
    <cellStyle name="Comma 10 3 2 3" xfId="5757" xr:uid="{00000000-0005-0000-0000-00003B130000}"/>
    <cellStyle name="Comma 10 3 2 3 2" xfId="5758" xr:uid="{00000000-0005-0000-0000-00003C130000}"/>
    <cellStyle name="Comma 10 3 2 4" xfId="5759" xr:uid="{00000000-0005-0000-0000-00003D130000}"/>
    <cellStyle name="Comma 10 3 3" xfId="5760" xr:uid="{00000000-0005-0000-0000-00003E130000}"/>
    <cellStyle name="Comma 10 3 3 2" xfId="5761" xr:uid="{00000000-0005-0000-0000-00003F130000}"/>
    <cellStyle name="Comma 10 3 3 2 2" xfId="5762" xr:uid="{00000000-0005-0000-0000-000040130000}"/>
    <cellStyle name="Comma 10 3 3 3" xfId="5763" xr:uid="{00000000-0005-0000-0000-000041130000}"/>
    <cellStyle name="Comma 10 3 4" xfId="5764" xr:uid="{00000000-0005-0000-0000-000042130000}"/>
    <cellStyle name="Comma 10 3 4 2" xfId="5765" xr:uid="{00000000-0005-0000-0000-000043130000}"/>
    <cellStyle name="Comma 10 3 5" xfId="5766" xr:uid="{00000000-0005-0000-0000-000044130000}"/>
    <cellStyle name="Comma 10 3 6" xfId="5767" xr:uid="{00000000-0005-0000-0000-000045130000}"/>
    <cellStyle name="Comma 10 4" xfId="5768" xr:uid="{00000000-0005-0000-0000-000046130000}"/>
    <cellStyle name="Comma 10 4 2" xfId="5769" xr:uid="{00000000-0005-0000-0000-000047130000}"/>
    <cellStyle name="Comma 10 4 2 2" xfId="5770" xr:uid="{00000000-0005-0000-0000-000048130000}"/>
    <cellStyle name="Comma 10 4 2 2 2" xfId="5771" xr:uid="{00000000-0005-0000-0000-000049130000}"/>
    <cellStyle name="Comma 10 4 2 3" xfId="5772" xr:uid="{00000000-0005-0000-0000-00004A130000}"/>
    <cellStyle name="Comma 10 4 3" xfId="5773" xr:uid="{00000000-0005-0000-0000-00004B130000}"/>
    <cellStyle name="Comma 10 4 3 2" xfId="5774" xr:uid="{00000000-0005-0000-0000-00004C130000}"/>
    <cellStyle name="Comma 10 4 4" xfId="5775" xr:uid="{00000000-0005-0000-0000-00004D130000}"/>
    <cellStyle name="Comma 10 5" xfId="5776" xr:uid="{00000000-0005-0000-0000-00004E130000}"/>
    <cellStyle name="Comma 10 5 2" xfId="5777" xr:uid="{00000000-0005-0000-0000-00004F130000}"/>
    <cellStyle name="Comma 10 5 2 2" xfId="5778" xr:uid="{00000000-0005-0000-0000-000050130000}"/>
    <cellStyle name="Comma 10 5 3" xfId="5779" xr:uid="{00000000-0005-0000-0000-000051130000}"/>
    <cellStyle name="Comma 10 6" xfId="5780" xr:uid="{00000000-0005-0000-0000-000052130000}"/>
    <cellStyle name="Comma 10 6 2" xfId="5781" xr:uid="{00000000-0005-0000-0000-000053130000}"/>
    <cellStyle name="Comma 10 7" xfId="5782" xr:uid="{00000000-0005-0000-0000-000054130000}"/>
    <cellStyle name="Comma 10 8" xfId="5783" xr:uid="{00000000-0005-0000-0000-000055130000}"/>
    <cellStyle name="Comma 10 9" xfId="5784" xr:uid="{00000000-0005-0000-0000-000056130000}"/>
    <cellStyle name="Comma 11" xfId="1366" xr:uid="{00000000-0005-0000-0000-000057130000}"/>
    <cellStyle name="Comma 11 10" xfId="5785" xr:uid="{00000000-0005-0000-0000-000058130000}"/>
    <cellStyle name="Comma 11 2" xfId="5786" xr:uid="{00000000-0005-0000-0000-000059130000}"/>
    <cellStyle name="Comma 11 2 2" xfId="5787" xr:uid="{00000000-0005-0000-0000-00005A130000}"/>
    <cellStyle name="Comma 11 2 2 2" xfId="5788" xr:uid="{00000000-0005-0000-0000-00005B130000}"/>
    <cellStyle name="Comma 11 2 2 2 2" xfId="5789" xr:uid="{00000000-0005-0000-0000-00005C130000}"/>
    <cellStyle name="Comma 11 2 2 2 3" xfId="5790" xr:uid="{00000000-0005-0000-0000-00005D130000}"/>
    <cellStyle name="Comma 11 2 2 3" xfId="5791" xr:uid="{00000000-0005-0000-0000-00005E130000}"/>
    <cellStyle name="Comma 11 2 2 3 2" xfId="5792" xr:uid="{00000000-0005-0000-0000-00005F130000}"/>
    <cellStyle name="Comma 11 2 2 4" xfId="5793" xr:uid="{00000000-0005-0000-0000-000060130000}"/>
    <cellStyle name="Comma 11 2 2 5" xfId="5794" xr:uid="{00000000-0005-0000-0000-000061130000}"/>
    <cellStyle name="Comma 11 2 3" xfId="5795" xr:uid="{00000000-0005-0000-0000-000062130000}"/>
    <cellStyle name="Comma 11 2 3 2" xfId="5796" xr:uid="{00000000-0005-0000-0000-000063130000}"/>
    <cellStyle name="Comma 11 2 3 3" xfId="5797" xr:uid="{00000000-0005-0000-0000-000064130000}"/>
    <cellStyle name="Comma 11 2 4" xfId="5798" xr:uid="{00000000-0005-0000-0000-000065130000}"/>
    <cellStyle name="Comma 11 2 4 2" xfId="5799" xr:uid="{00000000-0005-0000-0000-000066130000}"/>
    <cellStyle name="Comma 11 2 5" xfId="5800" xr:uid="{00000000-0005-0000-0000-000067130000}"/>
    <cellStyle name="Comma 11 2 6" xfId="5801" xr:uid="{00000000-0005-0000-0000-000068130000}"/>
    <cellStyle name="Comma 11 3" xfId="5802" xr:uid="{00000000-0005-0000-0000-000069130000}"/>
    <cellStyle name="Comma 11 3 2" xfId="5803" xr:uid="{00000000-0005-0000-0000-00006A130000}"/>
    <cellStyle name="Comma 11 3 2 2" xfId="5804" xr:uid="{00000000-0005-0000-0000-00006B130000}"/>
    <cellStyle name="Comma 11 3 2 2 2" xfId="5805" xr:uid="{00000000-0005-0000-0000-00006C130000}"/>
    <cellStyle name="Comma 11 3 2 3" xfId="5806" xr:uid="{00000000-0005-0000-0000-00006D130000}"/>
    <cellStyle name="Comma 11 3 2 4" xfId="5807" xr:uid="{00000000-0005-0000-0000-00006E130000}"/>
    <cellStyle name="Comma 11 3 2 5" xfId="5808" xr:uid="{00000000-0005-0000-0000-00006F130000}"/>
    <cellStyle name="Comma 11 3 3" xfId="5809" xr:uid="{00000000-0005-0000-0000-000070130000}"/>
    <cellStyle name="Comma 11 3 3 2" xfId="5810" xr:uid="{00000000-0005-0000-0000-000071130000}"/>
    <cellStyle name="Comma 11 3 4" xfId="5811" xr:uid="{00000000-0005-0000-0000-000072130000}"/>
    <cellStyle name="Comma 11 3 5" xfId="5812" xr:uid="{00000000-0005-0000-0000-000073130000}"/>
    <cellStyle name="Comma 11 3 6" xfId="5813" xr:uid="{00000000-0005-0000-0000-000074130000}"/>
    <cellStyle name="Comma 11 4" xfId="5814" xr:uid="{00000000-0005-0000-0000-000075130000}"/>
    <cellStyle name="Comma 11 4 2" xfId="5815" xr:uid="{00000000-0005-0000-0000-000076130000}"/>
    <cellStyle name="Comma 11 4 2 2" xfId="5816" xr:uid="{00000000-0005-0000-0000-000077130000}"/>
    <cellStyle name="Comma 11 4 3" xfId="5817" xr:uid="{00000000-0005-0000-0000-000078130000}"/>
    <cellStyle name="Comma 11 4 4" xfId="5818" xr:uid="{00000000-0005-0000-0000-000079130000}"/>
    <cellStyle name="Comma 11 4 5" xfId="5819" xr:uid="{00000000-0005-0000-0000-00007A130000}"/>
    <cellStyle name="Comma 11 5" xfId="5820" xr:uid="{00000000-0005-0000-0000-00007B130000}"/>
    <cellStyle name="Comma 11 5 2" xfId="5821" xr:uid="{00000000-0005-0000-0000-00007C130000}"/>
    <cellStyle name="Comma 11 5 2 2" xfId="5822" xr:uid="{00000000-0005-0000-0000-00007D130000}"/>
    <cellStyle name="Comma 11 5 3" xfId="5823" xr:uid="{00000000-0005-0000-0000-00007E130000}"/>
    <cellStyle name="Comma 11 5 4" xfId="5824" xr:uid="{00000000-0005-0000-0000-00007F130000}"/>
    <cellStyle name="Comma 11 5 5" xfId="5825" xr:uid="{00000000-0005-0000-0000-000080130000}"/>
    <cellStyle name="Comma 11 6" xfId="5826" xr:uid="{00000000-0005-0000-0000-000081130000}"/>
    <cellStyle name="Comma 11 6 2" xfId="5827" xr:uid="{00000000-0005-0000-0000-000082130000}"/>
    <cellStyle name="Comma 11 6 3" xfId="5828" xr:uid="{00000000-0005-0000-0000-000083130000}"/>
    <cellStyle name="Comma 11 7" xfId="5829" xr:uid="{00000000-0005-0000-0000-000084130000}"/>
    <cellStyle name="Comma 11 7 2" xfId="5830" xr:uid="{00000000-0005-0000-0000-000085130000}"/>
    <cellStyle name="Comma 11 8" xfId="5831" xr:uid="{00000000-0005-0000-0000-000086130000}"/>
    <cellStyle name="Comma 11 9" xfId="5832" xr:uid="{00000000-0005-0000-0000-000087130000}"/>
    <cellStyle name="Comma 12" xfId="1367" xr:uid="{00000000-0005-0000-0000-000088130000}"/>
    <cellStyle name="Comma 12 2" xfId="5833" xr:uid="{00000000-0005-0000-0000-000089130000}"/>
    <cellStyle name="Comma 12 2 2" xfId="5834" xr:uid="{00000000-0005-0000-0000-00008A130000}"/>
    <cellStyle name="Comma 12 2 3" xfId="5835" xr:uid="{00000000-0005-0000-0000-00008B130000}"/>
    <cellStyle name="Comma 12 3" xfId="5836" xr:uid="{00000000-0005-0000-0000-00008C130000}"/>
    <cellStyle name="Comma 12 3 2" xfId="5837" xr:uid="{00000000-0005-0000-0000-00008D130000}"/>
    <cellStyle name="Comma 12 4" xfId="5838" xr:uid="{00000000-0005-0000-0000-00008E130000}"/>
    <cellStyle name="Comma 12 5" xfId="5839" xr:uid="{00000000-0005-0000-0000-00008F130000}"/>
    <cellStyle name="Comma 12 6" xfId="5840" xr:uid="{00000000-0005-0000-0000-000090130000}"/>
    <cellStyle name="Comma 13" xfId="1368" xr:uid="{00000000-0005-0000-0000-000091130000}"/>
    <cellStyle name="Comma 13 2" xfId="5841" xr:uid="{00000000-0005-0000-0000-000092130000}"/>
    <cellStyle name="Comma 13 2 2" xfId="5842" xr:uid="{00000000-0005-0000-0000-000093130000}"/>
    <cellStyle name="Comma 13 2 3" xfId="5843" xr:uid="{00000000-0005-0000-0000-000094130000}"/>
    <cellStyle name="Comma 13 2 4" xfId="5844" xr:uid="{00000000-0005-0000-0000-000095130000}"/>
    <cellStyle name="Comma 13 3" xfId="5845" xr:uid="{00000000-0005-0000-0000-000096130000}"/>
    <cellStyle name="Comma 13 3 2" xfId="5846" xr:uid="{00000000-0005-0000-0000-000097130000}"/>
    <cellStyle name="Comma 13 4" xfId="5847" xr:uid="{00000000-0005-0000-0000-000098130000}"/>
    <cellStyle name="Comma 13 5" xfId="5848" xr:uid="{00000000-0005-0000-0000-000099130000}"/>
    <cellStyle name="Comma 13 6" xfId="5849" xr:uid="{00000000-0005-0000-0000-00009A130000}"/>
    <cellStyle name="Comma 14" xfId="1369" xr:uid="{00000000-0005-0000-0000-00009B130000}"/>
    <cellStyle name="Comma 14 2" xfId="5850" xr:uid="{00000000-0005-0000-0000-00009C130000}"/>
    <cellStyle name="Comma 14 2 2" xfId="5851" xr:uid="{00000000-0005-0000-0000-00009D130000}"/>
    <cellStyle name="Comma 14 3" xfId="5852" xr:uid="{00000000-0005-0000-0000-00009E130000}"/>
    <cellStyle name="Comma 14 4" xfId="5853" xr:uid="{00000000-0005-0000-0000-00009F130000}"/>
    <cellStyle name="Comma 14 5" xfId="5854" xr:uid="{00000000-0005-0000-0000-0000A0130000}"/>
    <cellStyle name="Comma 15" xfId="1370" xr:uid="{00000000-0005-0000-0000-0000A1130000}"/>
    <cellStyle name="Comma 15 2" xfId="5855" xr:uid="{00000000-0005-0000-0000-0000A2130000}"/>
    <cellStyle name="Comma 15 2 2" xfId="5856" xr:uid="{00000000-0005-0000-0000-0000A3130000}"/>
    <cellStyle name="Comma 15 3" xfId="5857" xr:uid="{00000000-0005-0000-0000-0000A4130000}"/>
    <cellStyle name="Comma 15 4" xfId="5858" xr:uid="{00000000-0005-0000-0000-0000A5130000}"/>
    <cellStyle name="Comma 15 5" xfId="5859" xr:uid="{00000000-0005-0000-0000-0000A6130000}"/>
    <cellStyle name="Comma 16" xfId="64" xr:uid="{00000000-0005-0000-0000-0000A7130000}"/>
    <cellStyle name="Comma 16 2" xfId="5860" xr:uid="{00000000-0005-0000-0000-0000A8130000}"/>
    <cellStyle name="Comma 16 2 2" xfId="5861" xr:uid="{00000000-0005-0000-0000-0000A9130000}"/>
    <cellStyle name="Comma 16 3" xfId="5862" xr:uid="{00000000-0005-0000-0000-0000AA130000}"/>
    <cellStyle name="Comma 16 4" xfId="5863" xr:uid="{00000000-0005-0000-0000-0000AB130000}"/>
    <cellStyle name="Comma 16 5" xfId="5864" xr:uid="{00000000-0005-0000-0000-0000AC130000}"/>
    <cellStyle name="Comma 17" xfId="1371" xr:uid="{00000000-0005-0000-0000-0000AD130000}"/>
    <cellStyle name="Comma 17 2" xfId="5865" xr:uid="{00000000-0005-0000-0000-0000AE130000}"/>
    <cellStyle name="Comma 17 2 2" xfId="5866" xr:uid="{00000000-0005-0000-0000-0000AF130000}"/>
    <cellStyle name="Comma 17 3" xfId="5867" xr:uid="{00000000-0005-0000-0000-0000B0130000}"/>
    <cellStyle name="Comma 17 4" xfId="5868" xr:uid="{00000000-0005-0000-0000-0000B1130000}"/>
    <cellStyle name="Comma 17 5" xfId="5869" xr:uid="{00000000-0005-0000-0000-0000B2130000}"/>
    <cellStyle name="Comma 18" xfId="2158" xr:uid="{00000000-0005-0000-0000-0000B3130000}"/>
    <cellStyle name="Comma 18 2" xfId="5870" xr:uid="{00000000-0005-0000-0000-0000B4130000}"/>
    <cellStyle name="Comma 18 2 2" xfId="5871" xr:uid="{00000000-0005-0000-0000-0000B5130000}"/>
    <cellStyle name="Comma 18 3" xfId="5872" xr:uid="{00000000-0005-0000-0000-0000B6130000}"/>
    <cellStyle name="Comma 18 4" xfId="5873" xr:uid="{00000000-0005-0000-0000-0000B7130000}"/>
    <cellStyle name="Comma 18 5" xfId="5874" xr:uid="{00000000-0005-0000-0000-0000B8130000}"/>
    <cellStyle name="Comma 19" xfId="5875" xr:uid="{00000000-0005-0000-0000-0000B9130000}"/>
    <cellStyle name="Comma 19 2" xfId="5876" xr:uid="{00000000-0005-0000-0000-0000BA130000}"/>
    <cellStyle name="Comma 2" xfId="59" xr:uid="{00000000-0005-0000-0000-0000BB130000}"/>
    <cellStyle name="Comma 2 10" xfId="1372" xr:uid="{00000000-0005-0000-0000-0000BC130000}"/>
    <cellStyle name="Comma 2 10 2" xfId="5877" xr:uid="{00000000-0005-0000-0000-0000BD130000}"/>
    <cellStyle name="Comma 2 10 2 2" xfId="5878" xr:uid="{00000000-0005-0000-0000-0000BE130000}"/>
    <cellStyle name="Comma 2 10 2 2 2" xfId="5879" xr:uid="{00000000-0005-0000-0000-0000BF130000}"/>
    <cellStyle name="Comma 2 10 2 3" xfId="5880" xr:uid="{00000000-0005-0000-0000-0000C0130000}"/>
    <cellStyle name="Comma 2 10 2 4" xfId="5881" xr:uid="{00000000-0005-0000-0000-0000C1130000}"/>
    <cellStyle name="Comma 2 10 2 5" xfId="5882" xr:uid="{00000000-0005-0000-0000-0000C2130000}"/>
    <cellStyle name="Comma 2 10 3" xfId="5883" xr:uid="{00000000-0005-0000-0000-0000C3130000}"/>
    <cellStyle name="Comma 2 10 3 2" xfId="5884" xr:uid="{00000000-0005-0000-0000-0000C4130000}"/>
    <cellStyle name="Comma 2 10 3 2 2" xfId="5885" xr:uid="{00000000-0005-0000-0000-0000C5130000}"/>
    <cellStyle name="Comma 2 10 3 3" xfId="5886" xr:uid="{00000000-0005-0000-0000-0000C6130000}"/>
    <cellStyle name="Comma 2 10 3 4" xfId="5887" xr:uid="{00000000-0005-0000-0000-0000C7130000}"/>
    <cellStyle name="Comma 2 10 3 5" xfId="5888" xr:uid="{00000000-0005-0000-0000-0000C8130000}"/>
    <cellStyle name="Comma 2 10 4" xfId="5889" xr:uid="{00000000-0005-0000-0000-0000C9130000}"/>
    <cellStyle name="Comma 2 11" xfId="1373" xr:uid="{00000000-0005-0000-0000-0000CA130000}"/>
    <cellStyle name="Comma 2 11 2" xfId="5890" xr:uid="{00000000-0005-0000-0000-0000CB130000}"/>
    <cellStyle name="Comma 2 11 2 2" xfId="5891" xr:uid="{00000000-0005-0000-0000-0000CC130000}"/>
    <cellStyle name="Comma 2 11 2 2 2" xfId="5892" xr:uid="{00000000-0005-0000-0000-0000CD130000}"/>
    <cellStyle name="Comma 2 11 2 3" xfId="5893" xr:uid="{00000000-0005-0000-0000-0000CE130000}"/>
    <cellStyle name="Comma 2 11 2 4" xfId="5894" xr:uid="{00000000-0005-0000-0000-0000CF130000}"/>
    <cellStyle name="Comma 2 11 2 5" xfId="5895" xr:uid="{00000000-0005-0000-0000-0000D0130000}"/>
    <cellStyle name="Comma 2 11 2 6" xfId="5896" xr:uid="{00000000-0005-0000-0000-0000D1130000}"/>
    <cellStyle name="Comma 2 11 3" xfId="5897" xr:uid="{00000000-0005-0000-0000-0000D2130000}"/>
    <cellStyle name="Comma 2 12" xfId="1374" xr:uid="{00000000-0005-0000-0000-0000D3130000}"/>
    <cellStyle name="Comma 2 12 2" xfId="5898" xr:uid="{00000000-0005-0000-0000-0000D4130000}"/>
    <cellStyle name="Comma 2 12 3" xfId="5899" xr:uid="{00000000-0005-0000-0000-0000D5130000}"/>
    <cellStyle name="Comma 2 13" xfId="1375" xr:uid="{00000000-0005-0000-0000-0000D6130000}"/>
    <cellStyle name="Comma 2 13 2" xfId="5900" xr:uid="{00000000-0005-0000-0000-0000D7130000}"/>
    <cellStyle name="Comma 2 14" xfId="1376" xr:uid="{00000000-0005-0000-0000-0000D8130000}"/>
    <cellStyle name="Comma 2 14 2" xfId="5901" xr:uid="{00000000-0005-0000-0000-0000D9130000}"/>
    <cellStyle name="Comma 2 15" xfId="1377" xr:uid="{00000000-0005-0000-0000-0000DA130000}"/>
    <cellStyle name="Comma 2 15 2" xfId="5902" xr:uid="{00000000-0005-0000-0000-0000DB130000}"/>
    <cellStyle name="Comma 2 16" xfId="1378" xr:uid="{00000000-0005-0000-0000-0000DC130000}"/>
    <cellStyle name="Comma 2 17" xfId="1379" xr:uid="{00000000-0005-0000-0000-0000DD130000}"/>
    <cellStyle name="Comma 2 18" xfId="1380" xr:uid="{00000000-0005-0000-0000-0000DE130000}"/>
    <cellStyle name="Comma 2 19" xfId="1381" xr:uid="{00000000-0005-0000-0000-0000DF130000}"/>
    <cellStyle name="Comma 2 2" xfId="1382" xr:uid="{00000000-0005-0000-0000-0000E0130000}"/>
    <cellStyle name="Comma 2 2 2" xfId="5903" xr:uid="{00000000-0005-0000-0000-0000E1130000}"/>
    <cellStyle name="Comma 2 2 2 2" xfId="5904" xr:uid="{00000000-0005-0000-0000-0000E2130000}"/>
    <cellStyle name="Comma 2 2 2 2 2" xfId="5905" xr:uid="{00000000-0005-0000-0000-0000E3130000}"/>
    <cellStyle name="Comma 2 2 2 2 2 2" xfId="5906" xr:uid="{00000000-0005-0000-0000-0000E4130000}"/>
    <cellStyle name="Comma 2 2 2 2 2 2 2" xfId="5907" xr:uid="{00000000-0005-0000-0000-0000E5130000}"/>
    <cellStyle name="Comma 2 2 2 2 2 3" xfId="5908" xr:uid="{00000000-0005-0000-0000-0000E6130000}"/>
    <cellStyle name="Comma 2 2 2 2 2 4" xfId="5909" xr:uid="{00000000-0005-0000-0000-0000E7130000}"/>
    <cellStyle name="Comma 2 2 2 2 3" xfId="5910" xr:uid="{00000000-0005-0000-0000-0000E8130000}"/>
    <cellStyle name="Comma 2 2 2 2 3 2" xfId="5911" xr:uid="{00000000-0005-0000-0000-0000E9130000}"/>
    <cellStyle name="Comma 2 2 2 2 4" xfId="5912" xr:uid="{00000000-0005-0000-0000-0000EA130000}"/>
    <cellStyle name="Comma 2 2 2 2 5" xfId="5913" xr:uid="{00000000-0005-0000-0000-0000EB130000}"/>
    <cellStyle name="Comma 2 2 2 2 6" xfId="5914" xr:uid="{00000000-0005-0000-0000-0000EC130000}"/>
    <cellStyle name="Comma 2 2 2 3" xfId="5915" xr:uid="{00000000-0005-0000-0000-0000ED130000}"/>
    <cellStyle name="Comma 2 2 2 3 2" xfId="5916" xr:uid="{00000000-0005-0000-0000-0000EE130000}"/>
    <cellStyle name="Comma 2 2 2 3 2 2" xfId="5917" xr:uid="{00000000-0005-0000-0000-0000EF130000}"/>
    <cellStyle name="Comma 2 2 2 3 3" xfId="5918" xr:uid="{00000000-0005-0000-0000-0000F0130000}"/>
    <cellStyle name="Comma 2 2 2 3 4" xfId="5919" xr:uid="{00000000-0005-0000-0000-0000F1130000}"/>
    <cellStyle name="Comma 2 2 2 4" xfId="5920" xr:uid="{00000000-0005-0000-0000-0000F2130000}"/>
    <cellStyle name="Comma 2 2 2 4 2" xfId="5921" xr:uid="{00000000-0005-0000-0000-0000F3130000}"/>
    <cellStyle name="Comma 2 2 2 5" xfId="5922" xr:uid="{00000000-0005-0000-0000-0000F4130000}"/>
    <cellStyle name="Comma 2 2 2 5 2" xfId="5923" xr:uid="{00000000-0005-0000-0000-0000F5130000}"/>
    <cellStyle name="Comma 2 2 2 6" xfId="5924" xr:uid="{00000000-0005-0000-0000-0000F6130000}"/>
    <cellStyle name="Comma 2 2 2 7" xfId="5925" xr:uid="{00000000-0005-0000-0000-0000F7130000}"/>
    <cellStyle name="Comma 2 2 2 8" xfId="5926" xr:uid="{00000000-0005-0000-0000-0000F8130000}"/>
    <cellStyle name="Comma 2 2 3" xfId="5927" xr:uid="{00000000-0005-0000-0000-0000F9130000}"/>
    <cellStyle name="Comma 2 2 3 2" xfId="5928" xr:uid="{00000000-0005-0000-0000-0000FA130000}"/>
    <cellStyle name="Comma 2 2 3 3" xfId="5929" xr:uid="{00000000-0005-0000-0000-0000FB130000}"/>
    <cellStyle name="Comma 2 2 4" xfId="5930" xr:uid="{00000000-0005-0000-0000-0000FC130000}"/>
    <cellStyle name="Comma 2 2 5" xfId="5931" xr:uid="{00000000-0005-0000-0000-0000FD130000}"/>
    <cellStyle name="Comma 2 20" xfId="1383" xr:uid="{00000000-0005-0000-0000-0000FE130000}"/>
    <cellStyle name="Comma 2 21" xfId="1384" xr:uid="{00000000-0005-0000-0000-0000FF130000}"/>
    <cellStyle name="Comma 2 3" xfId="1385" xr:uid="{00000000-0005-0000-0000-000000140000}"/>
    <cellStyle name="Comma 2 3 2" xfId="5932" xr:uid="{00000000-0005-0000-0000-000001140000}"/>
    <cellStyle name="Comma 2 3 2 2" xfId="5933" xr:uid="{00000000-0005-0000-0000-000002140000}"/>
    <cellStyle name="Comma 2 3 2 2 2" xfId="5934" xr:uid="{00000000-0005-0000-0000-000003140000}"/>
    <cellStyle name="Comma 2 3 2 2 2 2" xfId="5935" xr:uid="{00000000-0005-0000-0000-000004140000}"/>
    <cellStyle name="Comma 2 3 2 2 2 2 2" xfId="5936" xr:uid="{00000000-0005-0000-0000-000005140000}"/>
    <cellStyle name="Comma 2 3 2 2 2 3" xfId="5937" xr:uid="{00000000-0005-0000-0000-000006140000}"/>
    <cellStyle name="Comma 2 3 2 2 3" xfId="5938" xr:uid="{00000000-0005-0000-0000-000007140000}"/>
    <cellStyle name="Comma 2 3 2 2 3 2" xfId="5939" xr:uid="{00000000-0005-0000-0000-000008140000}"/>
    <cellStyle name="Comma 2 3 2 2 4" xfId="5940" xr:uid="{00000000-0005-0000-0000-000009140000}"/>
    <cellStyle name="Comma 2 3 2 2 5" xfId="5941" xr:uid="{00000000-0005-0000-0000-00000A140000}"/>
    <cellStyle name="Comma 2 3 2 2 6" xfId="5942" xr:uid="{00000000-0005-0000-0000-00000B140000}"/>
    <cellStyle name="Comma 2 3 2 3" xfId="5943" xr:uid="{00000000-0005-0000-0000-00000C140000}"/>
    <cellStyle name="Comma 2 3 2 3 2" xfId="5944" xr:uid="{00000000-0005-0000-0000-00000D140000}"/>
    <cellStyle name="Comma 2 3 2 3 2 2" xfId="5945" xr:uid="{00000000-0005-0000-0000-00000E140000}"/>
    <cellStyle name="Comma 2 3 2 3 3" xfId="5946" xr:uid="{00000000-0005-0000-0000-00000F140000}"/>
    <cellStyle name="Comma 2 3 2 3 4" xfId="5947" xr:uid="{00000000-0005-0000-0000-000010140000}"/>
    <cellStyle name="Comma 2 3 2 4" xfId="5948" xr:uid="{00000000-0005-0000-0000-000011140000}"/>
    <cellStyle name="Comma 2 3 2 4 2" xfId="5949" xr:uid="{00000000-0005-0000-0000-000012140000}"/>
    <cellStyle name="Comma 2 3 2 5" xfId="5950" xr:uid="{00000000-0005-0000-0000-000013140000}"/>
    <cellStyle name="Comma 2 3 2 5 2" xfId="5951" xr:uid="{00000000-0005-0000-0000-000014140000}"/>
    <cellStyle name="Comma 2 3 2 6" xfId="5952" xr:uid="{00000000-0005-0000-0000-000015140000}"/>
    <cellStyle name="Comma 2 3 2 7" xfId="5953" xr:uid="{00000000-0005-0000-0000-000016140000}"/>
    <cellStyle name="Comma 2 3 2 8" xfId="5954" xr:uid="{00000000-0005-0000-0000-000017140000}"/>
    <cellStyle name="Comma 2 3 3" xfId="5955" xr:uid="{00000000-0005-0000-0000-000018140000}"/>
    <cellStyle name="Comma 2 3 3 2" xfId="5956" xr:uid="{00000000-0005-0000-0000-000019140000}"/>
    <cellStyle name="Comma 2 3 3 2 2" xfId="5957" xr:uid="{00000000-0005-0000-0000-00001A140000}"/>
    <cellStyle name="Comma 2 3 3 2 2 2" xfId="5958" xr:uid="{00000000-0005-0000-0000-00001B140000}"/>
    <cellStyle name="Comma 2 3 3 2 3" xfId="5959" xr:uid="{00000000-0005-0000-0000-00001C140000}"/>
    <cellStyle name="Comma 2 3 3 3" xfId="5960" xr:uid="{00000000-0005-0000-0000-00001D140000}"/>
    <cellStyle name="Comma 2 3 3 3 2" xfId="5961" xr:uid="{00000000-0005-0000-0000-00001E140000}"/>
    <cellStyle name="Comma 2 3 3 4" xfId="5962" xr:uid="{00000000-0005-0000-0000-00001F140000}"/>
    <cellStyle name="Comma 2 3 3 5" xfId="5963" xr:uid="{00000000-0005-0000-0000-000020140000}"/>
    <cellStyle name="Comma 2 3 3 6" xfId="5964" xr:uid="{00000000-0005-0000-0000-000021140000}"/>
    <cellStyle name="Comma 2 3 4" xfId="5965" xr:uid="{00000000-0005-0000-0000-000022140000}"/>
    <cellStyle name="Comma 2 3 4 2" xfId="5966" xr:uid="{00000000-0005-0000-0000-000023140000}"/>
    <cellStyle name="Comma 2 3 4 2 2" xfId="5967" xr:uid="{00000000-0005-0000-0000-000024140000}"/>
    <cellStyle name="Comma 2 3 4 3" xfId="5968" xr:uid="{00000000-0005-0000-0000-000025140000}"/>
    <cellStyle name="Comma 2 3 4 4" xfId="5969" xr:uid="{00000000-0005-0000-0000-000026140000}"/>
    <cellStyle name="Comma 2 3 5" xfId="5970" xr:uid="{00000000-0005-0000-0000-000027140000}"/>
    <cellStyle name="Comma 2 3 5 2" xfId="5971" xr:uid="{00000000-0005-0000-0000-000028140000}"/>
    <cellStyle name="Comma 2 3 6" xfId="5972" xr:uid="{00000000-0005-0000-0000-000029140000}"/>
    <cellStyle name="Comma 2 3 7" xfId="5973" xr:uid="{00000000-0005-0000-0000-00002A140000}"/>
    <cellStyle name="Comma 2 4" xfId="1386" xr:uid="{00000000-0005-0000-0000-00002B140000}"/>
    <cellStyle name="Comma 2 4 2" xfId="5974" xr:uid="{00000000-0005-0000-0000-00002C140000}"/>
    <cellStyle name="Comma 2 4 2 10" xfId="5975" xr:uid="{00000000-0005-0000-0000-00002D140000}"/>
    <cellStyle name="Comma 2 4 2 2" xfId="5976" xr:uid="{00000000-0005-0000-0000-00002E140000}"/>
    <cellStyle name="Comma 2 4 2 2 2" xfId="5977" xr:uid="{00000000-0005-0000-0000-00002F140000}"/>
    <cellStyle name="Comma 2 4 2 2 2 2" xfId="5978" xr:uid="{00000000-0005-0000-0000-000030140000}"/>
    <cellStyle name="Comma 2 4 2 2 2 2 2" xfId="5979" xr:uid="{00000000-0005-0000-0000-000031140000}"/>
    <cellStyle name="Comma 2 4 2 2 2 2 2 2" xfId="5980" xr:uid="{00000000-0005-0000-0000-000032140000}"/>
    <cellStyle name="Comma 2 4 2 2 2 2 2 3" xfId="5981" xr:uid="{00000000-0005-0000-0000-000033140000}"/>
    <cellStyle name="Comma 2 4 2 2 2 2 3" xfId="5982" xr:uid="{00000000-0005-0000-0000-000034140000}"/>
    <cellStyle name="Comma 2 4 2 2 2 2 3 2" xfId="5983" xr:uid="{00000000-0005-0000-0000-000035140000}"/>
    <cellStyle name="Comma 2 4 2 2 2 2 4" xfId="5984" xr:uid="{00000000-0005-0000-0000-000036140000}"/>
    <cellStyle name="Comma 2 4 2 2 2 2 5" xfId="5985" xr:uid="{00000000-0005-0000-0000-000037140000}"/>
    <cellStyle name="Comma 2 4 2 2 2 3" xfId="5986" xr:uid="{00000000-0005-0000-0000-000038140000}"/>
    <cellStyle name="Comma 2 4 2 2 2 3 2" xfId="5987" xr:uid="{00000000-0005-0000-0000-000039140000}"/>
    <cellStyle name="Comma 2 4 2 2 2 3 3" xfId="5988" xr:uid="{00000000-0005-0000-0000-00003A140000}"/>
    <cellStyle name="Comma 2 4 2 2 2 4" xfId="5989" xr:uid="{00000000-0005-0000-0000-00003B140000}"/>
    <cellStyle name="Comma 2 4 2 2 2 4 2" xfId="5990" xr:uid="{00000000-0005-0000-0000-00003C140000}"/>
    <cellStyle name="Comma 2 4 2 2 2 5" xfId="5991" xr:uid="{00000000-0005-0000-0000-00003D140000}"/>
    <cellStyle name="Comma 2 4 2 2 2 6" xfId="5992" xr:uid="{00000000-0005-0000-0000-00003E140000}"/>
    <cellStyle name="Comma 2 4 2 2 3" xfId="5993" xr:uid="{00000000-0005-0000-0000-00003F140000}"/>
    <cellStyle name="Comma 2 4 2 2 3 2" xfId="5994" xr:uid="{00000000-0005-0000-0000-000040140000}"/>
    <cellStyle name="Comma 2 4 2 2 3 2 2" xfId="5995" xr:uid="{00000000-0005-0000-0000-000041140000}"/>
    <cellStyle name="Comma 2 4 2 2 3 2 2 2" xfId="5996" xr:uid="{00000000-0005-0000-0000-000042140000}"/>
    <cellStyle name="Comma 2 4 2 2 3 2 3" xfId="5997" xr:uid="{00000000-0005-0000-0000-000043140000}"/>
    <cellStyle name="Comma 2 4 2 2 3 2 4" xfId="5998" xr:uid="{00000000-0005-0000-0000-000044140000}"/>
    <cellStyle name="Comma 2 4 2 2 3 2 5" xfId="5999" xr:uid="{00000000-0005-0000-0000-000045140000}"/>
    <cellStyle name="Comma 2 4 2 2 3 3" xfId="6000" xr:uid="{00000000-0005-0000-0000-000046140000}"/>
    <cellStyle name="Comma 2 4 2 2 3 3 2" xfId="6001" xr:uid="{00000000-0005-0000-0000-000047140000}"/>
    <cellStyle name="Comma 2 4 2 2 3 4" xfId="6002" xr:uid="{00000000-0005-0000-0000-000048140000}"/>
    <cellStyle name="Comma 2 4 2 2 3 5" xfId="6003" xr:uid="{00000000-0005-0000-0000-000049140000}"/>
    <cellStyle name="Comma 2 4 2 2 3 6" xfId="6004" xr:uid="{00000000-0005-0000-0000-00004A140000}"/>
    <cellStyle name="Comma 2 4 2 2 4" xfId="6005" xr:uid="{00000000-0005-0000-0000-00004B140000}"/>
    <cellStyle name="Comma 2 4 2 2 4 2" xfId="6006" xr:uid="{00000000-0005-0000-0000-00004C140000}"/>
    <cellStyle name="Comma 2 4 2 2 4 2 2" xfId="6007" xr:uid="{00000000-0005-0000-0000-00004D140000}"/>
    <cellStyle name="Comma 2 4 2 2 4 3" xfId="6008" xr:uid="{00000000-0005-0000-0000-00004E140000}"/>
    <cellStyle name="Comma 2 4 2 2 4 4" xfId="6009" xr:uid="{00000000-0005-0000-0000-00004F140000}"/>
    <cellStyle name="Comma 2 4 2 2 4 5" xfId="6010" xr:uid="{00000000-0005-0000-0000-000050140000}"/>
    <cellStyle name="Comma 2 4 2 2 5" xfId="6011" xr:uid="{00000000-0005-0000-0000-000051140000}"/>
    <cellStyle name="Comma 2 4 2 2 5 2" xfId="6012" xr:uid="{00000000-0005-0000-0000-000052140000}"/>
    <cellStyle name="Comma 2 4 2 2 5 2 2" xfId="6013" xr:uid="{00000000-0005-0000-0000-000053140000}"/>
    <cellStyle name="Comma 2 4 2 2 5 3" xfId="6014" xr:uid="{00000000-0005-0000-0000-000054140000}"/>
    <cellStyle name="Comma 2 4 2 2 5 4" xfId="6015" xr:uid="{00000000-0005-0000-0000-000055140000}"/>
    <cellStyle name="Comma 2 4 2 2 5 5" xfId="6016" xr:uid="{00000000-0005-0000-0000-000056140000}"/>
    <cellStyle name="Comma 2 4 2 2 6" xfId="6017" xr:uid="{00000000-0005-0000-0000-000057140000}"/>
    <cellStyle name="Comma 2 4 2 2 6 2" xfId="6018" xr:uid="{00000000-0005-0000-0000-000058140000}"/>
    <cellStyle name="Comma 2 4 2 2 7" xfId="6019" xr:uid="{00000000-0005-0000-0000-000059140000}"/>
    <cellStyle name="Comma 2 4 2 2 8" xfId="6020" xr:uid="{00000000-0005-0000-0000-00005A140000}"/>
    <cellStyle name="Comma 2 4 2 2 9" xfId="6021" xr:uid="{00000000-0005-0000-0000-00005B140000}"/>
    <cellStyle name="Comma 2 4 2 3" xfId="6022" xr:uid="{00000000-0005-0000-0000-00005C140000}"/>
    <cellStyle name="Comma 2 4 2 3 2" xfId="6023" xr:uid="{00000000-0005-0000-0000-00005D140000}"/>
    <cellStyle name="Comma 2 4 2 3 2 2" xfId="6024" xr:uid="{00000000-0005-0000-0000-00005E140000}"/>
    <cellStyle name="Comma 2 4 2 3 2 2 2" xfId="6025" xr:uid="{00000000-0005-0000-0000-00005F140000}"/>
    <cellStyle name="Comma 2 4 2 3 2 2 3" xfId="6026" xr:uid="{00000000-0005-0000-0000-000060140000}"/>
    <cellStyle name="Comma 2 4 2 3 2 3" xfId="6027" xr:uid="{00000000-0005-0000-0000-000061140000}"/>
    <cellStyle name="Comma 2 4 2 3 2 3 2" xfId="6028" xr:uid="{00000000-0005-0000-0000-000062140000}"/>
    <cellStyle name="Comma 2 4 2 3 2 4" xfId="6029" xr:uid="{00000000-0005-0000-0000-000063140000}"/>
    <cellStyle name="Comma 2 4 2 3 2 5" xfId="6030" xr:uid="{00000000-0005-0000-0000-000064140000}"/>
    <cellStyle name="Comma 2 4 2 3 3" xfId="6031" xr:uid="{00000000-0005-0000-0000-000065140000}"/>
    <cellStyle name="Comma 2 4 2 3 3 2" xfId="6032" xr:uid="{00000000-0005-0000-0000-000066140000}"/>
    <cellStyle name="Comma 2 4 2 3 3 3" xfId="6033" xr:uid="{00000000-0005-0000-0000-000067140000}"/>
    <cellStyle name="Comma 2 4 2 3 4" xfId="6034" xr:uid="{00000000-0005-0000-0000-000068140000}"/>
    <cellStyle name="Comma 2 4 2 3 4 2" xfId="6035" xr:uid="{00000000-0005-0000-0000-000069140000}"/>
    <cellStyle name="Comma 2 4 2 3 5" xfId="6036" xr:uid="{00000000-0005-0000-0000-00006A140000}"/>
    <cellStyle name="Comma 2 4 2 3 6" xfId="6037" xr:uid="{00000000-0005-0000-0000-00006B140000}"/>
    <cellStyle name="Comma 2 4 2 4" xfId="6038" xr:uid="{00000000-0005-0000-0000-00006C140000}"/>
    <cellStyle name="Comma 2 4 2 4 2" xfId="6039" xr:uid="{00000000-0005-0000-0000-00006D140000}"/>
    <cellStyle name="Comma 2 4 2 4 2 2" xfId="6040" xr:uid="{00000000-0005-0000-0000-00006E140000}"/>
    <cellStyle name="Comma 2 4 2 4 2 2 2" xfId="6041" xr:uid="{00000000-0005-0000-0000-00006F140000}"/>
    <cellStyle name="Comma 2 4 2 4 2 3" xfId="6042" xr:uid="{00000000-0005-0000-0000-000070140000}"/>
    <cellStyle name="Comma 2 4 2 4 2 4" xfId="6043" xr:uid="{00000000-0005-0000-0000-000071140000}"/>
    <cellStyle name="Comma 2 4 2 4 2 5" xfId="6044" xr:uid="{00000000-0005-0000-0000-000072140000}"/>
    <cellStyle name="Comma 2 4 2 4 3" xfId="6045" xr:uid="{00000000-0005-0000-0000-000073140000}"/>
    <cellStyle name="Comma 2 4 2 4 3 2" xfId="6046" xr:uid="{00000000-0005-0000-0000-000074140000}"/>
    <cellStyle name="Comma 2 4 2 4 4" xfId="6047" xr:uid="{00000000-0005-0000-0000-000075140000}"/>
    <cellStyle name="Comma 2 4 2 4 5" xfId="6048" xr:uid="{00000000-0005-0000-0000-000076140000}"/>
    <cellStyle name="Comma 2 4 2 4 6" xfId="6049" xr:uid="{00000000-0005-0000-0000-000077140000}"/>
    <cellStyle name="Comma 2 4 2 5" xfId="6050" xr:uid="{00000000-0005-0000-0000-000078140000}"/>
    <cellStyle name="Comma 2 4 2 5 2" xfId="6051" xr:uid="{00000000-0005-0000-0000-000079140000}"/>
    <cellStyle name="Comma 2 4 2 5 2 2" xfId="6052" xr:uid="{00000000-0005-0000-0000-00007A140000}"/>
    <cellStyle name="Comma 2 4 2 5 3" xfId="6053" xr:uid="{00000000-0005-0000-0000-00007B140000}"/>
    <cellStyle name="Comma 2 4 2 5 4" xfId="6054" xr:uid="{00000000-0005-0000-0000-00007C140000}"/>
    <cellStyle name="Comma 2 4 2 5 5" xfId="6055" xr:uid="{00000000-0005-0000-0000-00007D140000}"/>
    <cellStyle name="Comma 2 4 2 6" xfId="6056" xr:uid="{00000000-0005-0000-0000-00007E140000}"/>
    <cellStyle name="Comma 2 4 2 6 2" xfId="6057" xr:uid="{00000000-0005-0000-0000-00007F140000}"/>
    <cellStyle name="Comma 2 4 2 6 2 2" xfId="6058" xr:uid="{00000000-0005-0000-0000-000080140000}"/>
    <cellStyle name="Comma 2 4 2 6 3" xfId="6059" xr:uid="{00000000-0005-0000-0000-000081140000}"/>
    <cellStyle name="Comma 2 4 2 6 4" xfId="6060" xr:uid="{00000000-0005-0000-0000-000082140000}"/>
    <cellStyle name="Comma 2 4 2 6 5" xfId="6061" xr:uid="{00000000-0005-0000-0000-000083140000}"/>
    <cellStyle name="Comma 2 4 2 7" xfId="6062" xr:uid="{00000000-0005-0000-0000-000084140000}"/>
    <cellStyle name="Comma 2 4 2 7 2" xfId="6063" xr:uid="{00000000-0005-0000-0000-000085140000}"/>
    <cellStyle name="Comma 2 4 2 8" xfId="6064" xr:uid="{00000000-0005-0000-0000-000086140000}"/>
    <cellStyle name="Comma 2 4 2 9" xfId="6065" xr:uid="{00000000-0005-0000-0000-000087140000}"/>
    <cellStyle name="Comma 2 4 3" xfId="6066" xr:uid="{00000000-0005-0000-0000-000088140000}"/>
    <cellStyle name="Comma 2 4 3 2" xfId="6067" xr:uid="{00000000-0005-0000-0000-000089140000}"/>
    <cellStyle name="Comma 2 4 3 2 2" xfId="6068" xr:uid="{00000000-0005-0000-0000-00008A140000}"/>
    <cellStyle name="Comma 2 4 3 2 2 2" xfId="6069" xr:uid="{00000000-0005-0000-0000-00008B140000}"/>
    <cellStyle name="Comma 2 4 3 2 2 2 2" xfId="6070" xr:uid="{00000000-0005-0000-0000-00008C140000}"/>
    <cellStyle name="Comma 2 4 3 2 2 2 3" xfId="6071" xr:uid="{00000000-0005-0000-0000-00008D140000}"/>
    <cellStyle name="Comma 2 4 3 2 2 3" xfId="6072" xr:uid="{00000000-0005-0000-0000-00008E140000}"/>
    <cellStyle name="Comma 2 4 3 2 2 3 2" xfId="6073" xr:uid="{00000000-0005-0000-0000-00008F140000}"/>
    <cellStyle name="Comma 2 4 3 2 2 4" xfId="6074" xr:uid="{00000000-0005-0000-0000-000090140000}"/>
    <cellStyle name="Comma 2 4 3 2 2 5" xfId="6075" xr:uid="{00000000-0005-0000-0000-000091140000}"/>
    <cellStyle name="Comma 2 4 3 2 3" xfId="6076" xr:uid="{00000000-0005-0000-0000-000092140000}"/>
    <cellStyle name="Comma 2 4 3 2 3 2" xfId="6077" xr:uid="{00000000-0005-0000-0000-000093140000}"/>
    <cellStyle name="Comma 2 4 3 2 3 3" xfId="6078" xr:uid="{00000000-0005-0000-0000-000094140000}"/>
    <cellStyle name="Comma 2 4 3 2 4" xfId="6079" xr:uid="{00000000-0005-0000-0000-000095140000}"/>
    <cellStyle name="Comma 2 4 3 2 4 2" xfId="6080" xr:uid="{00000000-0005-0000-0000-000096140000}"/>
    <cellStyle name="Comma 2 4 3 2 5" xfId="6081" xr:uid="{00000000-0005-0000-0000-000097140000}"/>
    <cellStyle name="Comma 2 4 3 2 6" xfId="6082" xr:uid="{00000000-0005-0000-0000-000098140000}"/>
    <cellStyle name="Comma 2 4 3 3" xfId="6083" xr:uid="{00000000-0005-0000-0000-000099140000}"/>
    <cellStyle name="Comma 2 4 3 3 2" xfId="6084" xr:uid="{00000000-0005-0000-0000-00009A140000}"/>
    <cellStyle name="Comma 2 4 3 3 2 2" xfId="6085" xr:uid="{00000000-0005-0000-0000-00009B140000}"/>
    <cellStyle name="Comma 2 4 3 3 2 2 2" xfId="6086" xr:uid="{00000000-0005-0000-0000-00009C140000}"/>
    <cellStyle name="Comma 2 4 3 3 2 3" xfId="6087" xr:uid="{00000000-0005-0000-0000-00009D140000}"/>
    <cellStyle name="Comma 2 4 3 3 2 4" xfId="6088" xr:uid="{00000000-0005-0000-0000-00009E140000}"/>
    <cellStyle name="Comma 2 4 3 3 2 5" xfId="6089" xr:uid="{00000000-0005-0000-0000-00009F140000}"/>
    <cellStyle name="Comma 2 4 3 3 3" xfId="6090" xr:uid="{00000000-0005-0000-0000-0000A0140000}"/>
    <cellStyle name="Comma 2 4 3 3 3 2" xfId="6091" xr:uid="{00000000-0005-0000-0000-0000A1140000}"/>
    <cellStyle name="Comma 2 4 3 3 4" xfId="6092" xr:uid="{00000000-0005-0000-0000-0000A2140000}"/>
    <cellStyle name="Comma 2 4 3 3 5" xfId="6093" xr:uid="{00000000-0005-0000-0000-0000A3140000}"/>
    <cellStyle name="Comma 2 4 3 3 6" xfId="6094" xr:uid="{00000000-0005-0000-0000-0000A4140000}"/>
    <cellStyle name="Comma 2 4 3 4" xfId="6095" xr:uid="{00000000-0005-0000-0000-0000A5140000}"/>
    <cellStyle name="Comma 2 4 3 4 2" xfId="6096" xr:uid="{00000000-0005-0000-0000-0000A6140000}"/>
    <cellStyle name="Comma 2 4 3 4 2 2" xfId="6097" xr:uid="{00000000-0005-0000-0000-0000A7140000}"/>
    <cellStyle name="Comma 2 4 3 4 3" xfId="6098" xr:uid="{00000000-0005-0000-0000-0000A8140000}"/>
    <cellStyle name="Comma 2 4 3 4 4" xfId="6099" xr:uid="{00000000-0005-0000-0000-0000A9140000}"/>
    <cellStyle name="Comma 2 4 3 4 5" xfId="6100" xr:uid="{00000000-0005-0000-0000-0000AA140000}"/>
    <cellStyle name="Comma 2 4 3 5" xfId="6101" xr:uid="{00000000-0005-0000-0000-0000AB140000}"/>
    <cellStyle name="Comma 2 4 3 5 2" xfId="6102" xr:uid="{00000000-0005-0000-0000-0000AC140000}"/>
    <cellStyle name="Comma 2 4 3 5 2 2" xfId="6103" xr:uid="{00000000-0005-0000-0000-0000AD140000}"/>
    <cellStyle name="Comma 2 4 3 5 3" xfId="6104" xr:uid="{00000000-0005-0000-0000-0000AE140000}"/>
    <cellStyle name="Comma 2 4 3 5 4" xfId="6105" xr:uid="{00000000-0005-0000-0000-0000AF140000}"/>
    <cellStyle name="Comma 2 4 3 5 5" xfId="6106" xr:uid="{00000000-0005-0000-0000-0000B0140000}"/>
    <cellStyle name="Comma 2 4 3 6" xfId="6107" xr:uid="{00000000-0005-0000-0000-0000B1140000}"/>
    <cellStyle name="Comma 2 4 3 6 2" xfId="6108" xr:uid="{00000000-0005-0000-0000-0000B2140000}"/>
    <cellStyle name="Comma 2 4 3 7" xfId="6109" xr:uid="{00000000-0005-0000-0000-0000B3140000}"/>
    <cellStyle name="Comma 2 4 3 8" xfId="6110" xr:uid="{00000000-0005-0000-0000-0000B4140000}"/>
    <cellStyle name="Comma 2 4 3 9" xfId="6111" xr:uid="{00000000-0005-0000-0000-0000B5140000}"/>
    <cellStyle name="Comma 2 4 4" xfId="6112" xr:uid="{00000000-0005-0000-0000-0000B6140000}"/>
    <cellStyle name="Comma 2 4 4 2" xfId="6113" xr:uid="{00000000-0005-0000-0000-0000B7140000}"/>
    <cellStyle name="Comma 2 4 4 2 2" xfId="6114" xr:uid="{00000000-0005-0000-0000-0000B8140000}"/>
    <cellStyle name="Comma 2 4 4 2 2 2" xfId="6115" xr:uid="{00000000-0005-0000-0000-0000B9140000}"/>
    <cellStyle name="Comma 2 4 4 2 2 3" xfId="6116" xr:uid="{00000000-0005-0000-0000-0000BA140000}"/>
    <cellStyle name="Comma 2 4 4 2 3" xfId="6117" xr:uid="{00000000-0005-0000-0000-0000BB140000}"/>
    <cellStyle name="Comma 2 4 4 2 3 2" xfId="6118" xr:uid="{00000000-0005-0000-0000-0000BC140000}"/>
    <cellStyle name="Comma 2 4 4 2 4" xfId="6119" xr:uid="{00000000-0005-0000-0000-0000BD140000}"/>
    <cellStyle name="Comma 2 4 4 2 5" xfId="6120" xr:uid="{00000000-0005-0000-0000-0000BE140000}"/>
    <cellStyle name="Comma 2 4 4 3" xfId="6121" xr:uid="{00000000-0005-0000-0000-0000BF140000}"/>
    <cellStyle name="Comma 2 4 4 3 2" xfId="6122" xr:uid="{00000000-0005-0000-0000-0000C0140000}"/>
    <cellStyle name="Comma 2 4 4 3 3" xfId="6123" xr:uid="{00000000-0005-0000-0000-0000C1140000}"/>
    <cellStyle name="Comma 2 4 4 4" xfId="6124" xr:uid="{00000000-0005-0000-0000-0000C2140000}"/>
    <cellStyle name="Comma 2 4 4 4 2" xfId="6125" xr:uid="{00000000-0005-0000-0000-0000C3140000}"/>
    <cellStyle name="Comma 2 4 4 5" xfId="6126" xr:uid="{00000000-0005-0000-0000-0000C4140000}"/>
    <cellStyle name="Comma 2 4 4 6" xfId="6127" xr:uid="{00000000-0005-0000-0000-0000C5140000}"/>
    <cellStyle name="Comma 2 4 5" xfId="6128" xr:uid="{00000000-0005-0000-0000-0000C6140000}"/>
    <cellStyle name="Comma 2 4 5 2" xfId="6129" xr:uid="{00000000-0005-0000-0000-0000C7140000}"/>
    <cellStyle name="Comma 2 4 5 2 2" xfId="6130" xr:uid="{00000000-0005-0000-0000-0000C8140000}"/>
    <cellStyle name="Comma 2 4 5 2 2 2" xfId="6131" xr:uid="{00000000-0005-0000-0000-0000C9140000}"/>
    <cellStyle name="Comma 2 4 5 2 3" xfId="6132" xr:uid="{00000000-0005-0000-0000-0000CA140000}"/>
    <cellStyle name="Comma 2 4 5 2 4" xfId="6133" xr:uid="{00000000-0005-0000-0000-0000CB140000}"/>
    <cellStyle name="Comma 2 4 5 2 5" xfId="6134" xr:uid="{00000000-0005-0000-0000-0000CC140000}"/>
    <cellStyle name="Comma 2 4 5 3" xfId="6135" xr:uid="{00000000-0005-0000-0000-0000CD140000}"/>
    <cellStyle name="Comma 2 4 5 3 2" xfId="6136" xr:uid="{00000000-0005-0000-0000-0000CE140000}"/>
    <cellStyle name="Comma 2 4 5 4" xfId="6137" xr:uid="{00000000-0005-0000-0000-0000CF140000}"/>
    <cellStyle name="Comma 2 4 5 5" xfId="6138" xr:uid="{00000000-0005-0000-0000-0000D0140000}"/>
    <cellStyle name="Comma 2 4 5 6" xfId="6139" xr:uid="{00000000-0005-0000-0000-0000D1140000}"/>
    <cellStyle name="Comma 2 4 6" xfId="6140" xr:uid="{00000000-0005-0000-0000-0000D2140000}"/>
    <cellStyle name="Comma 2 4 6 2" xfId="6141" xr:uid="{00000000-0005-0000-0000-0000D3140000}"/>
    <cellStyle name="Comma 2 4 6 2 2" xfId="6142" xr:uid="{00000000-0005-0000-0000-0000D4140000}"/>
    <cellStyle name="Comma 2 4 6 3" xfId="6143" xr:uid="{00000000-0005-0000-0000-0000D5140000}"/>
    <cellStyle name="Comma 2 4 6 4" xfId="6144" xr:uid="{00000000-0005-0000-0000-0000D6140000}"/>
    <cellStyle name="Comma 2 4 6 5" xfId="6145" xr:uid="{00000000-0005-0000-0000-0000D7140000}"/>
    <cellStyle name="Comma 2 4 7" xfId="6146" xr:uid="{00000000-0005-0000-0000-0000D8140000}"/>
    <cellStyle name="Comma 2 4 7 2" xfId="6147" xr:uid="{00000000-0005-0000-0000-0000D9140000}"/>
    <cellStyle name="Comma 2 4 7 2 2" xfId="6148" xr:uid="{00000000-0005-0000-0000-0000DA140000}"/>
    <cellStyle name="Comma 2 4 7 3" xfId="6149" xr:uid="{00000000-0005-0000-0000-0000DB140000}"/>
    <cellStyle name="Comma 2 4 7 4" xfId="6150" xr:uid="{00000000-0005-0000-0000-0000DC140000}"/>
    <cellStyle name="Comma 2 4 7 5" xfId="6151" xr:uid="{00000000-0005-0000-0000-0000DD140000}"/>
    <cellStyle name="Comma 2 4 8" xfId="6152" xr:uid="{00000000-0005-0000-0000-0000DE140000}"/>
    <cellStyle name="Comma 2 4 8 2" xfId="6153" xr:uid="{00000000-0005-0000-0000-0000DF140000}"/>
    <cellStyle name="Comma 2 4 8 2 2" xfId="6154" xr:uid="{00000000-0005-0000-0000-0000E0140000}"/>
    <cellStyle name="Comma 2 4 8 3" xfId="6155" xr:uid="{00000000-0005-0000-0000-0000E1140000}"/>
    <cellStyle name="Comma 2 4 8 4" xfId="6156" xr:uid="{00000000-0005-0000-0000-0000E2140000}"/>
    <cellStyle name="Comma 2 4 8 5" xfId="6157" xr:uid="{00000000-0005-0000-0000-0000E3140000}"/>
    <cellStyle name="Comma 2 4 9" xfId="6158" xr:uid="{00000000-0005-0000-0000-0000E4140000}"/>
    <cellStyle name="Comma 2 5" xfId="1387" xr:uid="{00000000-0005-0000-0000-0000E5140000}"/>
    <cellStyle name="Comma 2 5 2" xfId="6159" xr:uid="{00000000-0005-0000-0000-0000E6140000}"/>
    <cellStyle name="Comma 2 5 2 10" xfId="6160" xr:uid="{00000000-0005-0000-0000-0000E7140000}"/>
    <cellStyle name="Comma 2 5 2 2" xfId="6161" xr:uid="{00000000-0005-0000-0000-0000E8140000}"/>
    <cellStyle name="Comma 2 5 2 2 2" xfId="6162" xr:uid="{00000000-0005-0000-0000-0000E9140000}"/>
    <cellStyle name="Comma 2 5 2 2 2 2" xfId="6163" xr:uid="{00000000-0005-0000-0000-0000EA140000}"/>
    <cellStyle name="Comma 2 5 2 2 2 2 2" xfId="6164" xr:uid="{00000000-0005-0000-0000-0000EB140000}"/>
    <cellStyle name="Comma 2 5 2 2 2 2 2 2" xfId="6165" xr:uid="{00000000-0005-0000-0000-0000EC140000}"/>
    <cellStyle name="Comma 2 5 2 2 2 2 2 3" xfId="6166" xr:uid="{00000000-0005-0000-0000-0000ED140000}"/>
    <cellStyle name="Comma 2 5 2 2 2 2 3" xfId="6167" xr:uid="{00000000-0005-0000-0000-0000EE140000}"/>
    <cellStyle name="Comma 2 5 2 2 2 2 3 2" xfId="6168" xr:uid="{00000000-0005-0000-0000-0000EF140000}"/>
    <cellStyle name="Comma 2 5 2 2 2 2 4" xfId="6169" xr:uid="{00000000-0005-0000-0000-0000F0140000}"/>
    <cellStyle name="Comma 2 5 2 2 2 2 5" xfId="6170" xr:uid="{00000000-0005-0000-0000-0000F1140000}"/>
    <cellStyle name="Comma 2 5 2 2 2 3" xfId="6171" xr:uid="{00000000-0005-0000-0000-0000F2140000}"/>
    <cellStyle name="Comma 2 5 2 2 2 3 2" xfId="6172" xr:uid="{00000000-0005-0000-0000-0000F3140000}"/>
    <cellStyle name="Comma 2 5 2 2 2 3 3" xfId="6173" xr:uid="{00000000-0005-0000-0000-0000F4140000}"/>
    <cellStyle name="Comma 2 5 2 2 2 4" xfId="6174" xr:uid="{00000000-0005-0000-0000-0000F5140000}"/>
    <cellStyle name="Comma 2 5 2 2 2 4 2" xfId="6175" xr:uid="{00000000-0005-0000-0000-0000F6140000}"/>
    <cellStyle name="Comma 2 5 2 2 2 5" xfId="6176" xr:uid="{00000000-0005-0000-0000-0000F7140000}"/>
    <cellStyle name="Comma 2 5 2 2 2 6" xfId="6177" xr:uid="{00000000-0005-0000-0000-0000F8140000}"/>
    <cellStyle name="Comma 2 5 2 2 3" xfId="6178" xr:uid="{00000000-0005-0000-0000-0000F9140000}"/>
    <cellStyle name="Comma 2 5 2 2 3 2" xfId="6179" xr:uid="{00000000-0005-0000-0000-0000FA140000}"/>
    <cellStyle name="Comma 2 5 2 2 3 2 2" xfId="6180" xr:uid="{00000000-0005-0000-0000-0000FB140000}"/>
    <cellStyle name="Comma 2 5 2 2 3 2 2 2" xfId="6181" xr:uid="{00000000-0005-0000-0000-0000FC140000}"/>
    <cellStyle name="Comma 2 5 2 2 3 2 3" xfId="6182" xr:uid="{00000000-0005-0000-0000-0000FD140000}"/>
    <cellStyle name="Comma 2 5 2 2 3 2 4" xfId="6183" xr:uid="{00000000-0005-0000-0000-0000FE140000}"/>
    <cellStyle name="Comma 2 5 2 2 3 2 5" xfId="6184" xr:uid="{00000000-0005-0000-0000-0000FF140000}"/>
    <cellStyle name="Comma 2 5 2 2 3 3" xfId="6185" xr:uid="{00000000-0005-0000-0000-000000150000}"/>
    <cellStyle name="Comma 2 5 2 2 3 3 2" xfId="6186" xr:uid="{00000000-0005-0000-0000-000001150000}"/>
    <cellStyle name="Comma 2 5 2 2 3 4" xfId="6187" xr:uid="{00000000-0005-0000-0000-000002150000}"/>
    <cellStyle name="Comma 2 5 2 2 3 5" xfId="6188" xr:uid="{00000000-0005-0000-0000-000003150000}"/>
    <cellStyle name="Comma 2 5 2 2 3 6" xfId="6189" xr:uid="{00000000-0005-0000-0000-000004150000}"/>
    <cellStyle name="Comma 2 5 2 2 4" xfId="6190" xr:uid="{00000000-0005-0000-0000-000005150000}"/>
    <cellStyle name="Comma 2 5 2 2 4 2" xfId="6191" xr:uid="{00000000-0005-0000-0000-000006150000}"/>
    <cellStyle name="Comma 2 5 2 2 4 2 2" xfId="6192" xr:uid="{00000000-0005-0000-0000-000007150000}"/>
    <cellStyle name="Comma 2 5 2 2 4 3" xfId="6193" xr:uid="{00000000-0005-0000-0000-000008150000}"/>
    <cellStyle name="Comma 2 5 2 2 4 4" xfId="6194" xr:uid="{00000000-0005-0000-0000-000009150000}"/>
    <cellStyle name="Comma 2 5 2 2 4 5" xfId="6195" xr:uid="{00000000-0005-0000-0000-00000A150000}"/>
    <cellStyle name="Comma 2 5 2 2 5" xfId="6196" xr:uid="{00000000-0005-0000-0000-00000B150000}"/>
    <cellStyle name="Comma 2 5 2 2 5 2" xfId="6197" xr:uid="{00000000-0005-0000-0000-00000C150000}"/>
    <cellStyle name="Comma 2 5 2 2 5 2 2" xfId="6198" xr:uid="{00000000-0005-0000-0000-00000D150000}"/>
    <cellStyle name="Comma 2 5 2 2 5 3" xfId="6199" xr:uid="{00000000-0005-0000-0000-00000E150000}"/>
    <cellStyle name="Comma 2 5 2 2 5 4" xfId="6200" xr:uid="{00000000-0005-0000-0000-00000F150000}"/>
    <cellStyle name="Comma 2 5 2 2 5 5" xfId="6201" xr:uid="{00000000-0005-0000-0000-000010150000}"/>
    <cellStyle name="Comma 2 5 2 2 6" xfId="6202" xr:uid="{00000000-0005-0000-0000-000011150000}"/>
    <cellStyle name="Comma 2 5 2 2 6 2" xfId="6203" xr:uid="{00000000-0005-0000-0000-000012150000}"/>
    <cellStyle name="Comma 2 5 2 2 7" xfId="6204" xr:uid="{00000000-0005-0000-0000-000013150000}"/>
    <cellStyle name="Comma 2 5 2 2 8" xfId="6205" xr:uid="{00000000-0005-0000-0000-000014150000}"/>
    <cellStyle name="Comma 2 5 2 2 9" xfId="6206" xr:uid="{00000000-0005-0000-0000-000015150000}"/>
    <cellStyle name="Comma 2 5 2 3" xfId="6207" xr:uid="{00000000-0005-0000-0000-000016150000}"/>
    <cellStyle name="Comma 2 5 2 3 2" xfId="6208" xr:uid="{00000000-0005-0000-0000-000017150000}"/>
    <cellStyle name="Comma 2 5 2 3 2 2" xfId="6209" xr:uid="{00000000-0005-0000-0000-000018150000}"/>
    <cellStyle name="Comma 2 5 2 3 2 2 2" xfId="6210" xr:uid="{00000000-0005-0000-0000-000019150000}"/>
    <cellStyle name="Comma 2 5 2 3 2 2 3" xfId="6211" xr:uid="{00000000-0005-0000-0000-00001A150000}"/>
    <cellStyle name="Comma 2 5 2 3 2 3" xfId="6212" xr:uid="{00000000-0005-0000-0000-00001B150000}"/>
    <cellStyle name="Comma 2 5 2 3 2 3 2" xfId="6213" xr:uid="{00000000-0005-0000-0000-00001C150000}"/>
    <cellStyle name="Comma 2 5 2 3 2 4" xfId="6214" xr:uid="{00000000-0005-0000-0000-00001D150000}"/>
    <cellStyle name="Comma 2 5 2 3 2 5" xfId="6215" xr:uid="{00000000-0005-0000-0000-00001E150000}"/>
    <cellStyle name="Comma 2 5 2 3 3" xfId="6216" xr:uid="{00000000-0005-0000-0000-00001F150000}"/>
    <cellStyle name="Comma 2 5 2 3 3 2" xfId="6217" xr:uid="{00000000-0005-0000-0000-000020150000}"/>
    <cellStyle name="Comma 2 5 2 3 3 3" xfId="6218" xr:uid="{00000000-0005-0000-0000-000021150000}"/>
    <cellStyle name="Comma 2 5 2 3 4" xfId="6219" xr:uid="{00000000-0005-0000-0000-000022150000}"/>
    <cellStyle name="Comma 2 5 2 3 4 2" xfId="6220" xr:uid="{00000000-0005-0000-0000-000023150000}"/>
    <cellStyle name="Comma 2 5 2 3 5" xfId="6221" xr:uid="{00000000-0005-0000-0000-000024150000}"/>
    <cellStyle name="Comma 2 5 2 3 6" xfId="6222" xr:uid="{00000000-0005-0000-0000-000025150000}"/>
    <cellStyle name="Comma 2 5 2 4" xfId="6223" xr:uid="{00000000-0005-0000-0000-000026150000}"/>
    <cellStyle name="Comma 2 5 2 4 2" xfId="6224" xr:uid="{00000000-0005-0000-0000-000027150000}"/>
    <cellStyle name="Comma 2 5 2 4 2 2" xfId="6225" xr:uid="{00000000-0005-0000-0000-000028150000}"/>
    <cellStyle name="Comma 2 5 2 4 2 2 2" xfId="6226" xr:uid="{00000000-0005-0000-0000-000029150000}"/>
    <cellStyle name="Comma 2 5 2 4 2 3" xfId="6227" xr:uid="{00000000-0005-0000-0000-00002A150000}"/>
    <cellStyle name="Comma 2 5 2 4 2 4" xfId="6228" xr:uid="{00000000-0005-0000-0000-00002B150000}"/>
    <cellStyle name="Comma 2 5 2 4 2 5" xfId="6229" xr:uid="{00000000-0005-0000-0000-00002C150000}"/>
    <cellStyle name="Comma 2 5 2 4 3" xfId="6230" xr:uid="{00000000-0005-0000-0000-00002D150000}"/>
    <cellStyle name="Comma 2 5 2 4 3 2" xfId="6231" xr:uid="{00000000-0005-0000-0000-00002E150000}"/>
    <cellStyle name="Comma 2 5 2 4 4" xfId="6232" xr:uid="{00000000-0005-0000-0000-00002F150000}"/>
    <cellStyle name="Comma 2 5 2 4 5" xfId="6233" xr:uid="{00000000-0005-0000-0000-000030150000}"/>
    <cellStyle name="Comma 2 5 2 4 6" xfId="6234" xr:uid="{00000000-0005-0000-0000-000031150000}"/>
    <cellStyle name="Comma 2 5 2 5" xfId="6235" xr:uid="{00000000-0005-0000-0000-000032150000}"/>
    <cellStyle name="Comma 2 5 2 5 2" xfId="6236" xr:uid="{00000000-0005-0000-0000-000033150000}"/>
    <cellStyle name="Comma 2 5 2 5 2 2" xfId="6237" xr:uid="{00000000-0005-0000-0000-000034150000}"/>
    <cellStyle name="Comma 2 5 2 5 3" xfId="6238" xr:uid="{00000000-0005-0000-0000-000035150000}"/>
    <cellStyle name="Comma 2 5 2 5 4" xfId="6239" xr:uid="{00000000-0005-0000-0000-000036150000}"/>
    <cellStyle name="Comma 2 5 2 5 5" xfId="6240" xr:uid="{00000000-0005-0000-0000-000037150000}"/>
    <cellStyle name="Comma 2 5 2 6" xfId="6241" xr:uid="{00000000-0005-0000-0000-000038150000}"/>
    <cellStyle name="Comma 2 5 2 6 2" xfId="6242" xr:uid="{00000000-0005-0000-0000-000039150000}"/>
    <cellStyle name="Comma 2 5 2 6 2 2" xfId="6243" xr:uid="{00000000-0005-0000-0000-00003A150000}"/>
    <cellStyle name="Comma 2 5 2 6 3" xfId="6244" xr:uid="{00000000-0005-0000-0000-00003B150000}"/>
    <cellStyle name="Comma 2 5 2 6 4" xfId="6245" xr:uid="{00000000-0005-0000-0000-00003C150000}"/>
    <cellStyle name="Comma 2 5 2 6 5" xfId="6246" xr:uid="{00000000-0005-0000-0000-00003D150000}"/>
    <cellStyle name="Comma 2 5 2 7" xfId="6247" xr:uid="{00000000-0005-0000-0000-00003E150000}"/>
    <cellStyle name="Comma 2 5 2 7 2" xfId="6248" xr:uid="{00000000-0005-0000-0000-00003F150000}"/>
    <cellStyle name="Comma 2 5 2 8" xfId="6249" xr:uid="{00000000-0005-0000-0000-000040150000}"/>
    <cellStyle name="Comma 2 5 2 9" xfId="6250" xr:uid="{00000000-0005-0000-0000-000041150000}"/>
    <cellStyle name="Comma 2 5 3" xfId="6251" xr:uid="{00000000-0005-0000-0000-000042150000}"/>
    <cellStyle name="Comma 2 5 3 2" xfId="6252" xr:uid="{00000000-0005-0000-0000-000043150000}"/>
    <cellStyle name="Comma 2 5 3 2 2" xfId="6253" xr:uid="{00000000-0005-0000-0000-000044150000}"/>
    <cellStyle name="Comma 2 5 3 2 2 2" xfId="6254" xr:uid="{00000000-0005-0000-0000-000045150000}"/>
    <cellStyle name="Comma 2 5 3 2 2 2 2" xfId="6255" xr:uid="{00000000-0005-0000-0000-000046150000}"/>
    <cellStyle name="Comma 2 5 3 2 2 2 3" xfId="6256" xr:uid="{00000000-0005-0000-0000-000047150000}"/>
    <cellStyle name="Comma 2 5 3 2 2 3" xfId="6257" xr:uid="{00000000-0005-0000-0000-000048150000}"/>
    <cellStyle name="Comma 2 5 3 2 2 3 2" xfId="6258" xr:uid="{00000000-0005-0000-0000-000049150000}"/>
    <cellStyle name="Comma 2 5 3 2 2 4" xfId="6259" xr:uid="{00000000-0005-0000-0000-00004A150000}"/>
    <cellStyle name="Comma 2 5 3 2 2 5" xfId="6260" xr:uid="{00000000-0005-0000-0000-00004B150000}"/>
    <cellStyle name="Comma 2 5 3 2 3" xfId="6261" xr:uid="{00000000-0005-0000-0000-00004C150000}"/>
    <cellStyle name="Comma 2 5 3 2 3 2" xfId="6262" xr:uid="{00000000-0005-0000-0000-00004D150000}"/>
    <cellStyle name="Comma 2 5 3 2 3 3" xfId="6263" xr:uid="{00000000-0005-0000-0000-00004E150000}"/>
    <cellStyle name="Comma 2 5 3 2 4" xfId="6264" xr:uid="{00000000-0005-0000-0000-00004F150000}"/>
    <cellStyle name="Comma 2 5 3 2 4 2" xfId="6265" xr:uid="{00000000-0005-0000-0000-000050150000}"/>
    <cellStyle name="Comma 2 5 3 2 5" xfId="6266" xr:uid="{00000000-0005-0000-0000-000051150000}"/>
    <cellStyle name="Comma 2 5 3 2 6" xfId="6267" xr:uid="{00000000-0005-0000-0000-000052150000}"/>
    <cellStyle name="Comma 2 5 3 3" xfId="6268" xr:uid="{00000000-0005-0000-0000-000053150000}"/>
    <cellStyle name="Comma 2 5 3 3 2" xfId="6269" xr:uid="{00000000-0005-0000-0000-000054150000}"/>
    <cellStyle name="Comma 2 5 3 3 2 2" xfId="6270" xr:uid="{00000000-0005-0000-0000-000055150000}"/>
    <cellStyle name="Comma 2 5 3 3 2 2 2" xfId="6271" xr:uid="{00000000-0005-0000-0000-000056150000}"/>
    <cellStyle name="Comma 2 5 3 3 2 3" xfId="6272" xr:uid="{00000000-0005-0000-0000-000057150000}"/>
    <cellStyle name="Comma 2 5 3 3 2 4" xfId="6273" xr:uid="{00000000-0005-0000-0000-000058150000}"/>
    <cellStyle name="Comma 2 5 3 3 2 5" xfId="6274" xr:uid="{00000000-0005-0000-0000-000059150000}"/>
    <cellStyle name="Comma 2 5 3 3 3" xfId="6275" xr:uid="{00000000-0005-0000-0000-00005A150000}"/>
    <cellStyle name="Comma 2 5 3 3 3 2" xfId="6276" xr:uid="{00000000-0005-0000-0000-00005B150000}"/>
    <cellStyle name="Comma 2 5 3 3 4" xfId="6277" xr:uid="{00000000-0005-0000-0000-00005C150000}"/>
    <cellStyle name="Comma 2 5 3 3 5" xfId="6278" xr:uid="{00000000-0005-0000-0000-00005D150000}"/>
    <cellStyle name="Comma 2 5 3 3 6" xfId="6279" xr:uid="{00000000-0005-0000-0000-00005E150000}"/>
    <cellStyle name="Comma 2 5 3 4" xfId="6280" xr:uid="{00000000-0005-0000-0000-00005F150000}"/>
    <cellStyle name="Comma 2 5 3 4 2" xfId="6281" xr:uid="{00000000-0005-0000-0000-000060150000}"/>
    <cellStyle name="Comma 2 5 3 4 2 2" xfId="6282" xr:uid="{00000000-0005-0000-0000-000061150000}"/>
    <cellStyle name="Comma 2 5 3 4 3" xfId="6283" xr:uid="{00000000-0005-0000-0000-000062150000}"/>
    <cellStyle name="Comma 2 5 3 4 4" xfId="6284" xr:uid="{00000000-0005-0000-0000-000063150000}"/>
    <cellStyle name="Comma 2 5 3 4 5" xfId="6285" xr:uid="{00000000-0005-0000-0000-000064150000}"/>
    <cellStyle name="Comma 2 5 3 5" xfId="6286" xr:uid="{00000000-0005-0000-0000-000065150000}"/>
    <cellStyle name="Comma 2 5 3 5 2" xfId="6287" xr:uid="{00000000-0005-0000-0000-000066150000}"/>
    <cellStyle name="Comma 2 5 3 5 2 2" xfId="6288" xr:uid="{00000000-0005-0000-0000-000067150000}"/>
    <cellStyle name="Comma 2 5 3 5 3" xfId="6289" xr:uid="{00000000-0005-0000-0000-000068150000}"/>
    <cellStyle name="Comma 2 5 3 5 4" xfId="6290" xr:uid="{00000000-0005-0000-0000-000069150000}"/>
    <cellStyle name="Comma 2 5 3 5 5" xfId="6291" xr:uid="{00000000-0005-0000-0000-00006A150000}"/>
    <cellStyle name="Comma 2 5 3 6" xfId="6292" xr:uid="{00000000-0005-0000-0000-00006B150000}"/>
    <cellStyle name="Comma 2 5 3 6 2" xfId="6293" xr:uid="{00000000-0005-0000-0000-00006C150000}"/>
    <cellStyle name="Comma 2 5 3 7" xfId="6294" xr:uid="{00000000-0005-0000-0000-00006D150000}"/>
    <cellStyle name="Comma 2 5 3 8" xfId="6295" xr:uid="{00000000-0005-0000-0000-00006E150000}"/>
    <cellStyle name="Comma 2 5 3 9" xfId="6296" xr:uid="{00000000-0005-0000-0000-00006F150000}"/>
    <cellStyle name="Comma 2 5 4" xfId="6297" xr:uid="{00000000-0005-0000-0000-000070150000}"/>
    <cellStyle name="Comma 2 5 4 2" xfId="6298" xr:uid="{00000000-0005-0000-0000-000071150000}"/>
    <cellStyle name="Comma 2 5 4 2 2" xfId="6299" xr:uid="{00000000-0005-0000-0000-000072150000}"/>
    <cellStyle name="Comma 2 5 4 2 2 2" xfId="6300" xr:uid="{00000000-0005-0000-0000-000073150000}"/>
    <cellStyle name="Comma 2 5 4 2 2 3" xfId="6301" xr:uid="{00000000-0005-0000-0000-000074150000}"/>
    <cellStyle name="Comma 2 5 4 2 3" xfId="6302" xr:uid="{00000000-0005-0000-0000-000075150000}"/>
    <cellStyle name="Comma 2 5 4 2 3 2" xfId="6303" xr:uid="{00000000-0005-0000-0000-000076150000}"/>
    <cellStyle name="Comma 2 5 4 2 4" xfId="6304" xr:uid="{00000000-0005-0000-0000-000077150000}"/>
    <cellStyle name="Comma 2 5 4 2 5" xfId="6305" xr:uid="{00000000-0005-0000-0000-000078150000}"/>
    <cellStyle name="Comma 2 5 4 3" xfId="6306" xr:uid="{00000000-0005-0000-0000-000079150000}"/>
    <cellStyle name="Comma 2 5 4 3 2" xfId="6307" xr:uid="{00000000-0005-0000-0000-00007A150000}"/>
    <cellStyle name="Comma 2 5 4 3 3" xfId="6308" xr:uid="{00000000-0005-0000-0000-00007B150000}"/>
    <cellStyle name="Comma 2 5 4 4" xfId="6309" xr:uid="{00000000-0005-0000-0000-00007C150000}"/>
    <cellStyle name="Comma 2 5 4 4 2" xfId="6310" xr:uid="{00000000-0005-0000-0000-00007D150000}"/>
    <cellStyle name="Comma 2 5 4 5" xfId="6311" xr:uid="{00000000-0005-0000-0000-00007E150000}"/>
    <cellStyle name="Comma 2 5 4 6" xfId="6312" xr:uid="{00000000-0005-0000-0000-00007F150000}"/>
    <cellStyle name="Comma 2 5 5" xfId="6313" xr:uid="{00000000-0005-0000-0000-000080150000}"/>
    <cellStyle name="Comma 2 5 5 2" xfId="6314" xr:uid="{00000000-0005-0000-0000-000081150000}"/>
    <cellStyle name="Comma 2 5 5 2 2" xfId="6315" xr:uid="{00000000-0005-0000-0000-000082150000}"/>
    <cellStyle name="Comma 2 5 5 2 2 2" xfId="6316" xr:uid="{00000000-0005-0000-0000-000083150000}"/>
    <cellStyle name="Comma 2 5 5 2 3" xfId="6317" xr:uid="{00000000-0005-0000-0000-000084150000}"/>
    <cellStyle name="Comma 2 5 5 2 4" xfId="6318" xr:uid="{00000000-0005-0000-0000-000085150000}"/>
    <cellStyle name="Comma 2 5 5 2 5" xfId="6319" xr:uid="{00000000-0005-0000-0000-000086150000}"/>
    <cellStyle name="Comma 2 5 5 3" xfId="6320" xr:uid="{00000000-0005-0000-0000-000087150000}"/>
    <cellStyle name="Comma 2 5 5 3 2" xfId="6321" xr:uid="{00000000-0005-0000-0000-000088150000}"/>
    <cellStyle name="Comma 2 5 5 4" xfId="6322" xr:uid="{00000000-0005-0000-0000-000089150000}"/>
    <cellStyle name="Comma 2 5 5 5" xfId="6323" xr:uid="{00000000-0005-0000-0000-00008A150000}"/>
    <cellStyle name="Comma 2 5 5 6" xfId="6324" xr:uid="{00000000-0005-0000-0000-00008B150000}"/>
    <cellStyle name="Comma 2 5 6" xfId="6325" xr:uid="{00000000-0005-0000-0000-00008C150000}"/>
    <cellStyle name="Comma 2 5 6 2" xfId="6326" xr:uid="{00000000-0005-0000-0000-00008D150000}"/>
    <cellStyle name="Comma 2 5 6 2 2" xfId="6327" xr:uid="{00000000-0005-0000-0000-00008E150000}"/>
    <cellStyle name="Comma 2 5 6 3" xfId="6328" xr:uid="{00000000-0005-0000-0000-00008F150000}"/>
    <cellStyle name="Comma 2 5 6 4" xfId="6329" xr:uid="{00000000-0005-0000-0000-000090150000}"/>
    <cellStyle name="Comma 2 5 6 5" xfId="6330" xr:uid="{00000000-0005-0000-0000-000091150000}"/>
    <cellStyle name="Comma 2 5 7" xfId="6331" xr:uid="{00000000-0005-0000-0000-000092150000}"/>
    <cellStyle name="Comma 2 5 7 2" xfId="6332" xr:uid="{00000000-0005-0000-0000-000093150000}"/>
    <cellStyle name="Comma 2 5 7 2 2" xfId="6333" xr:uid="{00000000-0005-0000-0000-000094150000}"/>
    <cellStyle name="Comma 2 5 7 3" xfId="6334" xr:uid="{00000000-0005-0000-0000-000095150000}"/>
    <cellStyle name="Comma 2 5 7 4" xfId="6335" xr:uid="{00000000-0005-0000-0000-000096150000}"/>
    <cellStyle name="Comma 2 5 7 5" xfId="6336" xr:uid="{00000000-0005-0000-0000-000097150000}"/>
    <cellStyle name="Comma 2 5 8" xfId="6337" xr:uid="{00000000-0005-0000-0000-000098150000}"/>
    <cellStyle name="Comma 2 5 8 2" xfId="6338" xr:uid="{00000000-0005-0000-0000-000099150000}"/>
    <cellStyle name="Comma 2 5 8 2 2" xfId="6339" xr:uid="{00000000-0005-0000-0000-00009A150000}"/>
    <cellStyle name="Comma 2 5 8 3" xfId="6340" xr:uid="{00000000-0005-0000-0000-00009B150000}"/>
    <cellStyle name="Comma 2 5 8 4" xfId="6341" xr:uid="{00000000-0005-0000-0000-00009C150000}"/>
    <cellStyle name="Comma 2 5 8 5" xfId="6342" xr:uid="{00000000-0005-0000-0000-00009D150000}"/>
    <cellStyle name="Comma 2 5 9" xfId="6343" xr:uid="{00000000-0005-0000-0000-00009E150000}"/>
    <cellStyle name="Comma 2 6" xfId="1388" xr:uid="{00000000-0005-0000-0000-00009F150000}"/>
    <cellStyle name="Comma 2 6 2" xfId="6344" xr:uid="{00000000-0005-0000-0000-0000A0150000}"/>
    <cellStyle name="Comma 2 6 2 2" xfId="6345" xr:uid="{00000000-0005-0000-0000-0000A1150000}"/>
    <cellStyle name="Comma 2 6 2 2 2" xfId="6346" xr:uid="{00000000-0005-0000-0000-0000A2150000}"/>
    <cellStyle name="Comma 2 6 2 2 2 2" xfId="6347" xr:uid="{00000000-0005-0000-0000-0000A3150000}"/>
    <cellStyle name="Comma 2 6 2 2 2 2 2" xfId="6348" xr:uid="{00000000-0005-0000-0000-0000A4150000}"/>
    <cellStyle name="Comma 2 6 2 2 2 2 3" xfId="6349" xr:uid="{00000000-0005-0000-0000-0000A5150000}"/>
    <cellStyle name="Comma 2 6 2 2 2 3" xfId="6350" xr:uid="{00000000-0005-0000-0000-0000A6150000}"/>
    <cellStyle name="Comma 2 6 2 2 2 3 2" xfId="6351" xr:uid="{00000000-0005-0000-0000-0000A7150000}"/>
    <cellStyle name="Comma 2 6 2 2 2 4" xfId="6352" xr:uid="{00000000-0005-0000-0000-0000A8150000}"/>
    <cellStyle name="Comma 2 6 2 2 2 5" xfId="6353" xr:uid="{00000000-0005-0000-0000-0000A9150000}"/>
    <cellStyle name="Comma 2 6 2 2 3" xfId="6354" xr:uid="{00000000-0005-0000-0000-0000AA150000}"/>
    <cellStyle name="Comma 2 6 2 2 3 2" xfId="6355" xr:uid="{00000000-0005-0000-0000-0000AB150000}"/>
    <cellStyle name="Comma 2 6 2 2 3 3" xfId="6356" xr:uid="{00000000-0005-0000-0000-0000AC150000}"/>
    <cellStyle name="Comma 2 6 2 2 4" xfId="6357" xr:uid="{00000000-0005-0000-0000-0000AD150000}"/>
    <cellStyle name="Comma 2 6 2 2 4 2" xfId="6358" xr:uid="{00000000-0005-0000-0000-0000AE150000}"/>
    <cellStyle name="Comma 2 6 2 2 5" xfId="6359" xr:uid="{00000000-0005-0000-0000-0000AF150000}"/>
    <cellStyle name="Comma 2 6 2 2 6" xfId="6360" xr:uid="{00000000-0005-0000-0000-0000B0150000}"/>
    <cellStyle name="Comma 2 6 2 3" xfId="6361" xr:uid="{00000000-0005-0000-0000-0000B1150000}"/>
    <cellStyle name="Comma 2 6 2 3 2" xfId="6362" xr:uid="{00000000-0005-0000-0000-0000B2150000}"/>
    <cellStyle name="Comma 2 6 2 3 2 2" xfId="6363" xr:uid="{00000000-0005-0000-0000-0000B3150000}"/>
    <cellStyle name="Comma 2 6 2 3 2 2 2" xfId="6364" xr:uid="{00000000-0005-0000-0000-0000B4150000}"/>
    <cellStyle name="Comma 2 6 2 3 2 3" xfId="6365" xr:uid="{00000000-0005-0000-0000-0000B5150000}"/>
    <cellStyle name="Comma 2 6 2 3 2 4" xfId="6366" xr:uid="{00000000-0005-0000-0000-0000B6150000}"/>
    <cellStyle name="Comma 2 6 2 3 2 5" xfId="6367" xr:uid="{00000000-0005-0000-0000-0000B7150000}"/>
    <cellStyle name="Comma 2 6 2 3 3" xfId="6368" xr:uid="{00000000-0005-0000-0000-0000B8150000}"/>
    <cellStyle name="Comma 2 6 2 3 3 2" xfId="6369" xr:uid="{00000000-0005-0000-0000-0000B9150000}"/>
    <cellStyle name="Comma 2 6 2 3 4" xfId="6370" xr:uid="{00000000-0005-0000-0000-0000BA150000}"/>
    <cellStyle name="Comma 2 6 2 3 5" xfId="6371" xr:uid="{00000000-0005-0000-0000-0000BB150000}"/>
    <cellStyle name="Comma 2 6 2 3 6" xfId="6372" xr:uid="{00000000-0005-0000-0000-0000BC150000}"/>
    <cellStyle name="Comma 2 6 2 4" xfId="6373" xr:uid="{00000000-0005-0000-0000-0000BD150000}"/>
    <cellStyle name="Comma 2 6 2 4 2" xfId="6374" xr:uid="{00000000-0005-0000-0000-0000BE150000}"/>
    <cellStyle name="Comma 2 6 2 4 2 2" xfId="6375" xr:uid="{00000000-0005-0000-0000-0000BF150000}"/>
    <cellStyle name="Comma 2 6 2 4 3" xfId="6376" xr:uid="{00000000-0005-0000-0000-0000C0150000}"/>
    <cellStyle name="Comma 2 6 2 4 4" xfId="6377" xr:uid="{00000000-0005-0000-0000-0000C1150000}"/>
    <cellStyle name="Comma 2 6 2 4 5" xfId="6378" xr:uid="{00000000-0005-0000-0000-0000C2150000}"/>
    <cellStyle name="Comma 2 6 2 5" xfId="6379" xr:uid="{00000000-0005-0000-0000-0000C3150000}"/>
    <cellStyle name="Comma 2 6 2 5 2" xfId="6380" xr:uid="{00000000-0005-0000-0000-0000C4150000}"/>
    <cellStyle name="Comma 2 6 2 5 2 2" xfId="6381" xr:uid="{00000000-0005-0000-0000-0000C5150000}"/>
    <cellStyle name="Comma 2 6 2 5 3" xfId="6382" xr:uid="{00000000-0005-0000-0000-0000C6150000}"/>
    <cellStyle name="Comma 2 6 2 5 4" xfId="6383" xr:uid="{00000000-0005-0000-0000-0000C7150000}"/>
    <cellStyle name="Comma 2 6 2 5 5" xfId="6384" xr:uid="{00000000-0005-0000-0000-0000C8150000}"/>
    <cellStyle name="Comma 2 6 2 6" xfId="6385" xr:uid="{00000000-0005-0000-0000-0000C9150000}"/>
    <cellStyle name="Comma 2 6 2 6 2" xfId="6386" xr:uid="{00000000-0005-0000-0000-0000CA150000}"/>
    <cellStyle name="Comma 2 6 2 7" xfId="6387" xr:uid="{00000000-0005-0000-0000-0000CB150000}"/>
    <cellStyle name="Comma 2 6 2 8" xfId="6388" xr:uid="{00000000-0005-0000-0000-0000CC150000}"/>
    <cellStyle name="Comma 2 6 2 9" xfId="6389" xr:uid="{00000000-0005-0000-0000-0000CD150000}"/>
    <cellStyle name="Comma 2 6 3" xfId="6390" xr:uid="{00000000-0005-0000-0000-0000CE150000}"/>
    <cellStyle name="Comma 2 6 3 2" xfId="6391" xr:uid="{00000000-0005-0000-0000-0000CF150000}"/>
    <cellStyle name="Comma 2 6 3 2 2" xfId="6392" xr:uid="{00000000-0005-0000-0000-0000D0150000}"/>
    <cellStyle name="Comma 2 6 3 2 2 2" xfId="6393" xr:uid="{00000000-0005-0000-0000-0000D1150000}"/>
    <cellStyle name="Comma 2 6 3 2 2 3" xfId="6394" xr:uid="{00000000-0005-0000-0000-0000D2150000}"/>
    <cellStyle name="Comma 2 6 3 2 3" xfId="6395" xr:uid="{00000000-0005-0000-0000-0000D3150000}"/>
    <cellStyle name="Comma 2 6 3 2 3 2" xfId="6396" xr:uid="{00000000-0005-0000-0000-0000D4150000}"/>
    <cellStyle name="Comma 2 6 3 2 4" xfId="6397" xr:uid="{00000000-0005-0000-0000-0000D5150000}"/>
    <cellStyle name="Comma 2 6 3 2 5" xfId="6398" xr:uid="{00000000-0005-0000-0000-0000D6150000}"/>
    <cellStyle name="Comma 2 6 3 3" xfId="6399" xr:uid="{00000000-0005-0000-0000-0000D7150000}"/>
    <cellStyle name="Comma 2 6 3 3 2" xfId="6400" xr:uid="{00000000-0005-0000-0000-0000D8150000}"/>
    <cellStyle name="Comma 2 6 3 3 3" xfId="6401" xr:uid="{00000000-0005-0000-0000-0000D9150000}"/>
    <cellStyle name="Comma 2 6 3 4" xfId="6402" xr:uid="{00000000-0005-0000-0000-0000DA150000}"/>
    <cellStyle name="Comma 2 6 3 4 2" xfId="6403" xr:uid="{00000000-0005-0000-0000-0000DB150000}"/>
    <cellStyle name="Comma 2 6 3 5" xfId="6404" xr:uid="{00000000-0005-0000-0000-0000DC150000}"/>
    <cellStyle name="Comma 2 6 3 6" xfId="6405" xr:uid="{00000000-0005-0000-0000-0000DD150000}"/>
    <cellStyle name="Comma 2 6 4" xfId="6406" xr:uid="{00000000-0005-0000-0000-0000DE150000}"/>
    <cellStyle name="Comma 2 6 4 2" xfId="6407" xr:uid="{00000000-0005-0000-0000-0000DF150000}"/>
    <cellStyle name="Comma 2 6 4 2 2" xfId="6408" xr:uid="{00000000-0005-0000-0000-0000E0150000}"/>
    <cellStyle name="Comma 2 6 4 2 2 2" xfId="6409" xr:uid="{00000000-0005-0000-0000-0000E1150000}"/>
    <cellStyle name="Comma 2 6 4 2 3" xfId="6410" xr:uid="{00000000-0005-0000-0000-0000E2150000}"/>
    <cellStyle name="Comma 2 6 4 2 4" xfId="6411" xr:uid="{00000000-0005-0000-0000-0000E3150000}"/>
    <cellStyle name="Comma 2 6 4 2 5" xfId="6412" xr:uid="{00000000-0005-0000-0000-0000E4150000}"/>
    <cellStyle name="Comma 2 6 4 3" xfId="6413" xr:uid="{00000000-0005-0000-0000-0000E5150000}"/>
    <cellStyle name="Comma 2 6 4 3 2" xfId="6414" xr:uid="{00000000-0005-0000-0000-0000E6150000}"/>
    <cellStyle name="Comma 2 6 4 4" xfId="6415" xr:uid="{00000000-0005-0000-0000-0000E7150000}"/>
    <cellStyle name="Comma 2 6 4 5" xfId="6416" xr:uid="{00000000-0005-0000-0000-0000E8150000}"/>
    <cellStyle name="Comma 2 6 4 6" xfId="6417" xr:uid="{00000000-0005-0000-0000-0000E9150000}"/>
    <cellStyle name="Comma 2 6 5" xfId="6418" xr:uid="{00000000-0005-0000-0000-0000EA150000}"/>
    <cellStyle name="Comma 2 6 5 2" xfId="6419" xr:uid="{00000000-0005-0000-0000-0000EB150000}"/>
    <cellStyle name="Comma 2 6 5 2 2" xfId="6420" xr:uid="{00000000-0005-0000-0000-0000EC150000}"/>
    <cellStyle name="Comma 2 6 5 3" xfId="6421" xr:uid="{00000000-0005-0000-0000-0000ED150000}"/>
    <cellStyle name="Comma 2 6 5 4" xfId="6422" xr:uid="{00000000-0005-0000-0000-0000EE150000}"/>
    <cellStyle name="Comma 2 6 5 5" xfId="6423" xr:uid="{00000000-0005-0000-0000-0000EF150000}"/>
    <cellStyle name="Comma 2 6 6" xfId="6424" xr:uid="{00000000-0005-0000-0000-0000F0150000}"/>
    <cellStyle name="Comma 2 6 6 2" xfId="6425" xr:uid="{00000000-0005-0000-0000-0000F1150000}"/>
    <cellStyle name="Comma 2 6 6 2 2" xfId="6426" xr:uid="{00000000-0005-0000-0000-0000F2150000}"/>
    <cellStyle name="Comma 2 6 6 3" xfId="6427" xr:uid="{00000000-0005-0000-0000-0000F3150000}"/>
    <cellStyle name="Comma 2 6 6 4" xfId="6428" xr:uid="{00000000-0005-0000-0000-0000F4150000}"/>
    <cellStyle name="Comma 2 6 6 5" xfId="6429" xr:uid="{00000000-0005-0000-0000-0000F5150000}"/>
    <cellStyle name="Comma 2 6 7" xfId="6430" xr:uid="{00000000-0005-0000-0000-0000F6150000}"/>
    <cellStyle name="Comma 2 6 7 2" xfId="6431" xr:uid="{00000000-0005-0000-0000-0000F7150000}"/>
    <cellStyle name="Comma 2 6 7 2 2" xfId="6432" xr:uid="{00000000-0005-0000-0000-0000F8150000}"/>
    <cellStyle name="Comma 2 6 7 3" xfId="6433" xr:uid="{00000000-0005-0000-0000-0000F9150000}"/>
    <cellStyle name="Comma 2 6 7 4" xfId="6434" xr:uid="{00000000-0005-0000-0000-0000FA150000}"/>
    <cellStyle name="Comma 2 6 7 5" xfId="6435" xr:uid="{00000000-0005-0000-0000-0000FB150000}"/>
    <cellStyle name="Comma 2 6 8" xfId="6436" xr:uid="{00000000-0005-0000-0000-0000FC150000}"/>
    <cellStyle name="Comma 2 7" xfId="1389" xr:uid="{00000000-0005-0000-0000-0000FD150000}"/>
    <cellStyle name="Comma 2 7 2" xfId="6437" xr:uid="{00000000-0005-0000-0000-0000FE150000}"/>
    <cellStyle name="Comma 2 7 2 2" xfId="6438" xr:uid="{00000000-0005-0000-0000-0000FF150000}"/>
    <cellStyle name="Comma 2 7 2 2 2" xfId="6439" xr:uid="{00000000-0005-0000-0000-000000160000}"/>
    <cellStyle name="Comma 2 7 2 2 2 2" xfId="6440" xr:uid="{00000000-0005-0000-0000-000001160000}"/>
    <cellStyle name="Comma 2 7 2 2 2 3" xfId="6441" xr:uid="{00000000-0005-0000-0000-000002160000}"/>
    <cellStyle name="Comma 2 7 2 2 3" xfId="6442" xr:uid="{00000000-0005-0000-0000-000003160000}"/>
    <cellStyle name="Comma 2 7 2 2 3 2" xfId="6443" xr:uid="{00000000-0005-0000-0000-000004160000}"/>
    <cellStyle name="Comma 2 7 2 2 4" xfId="6444" xr:uid="{00000000-0005-0000-0000-000005160000}"/>
    <cellStyle name="Comma 2 7 2 2 5" xfId="6445" xr:uid="{00000000-0005-0000-0000-000006160000}"/>
    <cellStyle name="Comma 2 7 2 3" xfId="6446" xr:uid="{00000000-0005-0000-0000-000007160000}"/>
    <cellStyle name="Comma 2 7 2 3 2" xfId="6447" xr:uid="{00000000-0005-0000-0000-000008160000}"/>
    <cellStyle name="Comma 2 7 2 3 3" xfId="6448" xr:uid="{00000000-0005-0000-0000-000009160000}"/>
    <cellStyle name="Comma 2 7 2 4" xfId="6449" xr:uid="{00000000-0005-0000-0000-00000A160000}"/>
    <cellStyle name="Comma 2 7 2 4 2" xfId="6450" xr:uid="{00000000-0005-0000-0000-00000B160000}"/>
    <cellStyle name="Comma 2 7 2 5" xfId="6451" xr:uid="{00000000-0005-0000-0000-00000C160000}"/>
    <cellStyle name="Comma 2 7 2 6" xfId="6452" xr:uid="{00000000-0005-0000-0000-00000D160000}"/>
    <cellStyle name="Comma 2 7 3" xfId="6453" xr:uid="{00000000-0005-0000-0000-00000E160000}"/>
    <cellStyle name="Comma 2 7 3 2" xfId="6454" xr:uid="{00000000-0005-0000-0000-00000F160000}"/>
    <cellStyle name="Comma 2 7 3 2 2" xfId="6455" xr:uid="{00000000-0005-0000-0000-000010160000}"/>
    <cellStyle name="Comma 2 7 3 2 2 2" xfId="6456" xr:uid="{00000000-0005-0000-0000-000011160000}"/>
    <cellStyle name="Comma 2 7 3 2 3" xfId="6457" xr:uid="{00000000-0005-0000-0000-000012160000}"/>
    <cellStyle name="Comma 2 7 3 2 4" xfId="6458" xr:uid="{00000000-0005-0000-0000-000013160000}"/>
    <cellStyle name="Comma 2 7 3 2 5" xfId="6459" xr:uid="{00000000-0005-0000-0000-000014160000}"/>
    <cellStyle name="Comma 2 7 3 3" xfId="6460" xr:uid="{00000000-0005-0000-0000-000015160000}"/>
    <cellStyle name="Comma 2 7 3 3 2" xfId="6461" xr:uid="{00000000-0005-0000-0000-000016160000}"/>
    <cellStyle name="Comma 2 7 3 4" xfId="6462" xr:uid="{00000000-0005-0000-0000-000017160000}"/>
    <cellStyle name="Comma 2 7 3 5" xfId="6463" xr:uid="{00000000-0005-0000-0000-000018160000}"/>
    <cellStyle name="Comma 2 7 3 6" xfId="6464" xr:uid="{00000000-0005-0000-0000-000019160000}"/>
    <cellStyle name="Comma 2 7 4" xfId="6465" xr:uid="{00000000-0005-0000-0000-00001A160000}"/>
    <cellStyle name="Comma 2 7 4 2" xfId="6466" xr:uid="{00000000-0005-0000-0000-00001B160000}"/>
    <cellStyle name="Comma 2 7 4 2 2" xfId="6467" xr:uid="{00000000-0005-0000-0000-00001C160000}"/>
    <cellStyle name="Comma 2 7 4 3" xfId="6468" xr:uid="{00000000-0005-0000-0000-00001D160000}"/>
    <cellStyle name="Comma 2 7 4 4" xfId="6469" xr:uid="{00000000-0005-0000-0000-00001E160000}"/>
    <cellStyle name="Comma 2 7 4 5" xfId="6470" xr:uid="{00000000-0005-0000-0000-00001F160000}"/>
    <cellStyle name="Comma 2 7 5" xfId="6471" xr:uid="{00000000-0005-0000-0000-000020160000}"/>
    <cellStyle name="Comma 2 7 5 2" xfId="6472" xr:uid="{00000000-0005-0000-0000-000021160000}"/>
    <cellStyle name="Comma 2 7 5 2 2" xfId="6473" xr:uid="{00000000-0005-0000-0000-000022160000}"/>
    <cellStyle name="Comma 2 7 5 3" xfId="6474" xr:uid="{00000000-0005-0000-0000-000023160000}"/>
    <cellStyle name="Comma 2 7 5 4" xfId="6475" xr:uid="{00000000-0005-0000-0000-000024160000}"/>
    <cellStyle name="Comma 2 7 5 5" xfId="6476" xr:uid="{00000000-0005-0000-0000-000025160000}"/>
    <cellStyle name="Comma 2 7 6" xfId="6477" xr:uid="{00000000-0005-0000-0000-000026160000}"/>
    <cellStyle name="Comma 2 7 6 2" xfId="6478" xr:uid="{00000000-0005-0000-0000-000027160000}"/>
    <cellStyle name="Comma 2 7 6 2 2" xfId="6479" xr:uid="{00000000-0005-0000-0000-000028160000}"/>
    <cellStyle name="Comma 2 7 6 3" xfId="6480" xr:uid="{00000000-0005-0000-0000-000029160000}"/>
    <cellStyle name="Comma 2 7 6 4" xfId="6481" xr:uid="{00000000-0005-0000-0000-00002A160000}"/>
    <cellStyle name="Comma 2 7 6 5" xfId="6482" xr:uid="{00000000-0005-0000-0000-00002B160000}"/>
    <cellStyle name="Comma 2 7 7" xfId="6483" xr:uid="{00000000-0005-0000-0000-00002C160000}"/>
    <cellStyle name="Comma 2 8" xfId="1390" xr:uid="{00000000-0005-0000-0000-00002D160000}"/>
    <cellStyle name="Comma 2 8 2" xfId="6484" xr:uid="{00000000-0005-0000-0000-00002E160000}"/>
    <cellStyle name="Comma 2 8 2 2" xfId="6485" xr:uid="{00000000-0005-0000-0000-00002F160000}"/>
    <cellStyle name="Comma 2 8 2 2 2" xfId="6486" xr:uid="{00000000-0005-0000-0000-000030160000}"/>
    <cellStyle name="Comma 2 8 2 2 3" xfId="6487" xr:uid="{00000000-0005-0000-0000-000031160000}"/>
    <cellStyle name="Comma 2 8 2 3" xfId="6488" xr:uid="{00000000-0005-0000-0000-000032160000}"/>
    <cellStyle name="Comma 2 8 2 3 2" xfId="6489" xr:uid="{00000000-0005-0000-0000-000033160000}"/>
    <cellStyle name="Comma 2 8 2 4" xfId="6490" xr:uid="{00000000-0005-0000-0000-000034160000}"/>
    <cellStyle name="Comma 2 8 2 5" xfId="6491" xr:uid="{00000000-0005-0000-0000-000035160000}"/>
    <cellStyle name="Comma 2 8 3" xfId="6492" xr:uid="{00000000-0005-0000-0000-000036160000}"/>
    <cellStyle name="Comma 2 8 3 2" xfId="6493" xr:uid="{00000000-0005-0000-0000-000037160000}"/>
    <cellStyle name="Comma 2 8 3 2 2" xfId="6494" xr:uid="{00000000-0005-0000-0000-000038160000}"/>
    <cellStyle name="Comma 2 8 3 3" xfId="6495" xr:uid="{00000000-0005-0000-0000-000039160000}"/>
    <cellStyle name="Comma 2 8 3 4" xfId="6496" xr:uid="{00000000-0005-0000-0000-00003A160000}"/>
    <cellStyle name="Comma 2 8 3 5" xfId="6497" xr:uid="{00000000-0005-0000-0000-00003B160000}"/>
    <cellStyle name="Comma 2 8 4" xfId="6498" xr:uid="{00000000-0005-0000-0000-00003C160000}"/>
    <cellStyle name="Comma 2 8 4 2" xfId="6499" xr:uid="{00000000-0005-0000-0000-00003D160000}"/>
    <cellStyle name="Comma 2 8 4 2 2" xfId="6500" xr:uid="{00000000-0005-0000-0000-00003E160000}"/>
    <cellStyle name="Comma 2 8 4 3" xfId="6501" xr:uid="{00000000-0005-0000-0000-00003F160000}"/>
    <cellStyle name="Comma 2 8 4 4" xfId="6502" xr:uid="{00000000-0005-0000-0000-000040160000}"/>
    <cellStyle name="Comma 2 8 4 5" xfId="6503" xr:uid="{00000000-0005-0000-0000-000041160000}"/>
    <cellStyle name="Comma 2 8 5" xfId="6504" xr:uid="{00000000-0005-0000-0000-000042160000}"/>
    <cellStyle name="Comma 2 9" xfId="1391" xr:uid="{00000000-0005-0000-0000-000043160000}"/>
    <cellStyle name="Comma 2 9 2" xfId="6505" xr:uid="{00000000-0005-0000-0000-000044160000}"/>
    <cellStyle name="Comma 2 9 2 2" xfId="6506" xr:uid="{00000000-0005-0000-0000-000045160000}"/>
    <cellStyle name="Comma 2 9 2 2 2" xfId="6507" xr:uid="{00000000-0005-0000-0000-000046160000}"/>
    <cellStyle name="Comma 2 9 2 3" xfId="6508" xr:uid="{00000000-0005-0000-0000-000047160000}"/>
    <cellStyle name="Comma 2 9 2 4" xfId="6509" xr:uid="{00000000-0005-0000-0000-000048160000}"/>
    <cellStyle name="Comma 2 9 2 5" xfId="6510" xr:uid="{00000000-0005-0000-0000-000049160000}"/>
    <cellStyle name="Comma 2 9 3" xfId="6511" xr:uid="{00000000-0005-0000-0000-00004A160000}"/>
    <cellStyle name="Comma 2 9 3 2" xfId="6512" xr:uid="{00000000-0005-0000-0000-00004B160000}"/>
    <cellStyle name="Comma 2 9 3 2 2" xfId="6513" xr:uid="{00000000-0005-0000-0000-00004C160000}"/>
    <cellStyle name="Comma 2 9 3 3" xfId="6514" xr:uid="{00000000-0005-0000-0000-00004D160000}"/>
    <cellStyle name="Comma 2 9 3 4" xfId="6515" xr:uid="{00000000-0005-0000-0000-00004E160000}"/>
    <cellStyle name="Comma 2 9 3 5" xfId="6516" xr:uid="{00000000-0005-0000-0000-00004F160000}"/>
    <cellStyle name="Comma 2 9 4" xfId="6517" xr:uid="{00000000-0005-0000-0000-000050160000}"/>
    <cellStyle name="Comma 20" xfId="6518" xr:uid="{00000000-0005-0000-0000-000051160000}"/>
    <cellStyle name="Comma 20 2" xfId="6519" xr:uid="{00000000-0005-0000-0000-000052160000}"/>
    <cellStyle name="Comma 21" xfId="6520" xr:uid="{00000000-0005-0000-0000-000053160000}"/>
    <cellStyle name="Comma 21 2" xfId="6521" xr:uid="{00000000-0005-0000-0000-000054160000}"/>
    <cellStyle name="Comma 22" xfId="6522" xr:uid="{00000000-0005-0000-0000-000055160000}"/>
    <cellStyle name="Comma 23" xfId="6523" xr:uid="{00000000-0005-0000-0000-000056160000}"/>
    <cellStyle name="Comma 24" xfId="6524" xr:uid="{00000000-0005-0000-0000-000057160000}"/>
    <cellStyle name="Comma 25" xfId="6525" xr:uid="{00000000-0005-0000-0000-000058160000}"/>
    <cellStyle name="Comma 26" xfId="6526" xr:uid="{00000000-0005-0000-0000-000059160000}"/>
    <cellStyle name="Comma 27" xfId="6527" xr:uid="{00000000-0005-0000-0000-00005A160000}"/>
    <cellStyle name="Comma 28" xfId="6528" xr:uid="{00000000-0005-0000-0000-00005B160000}"/>
    <cellStyle name="Comma 29" xfId="6529" xr:uid="{00000000-0005-0000-0000-00005C160000}"/>
    <cellStyle name="Comma 29 2" xfId="6530" xr:uid="{00000000-0005-0000-0000-00005D160000}"/>
    <cellStyle name="Comma 3" xfId="65" xr:uid="{00000000-0005-0000-0000-00005E160000}"/>
    <cellStyle name="Comma 3 10" xfId="6531" xr:uid="{00000000-0005-0000-0000-00005F160000}"/>
    <cellStyle name="Comma 3 11" xfId="6532" xr:uid="{00000000-0005-0000-0000-000060160000}"/>
    <cellStyle name="Comma 3 2" xfId="1392" xr:uid="{00000000-0005-0000-0000-000061160000}"/>
    <cellStyle name="Comma 3 2 2" xfId="2152" xr:uid="{00000000-0005-0000-0000-000062160000}"/>
    <cellStyle name="Comma 3 2 2 2" xfId="6533" xr:uid="{00000000-0005-0000-0000-000063160000}"/>
    <cellStyle name="Comma 3 2 2 2 2" xfId="6534" xr:uid="{00000000-0005-0000-0000-000064160000}"/>
    <cellStyle name="Comma 3 2 2 2 2 2" xfId="6535" xr:uid="{00000000-0005-0000-0000-000065160000}"/>
    <cellStyle name="Comma 3 2 2 2 2 2 2" xfId="6536" xr:uid="{00000000-0005-0000-0000-000066160000}"/>
    <cellStyle name="Comma 3 2 2 2 2 2 2 2" xfId="6537" xr:uid="{00000000-0005-0000-0000-000067160000}"/>
    <cellStyle name="Comma 3 2 2 2 2 2 3" xfId="6538" xr:uid="{00000000-0005-0000-0000-000068160000}"/>
    <cellStyle name="Comma 3 2 2 2 2 3" xfId="6539" xr:uid="{00000000-0005-0000-0000-000069160000}"/>
    <cellStyle name="Comma 3 2 2 2 2 3 2" xfId="6540" xr:uid="{00000000-0005-0000-0000-00006A160000}"/>
    <cellStyle name="Comma 3 2 2 2 2 4" xfId="6541" xr:uid="{00000000-0005-0000-0000-00006B160000}"/>
    <cellStyle name="Comma 3 2 2 2 3" xfId="6542" xr:uid="{00000000-0005-0000-0000-00006C160000}"/>
    <cellStyle name="Comma 3 2 2 2 3 2" xfId="6543" xr:uid="{00000000-0005-0000-0000-00006D160000}"/>
    <cellStyle name="Comma 3 2 2 2 3 2 2" xfId="6544" xr:uid="{00000000-0005-0000-0000-00006E160000}"/>
    <cellStyle name="Comma 3 2 2 2 3 3" xfId="6545" xr:uid="{00000000-0005-0000-0000-00006F160000}"/>
    <cellStyle name="Comma 3 2 2 2 4" xfId="6546" xr:uid="{00000000-0005-0000-0000-000070160000}"/>
    <cellStyle name="Comma 3 2 2 2 4 2" xfId="6547" xr:uid="{00000000-0005-0000-0000-000071160000}"/>
    <cellStyle name="Comma 3 2 2 2 5" xfId="6548" xr:uid="{00000000-0005-0000-0000-000072160000}"/>
    <cellStyle name="Comma 3 2 2 2 6" xfId="6549" xr:uid="{00000000-0005-0000-0000-000073160000}"/>
    <cellStyle name="Comma 3 2 2 2 7" xfId="6550" xr:uid="{00000000-0005-0000-0000-000074160000}"/>
    <cellStyle name="Comma 3 2 2 3" xfId="6551" xr:uid="{00000000-0005-0000-0000-000075160000}"/>
    <cellStyle name="Comma 3 2 2 3 2" xfId="6552" xr:uid="{00000000-0005-0000-0000-000076160000}"/>
    <cellStyle name="Comma 3 2 2 3 2 2" xfId="6553" xr:uid="{00000000-0005-0000-0000-000077160000}"/>
    <cellStyle name="Comma 3 2 2 3 2 2 2" xfId="6554" xr:uid="{00000000-0005-0000-0000-000078160000}"/>
    <cellStyle name="Comma 3 2 2 3 2 3" xfId="6555" xr:uid="{00000000-0005-0000-0000-000079160000}"/>
    <cellStyle name="Comma 3 2 2 3 3" xfId="6556" xr:uid="{00000000-0005-0000-0000-00007A160000}"/>
    <cellStyle name="Comma 3 2 2 3 3 2" xfId="6557" xr:uid="{00000000-0005-0000-0000-00007B160000}"/>
    <cellStyle name="Comma 3 2 2 3 4" xfId="6558" xr:uid="{00000000-0005-0000-0000-00007C160000}"/>
    <cellStyle name="Comma 3 2 2 4" xfId="6559" xr:uid="{00000000-0005-0000-0000-00007D160000}"/>
    <cellStyle name="Comma 3 2 2 4 2" xfId="6560" xr:uid="{00000000-0005-0000-0000-00007E160000}"/>
    <cellStyle name="Comma 3 2 2 4 2 2" xfId="6561" xr:uid="{00000000-0005-0000-0000-00007F160000}"/>
    <cellStyle name="Comma 3 2 2 4 3" xfId="6562" xr:uid="{00000000-0005-0000-0000-000080160000}"/>
    <cellStyle name="Comma 3 2 2 5" xfId="6563" xr:uid="{00000000-0005-0000-0000-000081160000}"/>
    <cellStyle name="Comma 3 2 2 5 2" xfId="6564" xr:uid="{00000000-0005-0000-0000-000082160000}"/>
    <cellStyle name="Comma 3 2 2 6" xfId="6565" xr:uid="{00000000-0005-0000-0000-000083160000}"/>
    <cellStyle name="Comma 3 2 2 7" xfId="6566" xr:uid="{00000000-0005-0000-0000-000084160000}"/>
    <cellStyle name="Comma 3 2 2 8" xfId="6567" xr:uid="{00000000-0005-0000-0000-000085160000}"/>
    <cellStyle name="Comma 3 2 3" xfId="6568" xr:uid="{00000000-0005-0000-0000-000086160000}"/>
    <cellStyle name="Comma 3 2 3 2" xfId="6569" xr:uid="{00000000-0005-0000-0000-000087160000}"/>
    <cellStyle name="Comma 3 2 3 2 2" xfId="6570" xr:uid="{00000000-0005-0000-0000-000088160000}"/>
    <cellStyle name="Comma 3 2 3 2 2 2" xfId="6571" xr:uid="{00000000-0005-0000-0000-000089160000}"/>
    <cellStyle name="Comma 3 2 3 2 2 2 2" xfId="6572" xr:uid="{00000000-0005-0000-0000-00008A160000}"/>
    <cellStyle name="Comma 3 2 3 2 2 3" xfId="6573" xr:uid="{00000000-0005-0000-0000-00008B160000}"/>
    <cellStyle name="Comma 3 2 3 2 3" xfId="6574" xr:uid="{00000000-0005-0000-0000-00008C160000}"/>
    <cellStyle name="Comma 3 2 3 2 3 2" xfId="6575" xr:uid="{00000000-0005-0000-0000-00008D160000}"/>
    <cellStyle name="Comma 3 2 3 2 4" xfId="6576" xr:uid="{00000000-0005-0000-0000-00008E160000}"/>
    <cellStyle name="Comma 3 2 3 3" xfId="6577" xr:uid="{00000000-0005-0000-0000-00008F160000}"/>
    <cellStyle name="Comma 3 2 3 3 2" xfId="6578" xr:uid="{00000000-0005-0000-0000-000090160000}"/>
    <cellStyle name="Comma 3 2 3 3 2 2" xfId="6579" xr:uid="{00000000-0005-0000-0000-000091160000}"/>
    <cellStyle name="Comma 3 2 3 3 3" xfId="6580" xr:uid="{00000000-0005-0000-0000-000092160000}"/>
    <cellStyle name="Comma 3 2 3 4" xfId="6581" xr:uid="{00000000-0005-0000-0000-000093160000}"/>
    <cellStyle name="Comma 3 2 3 4 2" xfId="6582" xr:uid="{00000000-0005-0000-0000-000094160000}"/>
    <cellStyle name="Comma 3 2 3 5" xfId="6583" xr:uid="{00000000-0005-0000-0000-000095160000}"/>
    <cellStyle name="Comma 3 2 3 6" xfId="6584" xr:uid="{00000000-0005-0000-0000-000096160000}"/>
    <cellStyle name="Comma 3 2 3 7" xfId="6585" xr:uid="{00000000-0005-0000-0000-000097160000}"/>
    <cellStyle name="Comma 3 2 4" xfId="6586" xr:uid="{00000000-0005-0000-0000-000098160000}"/>
    <cellStyle name="Comma 3 2 4 2" xfId="6587" xr:uid="{00000000-0005-0000-0000-000099160000}"/>
    <cellStyle name="Comma 3 2 4 2 2" xfId="6588" xr:uid="{00000000-0005-0000-0000-00009A160000}"/>
    <cellStyle name="Comma 3 2 4 2 2 2" xfId="6589" xr:uid="{00000000-0005-0000-0000-00009B160000}"/>
    <cellStyle name="Comma 3 2 4 2 2 2 2" xfId="6590" xr:uid="{00000000-0005-0000-0000-00009C160000}"/>
    <cellStyle name="Comma 3 2 4 2 2 3" xfId="6591" xr:uid="{00000000-0005-0000-0000-00009D160000}"/>
    <cellStyle name="Comma 3 2 4 2 3" xfId="6592" xr:uid="{00000000-0005-0000-0000-00009E160000}"/>
    <cellStyle name="Comma 3 2 4 2 3 2" xfId="6593" xr:uid="{00000000-0005-0000-0000-00009F160000}"/>
    <cellStyle name="Comma 3 2 4 2 4" xfId="6594" xr:uid="{00000000-0005-0000-0000-0000A0160000}"/>
    <cellStyle name="Comma 3 2 4 3" xfId="6595" xr:uid="{00000000-0005-0000-0000-0000A1160000}"/>
    <cellStyle name="Comma 3 2 4 3 2" xfId="6596" xr:uid="{00000000-0005-0000-0000-0000A2160000}"/>
    <cellStyle name="Comma 3 2 4 3 2 2" xfId="6597" xr:uid="{00000000-0005-0000-0000-0000A3160000}"/>
    <cellStyle name="Comma 3 2 4 3 3" xfId="6598" xr:uid="{00000000-0005-0000-0000-0000A4160000}"/>
    <cellStyle name="Comma 3 2 4 4" xfId="6599" xr:uid="{00000000-0005-0000-0000-0000A5160000}"/>
    <cellStyle name="Comma 3 2 4 4 2" xfId="6600" xr:uid="{00000000-0005-0000-0000-0000A6160000}"/>
    <cellStyle name="Comma 3 2 4 5" xfId="6601" xr:uid="{00000000-0005-0000-0000-0000A7160000}"/>
    <cellStyle name="Comma 3 2 5" xfId="6602" xr:uid="{00000000-0005-0000-0000-0000A8160000}"/>
    <cellStyle name="Comma 3 2 5 2" xfId="6603" xr:uid="{00000000-0005-0000-0000-0000A9160000}"/>
    <cellStyle name="Comma 3 2 5 2 2" xfId="6604" xr:uid="{00000000-0005-0000-0000-0000AA160000}"/>
    <cellStyle name="Comma 3 2 5 2 2 2" xfId="6605" xr:uid="{00000000-0005-0000-0000-0000AB160000}"/>
    <cellStyle name="Comma 3 2 5 2 3" xfId="6606" xr:uid="{00000000-0005-0000-0000-0000AC160000}"/>
    <cellStyle name="Comma 3 2 5 3" xfId="6607" xr:uid="{00000000-0005-0000-0000-0000AD160000}"/>
    <cellStyle name="Comma 3 2 5 3 2" xfId="6608" xr:uid="{00000000-0005-0000-0000-0000AE160000}"/>
    <cellStyle name="Comma 3 2 5 4" xfId="6609" xr:uid="{00000000-0005-0000-0000-0000AF160000}"/>
    <cellStyle name="Comma 3 2 6" xfId="6610" xr:uid="{00000000-0005-0000-0000-0000B0160000}"/>
    <cellStyle name="Comma 3 2 6 2" xfId="6611" xr:uid="{00000000-0005-0000-0000-0000B1160000}"/>
    <cellStyle name="Comma 3 2 6 2 2" xfId="6612" xr:uid="{00000000-0005-0000-0000-0000B2160000}"/>
    <cellStyle name="Comma 3 2 6 3" xfId="6613" xr:uid="{00000000-0005-0000-0000-0000B3160000}"/>
    <cellStyle name="Comma 3 2 7" xfId="6614" xr:uid="{00000000-0005-0000-0000-0000B4160000}"/>
    <cellStyle name="Comma 3 2 7 2" xfId="6615" xr:uid="{00000000-0005-0000-0000-0000B5160000}"/>
    <cellStyle name="Comma 3 2 8" xfId="6616" xr:uid="{00000000-0005-0000-0000-0000B6160000}"/>
    <cellStyle name="Comma 3 3" xfId="1393" xr:uid="{00000000-0005-0000-0000-0000B7160000}"/>
    <cellStyle name="Comma 3 3 2" xfId="6617" xr:uid="{00000000-0005-0000-0000-0000B8160000}"/>
    <cellStyle name="Comma 3 3 2 2" xfId="6618" xr:uid="{00000000-0005-0000-0000-0000B9160000}"/>
    <cellStyle name="Comma 3 3 2 2 2" xfId="6619" xr:uid="{00000000-0005-0000-0000-0000BA160000}"/>
    <cellStyle name="Comma 3 3 2 2 2 2" xfId="6620" xr:uid="{00000000-0005-0000-0000-0000BB160000}"/>
    <cellStyle name="Comma 3 3 2 2 2 2 2" xfId="6621" xr:uid="{00000000-0005-0000-0000-0000BC160000}"/>
    <cellStyle name="Comma 3 3 2 2 2 3" xfId="6622" xr:uid="{00000000-0005-0000-0000-0000BD160000}"/>
    <cellStyle name="Comma 3 3 2 2 3" xfId="6623" xr:uid="{00000000-0005-0000-0000-0000BE160000}"/>
    <cellStyle name="Comma 3 3 2 2 3 2" xfId="6624" xr:uid="{00000000-0005-0000-0000-0000BF160000}"/>
    <cellStyle name="Comma 3 3 2 2 4" xfId="6625" xr:uid="{00000000-0005-0000-0000-0000C0160000}"/>
    <cellStyle name="Comma 3 3 2 2 5" xfId="6626" xr:uid="{00000000-0005-0000-0000-0000C1160000}"/>
    <cellStyle name="Comma 3 3 2 2 6" xfId="6627" xr:uid="{00000000-0005-0000-0000-0000C2160000}"/>
    <cellStyle name="Comma 3 3 2 3" xfId="6628" xr:uid="{00000000-0005-0000-0000-0000C3160000}"/>
    <cellStyle name="Comma 3 3 2 3 2" xfId="6629" xr:uid="{00000000-0005-0000-0000-0000C4160000}"/>
    <cellStyle name="Comma 3 3 2 3 2 2" xfId="6630" xr:uid="{00000000-0005-0000-0000-0000C5160000}"/>
    <cellStyle name="Comma 3 3 2 3 3" xfId="6631" xr:uid="{00000000-0005-0000-0000-0000C6160000}"/>
    <cellStyle name="Comma 3 3 2 4" xfId="6632" xr:uid="{00000000-0005-0000-0000-0000C7160000}"/>
    <cellStyle name="Comma 3 3 2 4 2" xfId="6633" xr:uid="{00000000-0005-0000-0000-0000C8160000}"/>
    <cellStyle name="Comma 3 3 2 5" xfId="6634" xr:uid="{00000000-0005-0000-0000-0000C9160000}"/>
    <cellStyle name="Comma 3 3 2 6" xfId="6635" xr:uid="{00000000-0005-0000-0000-0000CA160000}"/>
    <cellStyle name="Comma 3 3 2 7" xfId="6636" xr:uid="{00000000-0005-0000-0000-0000CB160000}"/>
    <cellStyle name="Comma 3 3 3" xfId="6637" xr:uid="{00000000-0005-0000-0000-0000CC160000}"/>
    <cellStyle name="Comma 3 3 3 2" xfId="6638" xr:uid="{00000000-0005-0000-0000-0000CD160000}"/>
    <cellStyle name="Comma 3 3 3 2 2" xfId="6639" xr:uid="{00000000-0005-0000-0000-0000CE160000}"/>
    <cellStyle name="Comma 3 3 3 2 2 2" xfId="6640" xr:uid="{00000000-0005-0000-0000-0000CF160000}"/>
    <cellStyle name="Comma 3 3 3 2 3" xfId="6641" xr:uid="{00000000-0005-0000-0000-0000D0160000}"/>
    <cellStyle name="Comma 3 3 3 3" xfId="6642" xr:uid="{00000000-0005-0000-0000-0000D1160000}"/>
    <cellStyle name="Comma 3 3 3 3 2" xfId="6643" xr:uid="{00000000-0005-0000-0000-0000D2160000}"/>
    <cellStyle name="Comma 3 3 3 4" xfId="6644" xr:uid="{00000000-0005-0000-0000-0000D3160000}"/>
    <cellStyle name="Comma 3 3 3 5" xfId="6645" xr:uid="{00000000-0005-0000-0000-0000D4160000}"/>
    <cellStyle name="Comma 3 3 3 6" xfId="6646" xr:uid="{00000000-0005-0000-0000-0000D5160000}"/>
    <cellStyle name="Comma 3 3 4" xfId="6647" xr:uid="{00000000-0005-0000-0000-0000D6160000}"/>
    <cellStyle name="Comma 3 3 4 2" xfId="6648" xr:uid="{00000000-0005-0000-0000-0000D7160000}"/>
    <cellStyle name="Comma 3 3 4 2 2" xfId="6649" xr:uid="{00000000-0005-0000-0000-0000D8160000}"/>
    <cellStyle name="Comma 3 3 4 3" xfId="6650" xr:uid="{00000000-0005-0000-0000-0000D9160000}"/>
    <cellStyle name="Comma 3 3 5" xfId="6651" xr:uid="{00000000-0005-0000-0000-0000DA160000}"/>
    <cellStyle name="Comma 3 3 5 2" xfId="6652" xr:uid="{00000000-0005-0000-0000-0000DB160000}"/>
    <cellStyle name="Comma 3 3 6" xfId="6653" xr:uid="{00000000-0005-0000-0000-0000DC160000}"/>
    <cellStyle name="Comma 3 3 7" xfId="6654" xr:uid="{00000000-0005-0000-0000-0000DD160000}"/>
    <cellStyle name="Comma 3 3 8" xfId="6655" xr:uid="{00000000-0005-0000-0000-0000DE160000}"/>
    <cellStyle name="Comma 3 4" xfId="1394" xr:uid="{00000000-0005-0000-0000-0000DF160000}"/>
    <cellStyle name="Comma 3 4 2" xfId="6656" xr:uid="{00000000-0005-0000-0000-0000E0160000}"/>
    <cellStyle name="Comma 3 4 2 2" xfId="6657" xr:uid="{00000000-0005-0000-0000-0000E1160000}"/>
    <cellStyle name="Comma 3 4 2 2 2" xfId="6658" xr:uid="{00000000-0005-0000-0000-0000E2160000}"/>
    <cellStyle name="Comma 3 4 2 2 2 2" xfId="6659" xr:uid="{00000000-0005-0000-0000-0000E3160000}"/>
    <cellStyle name="Comma 3 4 2 2 3" xfId="6660" xr:uid="{00000000-0005-0000-0000-0000E4160000}"/>
    <cellStyle name="Comma 3 4 2 2 4" xfId="6661" xr:uid="{00000000-0005-0000-0000-0000E5160000}"/>
    <cellStyle name="Comma 3 4 2 3" xfId="6662" xr:uid="{00000000-0005-0000-0000-0000E6160000}"/>
    <cellStyle name="Comma 3 4 2 3 2" xfId="6663" xr:uid="{00000000-0005-0000-0000-0000E7160000}"/>
    <cellStyle name="Comma 3 4 2 4" xfId="6664" xr:uid="{00000000-0005-0000-0000-0000E8160000}"/>
    <cellStyle name="Comma 3 4 2 5" xfId="6665" xr:uid="{00000000-0005-0000-0000-0000E9160000}"/>
    <cellStyle name="Comma 3 4 2 6" xfId="6666" xr:uid="{00000000-0005-0000-0000-0000EA160000}"/>
    <cellStyle name="Comma 3 4 3" xfId="6667" xr:uid="{00000000-0005-0000-0000-0000EB160000}"/>
    <cellStyle name="Comma 3 4 3 2" xfId="6668" xr:uid="{00000000-0005-0000-0000-0000EC160000}"/>
    <cellStyle name="Comma 3 4 3 2 2" xfId="6669" xr:uid="{00000000-0005-0000-0000-0000ED160000}"/>
    <cellStyle name="Comma 3 4 3 3" xfId="6670" xr:uid="{00000000-0005-0000-0000-0000EE160000}"/>
    <cellStyle name="Comma 3 4 3 4" xfId="6671" xr:uid="{00000000-0005-0000-0000-0000EF160000}"/>
    <cellStyle name="Comma 3 4 4" xfId="6672" xr:uid="{00000000-0005-0000-0000-0000F0160000}"/>
    <cellStyle name="Comma 3 4 4 2" xfId="6673" xr:uid="{00000000-0005-0000-0000-0000F1160000}"/>
    <cellStyle name="Comma 3 4 5" xfId="6674" xr:uid="{00000000-0005-0000-0000-0000F2160000}"/>
    <cellStyle name="Comma 3 4 5 2" xfId="6675" xr:uid="{00000000-0005-0000-0000-0000F3160000}"/>
    <cellStyle name="Comma 3 4 6" xfId="6676" xr:uid="{00000000-0005-0000-0000-0000F4160000}"/>
    <cellStyle name="Comma 3 4 7" xfId="6677" xr:uid="{00000000-0005-0000-0000-0000F5160000}"/>
    <cellStyle name="Comma 3 4 8" xfId="6678" xr:uid="{00000000-0005-0000-0000-0000F6160000}"/>
    <cellStyle name="Comma 3 5" xfId="1395" xr:uid="{00000000-0005-0000-0000-0000F7160000}"/>
    <cellStyle name="Comma 3 5 2" xfId="6679" xr:uid="{00000000-0005-0000-0000-0000F8160000}"/>
    <cellStyle name="Comma 3 5 2 2" xfId="6680" xr:uid="{00000000-0005-0000-0000-0000F9160000}"/>
    <cellStyle name="Comma 3 5 2 2 2" xfId="6681" xr:uid="{00000000-0005-0000-0000-0000FA160000}"/>
    <cellStyle name="Comma 3 5 2 2 2 2" xfId="6682" xr:uid="{00000000-0005-0000-0000-0000FB160000}"/>
    <cellStyle name="Comma 3 5 2 2 3" xfId="6683" xr:uid="{00000000-0005-0000-0000-0000FC160000}"/>
    <cellStyle name="Comma 3 5 2 3" xfId="6684" xr:uid="{00000000-0005-0000-0000-0000FD160000}"/>
    <cellStyle name="Comma 3 5 2 3 2" xfId="6685" xr:uid="{00000000-0005-0000-0000-0000FE160000}"/>
    <cellStyle name="Comma 3 5 2 4" xfId="6686" xr:uid="{00000000-0005-0000-0000-0000FF160000}"/>
    <cellStyle name="Comma 3 5 2 5" xfId="6687" xr:uid="{00000000-0005-0000-0000-000000170000}"/>
    <cellStyle name="Comma 3 5 3" xfId="6688" xr:uid="{00000000-0005-0000-0000-000001170000}"/>
    <cellStyle name="Comma 3 5 3 2" xfId="6689" xr:uid="{00000000-0005-0000-0000-000002170000}"/>
    <cellStyle name="Comma 3 5 3 2 2" xfId="6690" xr:uid="{00000000-0005-0000-0000-000003170000}"/>
    <cellStyle name="Comma 3 5 3 3" xfId="6691" xr:uid="{00000000-0005-0000-0000-000004170000}"/>
    <cellStyle name="Comma 3 5 4" xfId="6692" xr:uid="{00000000-0005-0000-0000-000005170000}"/>
    <cellStyle name="Comma 3 5 4 2" xfId="6693" xr:uid="{00000000-0005-0000-0000-000006170000}"/>
    <cellStyle name="Comma 3 5 5" xfId="6694" xr:uid="{00000000-0005-0000-0000-000007170000}"/>
    <cellStyle name="Comma 3 5 6" xfId="6695" xr:uid="{00000000-0005-0000-0000-000008170000}"/>
    <cellStyle name="Comma 3 5 7" xfId="6696" xr:uid="{00000000-0005-0000-0000-000009170000}"/>
    <cellStyle name="Comma 3 6" xfId="6697" xr:uid="{00000000-0005-0000-0000-00000A170000}"/>
    <cellStyle name="Comma 3 6 2" xfId="6698" xr:uid="{00000000-0005-0000-0000-00000B170000}"/>
    <cellStyle name="Comma 3 6 2 2" xfId="6699" xr:uid="{00000000-0005-0000-0000-00000C170000}"/>
    <cellStyle name="Comma 3 6 2 2 2" xfId="6700" xr:uid="{00000000-0005-0000-0000-00000D170000}"/>
    <cellStyle name="Comma 3 6 2 3" xfId="6701" xr:uid="{00000000-0005-0000-0000-00000E170000}"/>
    <cellStyle name="Comma 3 6 2 4" xfId="6702" xr:uid="{00000000-0005-0000-0000-00000F170000}"/>
    <cellStyle name="Comma 3 6 3" xfId="6703" xr:uid="{00000000-0005-0000-0000-000010170000}"/>
    <cellStyle name="Comma 3 6 3 2" xfId="6704" xr:uid="{00000000-0005-0000-0000-000011170000}"/>
    <cellStyle name="Comma 3 6 4" xfId="6705" xr:uid="{00000000-0005-0000-0000-000012170000}"/>
    <cellStyle name="Comma 3 6 5" xfId="6706" xr:uid="{00000000-0005-0000-0000-000013170000}"/>
    <cellStyle name="Comma 3 7" xfId="6707" xr:uid="{00000000-0005-0000-0000-000014170000}"/>
    <cellStyle name="Comma 3 7 2" xfId="6708" xr:uid="{00000000-0005-0000-0000-000015170000}"/>
    <cellStyle name="Comma 3 7 2 2" xfId="6709" xr:uid="{00000000-0005-0000-0000-000016170000}"/>
    <cellStyle name="Comma 3 7 3" xfId="6710" xr:uid="{00000000-0005-0000-0000-000017170000}"/>
    <cellStyle name="Comma 3 7 4" xfId="6711" xr:uid="{00000000-0005-0000-0000-000018170000}"/>
    <cellStyle name="Comma 3 8" xfId="6712" xr:uid="{00000000-0005-0000-0000-000019170000}"/>
    <cellStyle name="Comma 3 8 2" xfId="6713" xr:uid="{00000000-0005-0000-0000-00001A170000}"/>
    <cellStyle name="Comma 3 8 2 2" xfId="6714" xr:uid="{00000000-0005-0000-0000-00001B170000}"/>
    <cellStyle name="Comma 3 8 3" xfId="6715" xr:uid="{00000000-0005-0000-0000-00001C170000}"/>
    <cellStyle name="Comma 3 9" xfId="6716" xr:uid="{00000000-0005-0000-0000-00001D170000}"/>
    <cellStyle name="Comma 3 9 2" xfId="6717" xr:uid="{00000000-0005-0000-0000-00001E170000}"/>
    <cellStyle name="Comma 30" xfId="6718" xr:uid="{00000000-0005-0000-0000-00001F170000}"/>
    <cellStyle name="Comma 30 2" xfId="6719" xr:uid="{00000000-0005-0000-0000-000020170000}"/>
    <cellStyle name="Comma 30 2 2" xfId="6720" xr:uid="{00000000-0005-0000-0000-000021170000}"/>
    <cellStyle name="Comma 30 2 2 2" xfId="6721" xr:uid="{00000000-0005-0000-0000-000022170000}"/>
    <cellStyle name="Comma 30 2 3" xfId="6722" xr:uid="{00000000-0005-0000-0000-000023170000}"/>
    <cellStyle name="Comma 30 3" xfId="6723" xr:uid="{00000000-0005-0000-0000-000024170000}"/>
    <cellStyle name="Comma 30 3 2" xfId="6724" xr:uid="{00000000-0005-0000-0000-000025170000}"/>
    <cellStyle name="Comma 30 4" xfId="6725" xr:uid="{00000000-0005-0000-0000-000026170000}"/>
    <cellStyle name="Comma 30 5" xfId="6726" xr:uid="{00000000-0005-0000-0000-000027170000}"/>
    <cellStyle name="Comma 31" xfId="6727" xr:uid="{00000000-0005-0000-0000-000028170000}"/>
    <cellStyle name="Comma 31 2" xfId="6728" xr:uid="{00000000-0005-0000-0000-000029170000}"/>
    <cellStyle name="Comma 32" xfId="6729" xr:uid="{00000000-0005-0000-0000-00002A170000}"/>
    <cellStyle name="Comma 33" xfId="6730" xr:uid="{00000000-0005-0000-0000-00002B170000}"/>
    <cellStyle name="Comma 33 2" xfId="6731" xr:uid="{00000000-0005-0000-0000-00002C170000}"/>
    <cellStyle name="Comma 34" xfId="6732" xr:uid="{00000000-0005-0000-0000-00002D170000}"/>
    <cellStyle name="Comma 34 2" xfId="6733" xr:uid="{00000000-0005-0000-0000-00002E170000}"/>
    <cellStyle name="Comma 35" xfId="6734" xr:uid="{00000000-0005-0000-0000-00002F170000}"/>
    <cellStyle name="Comma 35 2" xfId="6735" xr:uid="{00000000-0005-0000-0000-000030170000}"/>
    <cellStyle name="Comma 36" xfId="6736" xr:uid="{00000000-0005-0000-0000-000031170000}"/>
    <cellStyle name="Comma 36 2" xfId="6737" xr:uid="{00000000-0005-0000-0000-000032170000}"/>
    <cellStyle name="Comma 37" xfId="6738" xr:uid="{00000000-0005-0000-0000-000033170000}"/>
    <cellStyle name="Comma 37 2" xfId="6739" xr:uid="{00000000-0005-0000-0000-000034170000}"/>
    <cellStyle name="Comma 38" xfId="6740" xr:uid="{00000000-0005-0000-0000-000035170000}"/>
    <cellStyle name="Comma 39" xfId="6741" xr:uid="{00000000-0005-0000-0000-000036170000}"/>
    <cellStyle name="Comma 4" xfId="1396" xr:uid="{00000000-0005-0000-0000-000037170000}"/>
    <cellStyle name="Comma 4 10" xfId="6742" xr:uid="{00000000-0005-0000-0000-000038170000}"/>
    <cellStyle name="Comma 4 2" xfId="1397" xr:uid="{00000000-0005-0000-0000-000039170000}"/>
    <cellStyle name="Comma 4 2 2" xfId="6743" xr:uid="{00000000-0005-0000-0000-00003A170000}"/>
    <cellStyle name="Comma 4 2 2 2" xfId="6744" xr:uid="{00000000-0005-0000-0000-00003B170000}"/>
    <cellStyle name="Comma 4 2 2 2 2" xfId="6745" xr:uid="{00000000-0005-0000-0000-00003C170000}"/>
    <cellStyle name="Comma 4 2 2 2 2 2" xfId="6746" xr:uid="{00000000-0005-0000-0000-00003D170000}"/>
    <cellStyle name="Comma 4 2 2 2 3" xfId="6747" xr:uid="{00000000-0005-0000-0000-00003E170000}"/>
    <cellStyle name="Comma 4 2 2 2 4" xfId="6748" xr:uid="{00000000-0005-0000-0000-00003F170000}"/>
    <cellStyle name="Comma 4 2 2 2 5" xfId="6749" xr:uid="{00000000-0005-0000-0000-000040170000}"/>
    <cellStyle name="Comma 4 2 2 3" xfId="6750" xr:uid="{00000000-0005-0000-0000-000041170000}"/>
    <cellStyle name="Comma 4 2 2 3 2" xfId="6751" xr:uid="{00000000-0005-0000-0000-000042170000}"/>
    <cellStyle name="Comma 4 2 2 4" xfId="6752" xr:uid="{00000000-0005-0000-0000-000043170000}"/>
    <cellStyle name="Comma 4 2 2 4 2" xfId="6753" xr:uid="{00000000-0005-0000-0000-000044170000}"/>
    <cellStyle name="Comma 4 2 2 5" xfId="6754" xr:uid="{00000000-0005-0000-0000-000045170000}"/>
    <cellStyle name="Comma 4 2 2 6" xfId="6755" xr:uid="{00000000-0005-0000-0000-000046170000}"/>
    <cellStyle name="Comma 4 2 3" xfId="6756" xr:uid="{00000000-0005-0000-0000-000047170000}"/>
    <cellStyle name="Comma 4 2 3 2" xfId="6757" xr:uid="{00000000-0005-0000-0000-000048170000}"/>
    <cellStyle name="Comma 4 2 3 2 2" xfId="6758" xr:uid="{00000000-0005-0000-0000-000049170000}"/>
    <cellStyle name="Comma 4 2 3 3" xfId="6759" xr:uid="{00000000-0005-0000-0000-00004A170000}"/>
    <cellStyle name="Comma 4 2 3 3 2" xfId="6760" xr:uid="{00000000-0005-0000-0000-00004B170000}"/>
    <cellStyle name="Comma 4 2 3 4" xfId="6761" xr:uid="{00000000-0005-0000-0000-00004C170000}"/>
    <cellStyle name="Comma 4 2 3 5" xfId="6762" xr:uid="{00000000-0005-0000-0000-00004D170000}"/>
    <cellStyle name="Comma 4 2 4" xfId="6763" xr:uid="{00000000-0005-0000-0000-00004E170000}"/>
    <cellStyle name="Comma 4 2 4 2" xfId="6764" xr:uid="{00000000-0005-0000-0000-00004F170000}"/>
    <cellStyle name="Comma 4 2 4 3" xfId="6765" xr:uid="{00000000-0005-0000-0000-000050170000}"/>
    <cellStyle name="Comma 4 2 4 4" xfId="6766" xr:uid="{00000000-0005-0000-0000-000051170000}"/>
    <cellStyle name="Comma 4 2 5" xfId="6767" xr:uid="{00000000-0005-0000-0000-000052170000}"/>
    <cellStyle name="Comma 4 2 5 2" xfId="6768" xr:uid="{00000000-0005-0000-0000-000053170000}"/>
    <cellStyle name="Comma 4 2 6" xfId="6769" xr:uid="{00000000-0005-0000-0000-000054170000}"/>
    <cellStyle name="Comma 4 2 7" xfId="6770" xr:uid="{00000000-0005-0000-0000-000055170000}"/>
    <cellStyle name="Comma 4 2 8" xfId="6771" xr:uid="{00000000-0005-0000-0000-000056170000}"/>
    <cellStyle name="Comma 4 2 9" xfId="6772" xr:uid="{00000000-0005-0000-0000-000057170000}"/>
    <cellStyle name="Comma 4 3" xfId="1398" xr:uid="{00000000-0005-0000-0000-000058170000}"/>
    <cellStyle name="Comma 4 3 2" xfId="6773" xr:uid="{00000000-0005-0000-0000-000059170000}"/>
    <cellStyle name="Comma 4 3 2 2" xfId="6774" xr:uid="{00000000-0005-0000-0000-00005A170000}"/>
    <cellStyle name="Comma 4 3 2 2 2" xfId="6775" xr:uid="{00000000-0005-0000-0000-00005B170000}"/>
    <cellStyle name="Comma 4 3 2 2 2 2" xfId="6776" xr:uid="{00000000-0005-0000-0000-00005C170000}"/>
    <cellStyle name="Comma 4 3 2 2 2 2 2" xfId="6777" xr:uid="{00000000-0005-0000-0000-00005D170000}"/>
    <cellStyle name="Comma 4 3 2 2 2 3" xfId="6778" xr:uid="{00000000-0005-0000-0000-00005E170000}"/>
    <cellStyle name="Comma 4 3 2 2 3" xfId="6779" xr:uid="{00000000-0005-0000-0000-00005F170000}"/>
    <cellStyle name="Comma 4 3 2 2 3 2" xfId="6780" xr:uid="{00000000-0005-0000-0000-000060170000}"/>
    <cellStyle name="Comma 4 3 2 2 4" xfId="6781" xr:uid="{00000000-0005-0000-0000-000061170000}"/>
    <cellStyle name="Comma 4 3 2 2 5" xfId="6782" xr:uid="{00000000-0005-0000-0000-000062170000}"/>
    <cellStyle name="Comma 4 3 2 3" xfId="6783" xr:uid="{00000000-0005-0000-0000-000063170000}"/>
    <cellStyle name="Comma 4 3 2 3 2" xfId="6784" xr:uid="{00000000-0005-0000-0000-000064170000}"/>
    <cellStyle name="Comma 4 3 2 3 2 2" xfId="6785" xr:uid="{00000000-0005-0000-0000-000065170000}"/>
    <cellStyle name="Comma 4 3 2 3 3" xfId="6786" xr:uid="{00000000-0005-0000-0000-000066170000}"/>
    <cellStyle name="Comma 4 3 2 4" xfId="6787" xr:uid="{00000000-0005-0000-0000-000067170000}"/>
    <cellStyle name="Comma 4 3 2 4 2" xfId="6788" xr:uid="{00000000-0005-0000-0000-000068170000}"/>
    <cellStyle name="Comma 4 3 2 5" xfId="6789" xr:uid="{00000000-0005-0000-0000-000069170000}"/>
    <cellStyle name="Comma 4 3 2 6" xfId="6790" xr:uid="{00000000-0005-0000-0000-00006A170000}"/>
    <cellStyle name="Comma 4 3 2 7" xfId="6791" xr:uid="{00000000-0005-0000-0000-00006B170000}"/>
    <cellStyle name="Comma 4 3 3" xfId="6792" xr:uid="{00000000-0005-0000-0000-00006C170000}"/>
    <cellStyle name="Comma 4 3 3 2" xfId="6793" xr:uid="{00000000-0005-0000-0000-00006D170000}"/>
    <cellStyle name="Comma 4 3 3 2 2" xfId="6794" xr:uid="{00000000-0005-0000-0000-00006E170000}"/>
    <cellStyle name="Comma 4 3 3 2 2 2" xfId="6795" xr:uid="{00000000-0005-0000-0000-00006F170000}"/>
    <cellStyle name="Comma 4 3 3 2 3" xfId="6796" xr:uid="{00000000-0005-0000-0000-000070170000}"/>
    <cellStyle name="Comma 4 3 3 3" xfId="6797" xr:uid="{00000000-0005-0000-0000-000071170000}"/>
    <cellStyle name="Comma 4 3 3 3 2" xfId="6798" xr:uid="{00000000-0005-0000-0000-000072170000}"/>
    <cellStyle name="Comma 4 3 3 4" xfId="6799" xr:uid="{00000000-0005-0000-0000-000073170000}"/>
    <cellStyle name="Comma 4 3 3 5" xfId="6800" xr:uid="{00000000-0005-0000-0000-000074170000}"/>
    <cellStyle name="Comma 4 3 4" xfId="6801" xr:uid="{00000000-0005-0000-0000-000075170000}"/>
    <cellStyle name="Comma 4 3 4 2" xfId="6802" xr:uid="{00000000-0005-0000-0000-000076170000}"/>
    <cellStyle name="Comma 4 3 4 2 2" xfId="6803" xr:uid="{00000000-0005-0000-0000-000077170000}"/>
    <cellStyle name="Comma 4 3 4 3" xfId="6804" xr:uid="{00000000-0005-0000-0000-000078170000}"/>
    <cellStyle name="Comma 4 3 5" xfId="6805" xr:uid="{00000000-0005-0000-0000-000079170000}"/>
    <cellStyle name="Comma 4 3 5 2" xfId="6806" xr:uid="{00000000-0005-0000-0000-00007A170000}"/>
    <cellStyle name="Comma 4 3 6" xfId="6807" xr:uid="{00000000-0005-0000-0000-00007B170000}"/>
    <cellStyle name="Comma 4 3 7" xfId="6808" xr:uid="{00000000-0005-0000-0000-00007C170000}"/>
    <cellStyle name="Comma 4 3 8" xfId="6809" xr:uid="{00000000-0005-0000-0000-00007D170000}"/>
    <cellStyle name="Comma 4 4" xfId="1399" xr:uid="{00000000-0005-0000-0000-00007E170000}"/>
    <cellStyle name="Comma 4 4 2" xfId="6810" xr:uid="{00000000-0005-0000-0000-00007F170000}"/>
    <cellStyle name="Comma 4 4 2 2" xfId="6811" xr:uid="{00000000-0005-0000-0000-000080170000}"/>
    <cellStyle name="Comma 4 4 2 2 2" xfId="6812" xr:uid="{00000000-0005-0000-0000-000081170000}"/>
    <cellStyle name="Comma 4 4 2 2 2 2" xfId="6813" xr:uid="{00000000-0005-0000-0000-000082170000}"/>
    <cellStyle name="Comma 4 4 2 2 3" xfId="6814" xr:uid="{00000000-0005-0000-0000-000083170000}"/>
    <cellStyle name="Comma 4 4 2 2 4" xfId="6815" xr:uid="{00000000-0005-0000-0000-000084170000}"/>
    <cellStyle name="Comma 4 4 2 3" xfId="6816" xr:uid="{00000000-0005-0000-0000-000085170000}"/>
    <cellStyle name="Comma 4 4 2 3 2" xfId="6817" xr:uid="{00000000-0005-0000-0000-000086170000}"/>
    <cellStyle name="Comma 4 4 2 4" xfId="6818" xr:uid="{00000000-0005-0000-0000-000087170000}"/>
    <cellStyle name="Comma 4 4 2 5" xfId="6819" xr:uid="{00000000-0005-0000-0000-000088170000}"/>
    <cellStyle name="Comma 4 4 3" xfId="6820" xr:uid="{00000000-0005-0000-0000-000089170000}"/>
    <cellStyle name="Comma 4 4 3 2" xfId="6821" xr:uid="{00000000-0005-0000-0000-00008A170000}"/>
    <cellStyle name="Comma 4 4 3 2 2" xfId="6822" xr:uid="{00000000-0005-0000-0000-00008B170000}"/>
    <cellStyle name="Comma 4 4 3 3" xfId="6823" xr:uid="{00000000-0005-0000-0000-00008C170000}"/>
    <cellStyle name="Comma 4 4 3 4" xfId="6824" xr:uid="{00000000-0005-0000-0000-00008D170000}"/>
    <cellStyle name="Comma 4 4 4" xfId="6825" xr:uid="{00000000-0005-0000-0000-00008E170000}"/>
    <cellStyle name="Comma 4 4 4 2" xfId="6826" xr:uid="{00000000-0005-0000-0000-00008F170000}"/>
    <cellStyle name="Comma 4 4 5" xfId="6827" xr:uid="{00000000-0005-0000-0000-000090170000}"/>
    <cellStyle name="Comma 4 4 6" xfId="6828" xr:uid="{00000000-0005-0000-0000-000091170000}"/>
    <cellStyle name="Comma 4 4 7" xfId="6829" xr:uid="{00000000-0005-0000-0000-000092170000}"/>
    <cellStyle name="Comma 4 5" xfId="1400" xr:uid="{00000000-0005-0000-0000-000093170000}"/>
    <cellStyle name="Comma 4 5 2" xfId="6830" xr:uid="{00000000-0005-0000-0000-000094170000}"/>
    <cellStyle name="Comma 4 5 2 2" xfId="6831" xr:uid="{00000000-0005-0000-0000-000095170000}"/>
    <cellStyle name="Comma 4 5 2 2 2" xfId="6832" xr:uid="{00000000-0005-0000-0000-000096170000}"/>
    <cellStyle name="Comma 4 5 2 3" xfId="6833" xr:uid="{00000000-0005-0000-0000-000097170000}"/>
    <cellStyle name="Comma 4 5 2 4" xfId="6834" xr:uid="{00000000-0005-0000-0000-000098170000}"/>
    <cellStyle name="Comma 4 5 3" xfId="6835" xr:uid="{00000000-0005-0000-0000-000099170000}"/>
    <cellStyle name="Comma 4 5 3 2" xfId="6836" xr:uid="{00000000-0005-0000-0000-00009A170000}"/>
    <cellStyle name="Comma 4 5 4" xfId="6837" xr:uid="{00000000-0005-0000-0000-00009B170000}"/>
    <cellStyle name="Comma 4 5 5" xfId="6838" xr:uid="{00000000-0005-0000-0000-00009C170000}"/>
    <cellStyle name="Comma 4 6" xfId="6839" xr:uid="{00000000-0005-0000-0000-00009D170000}"/>
    <cellStyle name="Comma 4 6 2" xfId="6840" xr:uid="{00000000-0005-0000-0000-00009E170000}"/>
    <cellStyle name="Comma 4 6 2 2" xfId="6841" xr:uid="{00000000-0005-0000-0000-00009F170000}"/>
    <cellStyle name="Comma 4 6 3" xfId="6842" xr:uid="{00000000-0005-0000-0000-0000A0170000}"/>
    <cellStyle name="Comma 4 6 4" xfId="6843" xr:uid="{00000000-0005-0000-0000-0000A1170000}"/>
    <cellStyle name="Comma 4 7" xfId="6844" xr:uid="{00000000-0005-0000-0000-0000A2170000}"/>
    <cellStyle name="Comma 4 7 2" xfId="6845" xr:uid="{00000000-0005-0000-0000-0000A3170000}"/>
    <cellStyle name="Comma 4 8" xfId="6846" xr:uid="{00000000-0005-0000-0000-0000A4170000}"/>
    <cellStyle name="Comma 4 9" xfId="6847" xr:uid="{00000000-0005-0000-0000-0000A5170000}"/>
    <cellStyle name="Comma 40" xfId="6848" xr:uid="{00000000-0005-0000-0000-0000A6170000}"/>
    <cellStyle name="Comma 41" xfId="6849" xr:uid="{00000000-0005-0000-0000-0000A7170000}"/>
    <cellStyle name="Comma 42" xfId="6850" xr:uid="{00000000-0005-0000-0000-0000A8170000}"/>
    <cellStyle name="Comma 43" xfId="6851" xr:uid="{00000000-0005-0000-0000-0000A9170000}"/>
    <cellStyle name="Comma 44" xfId="6852" xr:uid="{00000000-0005-0000-0000-0000AA170000}"/>
    <cellStyle name="Comma 45" xfId="6853" xr:uid="{00000000-0005-0000-0000-0000AB170000}"/>
    <cellStyle name="Comma 46" xfId="6854" xr:uid="{00000000-0005-0000-0000-0000AC170000}"/>
    <cellStyle name="Comma 47" xfId="6855" xr:uid="{00000000-0005-0000-0000-0000AD170000}"/>
    <cellStyle name="Comma 48" xfId="6856" xr:uid="{00000000-0005-0000-0000-0000AE170000}"/>
    <cellStyle name="Comma 49" xfId="6857" xr:uid="{00000000-0005-0000-0000-0000AF170000}"/>
    <cellStyle name="Comma 5" xfId="1401" xr:uid="{00000000-0005-0000-0000-0000B0170000}"/>
    <cellStyle name="Comma 5 2" xfId="6858" xr:uid="{00000000-0005-0000-0000-0000B1170000}"/>
    <cellStyle name="Comma 5 2 2" xfId="6859" xr:uid="{00000000-0005-0000-0000-0000B2170000}"/>
    <cellStyle name="Comma 5 2 3" xfId="6860" xr:uid="{00000000-0005-0000-0000-0000B3170000}"/>
    <cellStyle name="Comma 5 3" xfId="6861" xr:uid="{00000000-0005-0000-0000-0000B4170000}"/>
    <cellStyle name="Comma 50" xfId="6862" xr:uid="{00000000-0005-0000-0000-0000B5170000}"/>
    <cellStyle name="Comma 50 2" xfId="6863" xr:uid="{00000000-0005-0000-0000-0000B6170000}"/>
    <cellStyle name="Comma 51" xfId="6864" xr:uid="{00000000-0005-0000-0000-0000B7170000}"/>
    <cellStyle name="Comma 52" xfId="6865" xr:uid="{00000000-0005-0000-0000-0000B8170000}"/>
    <cellStyle name="Comma 53" xfId="6866" xr:uid="{00000000-0005-0000-0000-0000B9170000}"/>
    <cellStyle name="Comma 54" xfId="6867" xr:uid="{00000000-0005-0000-0000-0000BA170000}"/>
    <cellStyle name="Comma 55" xfId="6868" xr:uid="{00000000-0005-0000-0000-0000BB170000}"/>
    <cellStyle name="Comma 56" xfId="6869" xr:uid="{00000000-0005-0000-0000-0000BC170000}"/>
    <cellStyle name="Comma 57" xfId="6870" xr:uid="{00000000-0005-0000-0000-0000BD170000}"/>
    <cellStyle name="Comma 58" xfId="6871" xr:uid="{00000000-0005-0000-0000-0000BE170000}"/>
    <cellStyle name="Comma 59" xfId="6872" xr:uid="{00000000-0005-0000-0000-0000BF170000}"/>
    <cellStyle name="Comma 6" xfId="1402" xr:uid="{00000000-0005-0000-0000-0000C0170000}"/>
    <cellStyle name="Comma 6 10" xfId="6873" xr:uid="{00000000-0005-0000-0000-0000C1170000}"/>
    <cellStyle name="Comma 6 10 2" xfId="6874" xr:uid="{00000000-0005-0000-0000-0000C2170000}"/>
    <cellStyle name="Comma 6 11" xfId="6875" xr:uid="{00000000-0005-0000-0000-0000C3170000}"/>
    <cellStyle name="Comma 6 12" xfId="6876" xr:uid="{00000000-0005-0000-0000-0000C4170000}"/>
    <cellStyle name="Comma 6 13" xfId="6877" xr:uid="{00000000-0005-0000-0000-0000C5170000}"/>
    <cellStyle name="Comma 6 2" xfId="6878" xr:uid="{00000000-0005-0000-0000-0000C6170000}"/>
    <cellStyle name="Comma 6 2 2" xfId="6879" xr:uid="{00000000-0005-0000-0000-0000C7170000}"/>
    <cellStyle name="Comma 6 2 2 2" xfId="6880" xr:uid="{00000000-0005-0000-0000-0000C8170000}"/>
    <cellStyle name="Comma 6 2 3" xfId="6881" xr:uid="{00000000-0005-0000-0000-0000C9170000}"/>
    <cellStyle name="Comma 6 2 3 2" xfId="6882" xr:uid="{00000000-0005-0000-0000-0000CA170000}"/>
    <cellStyle name="Comma 6 2 3 3" xfId="6883" xr:uid="{00000000-0005-0000-0000-0000CB170000}"/>
    <cellStyle name="Comma 6 2 3 4" xfId="6884" xr:uid="{00000000-0005-0000-0000-0000CC170000}"/>
    <cellStyle name="Comma 6 2 4" xfId="6885" xr:uid="{00000000-0005-0000-0000-0000CD170000}"/>
    <cellStyle name="Comma 6 2 4 2" xfId="6886" xr:uid="{00000000-0005-0000-0000-0000CE170000}"/>
    <cellStyle name="Comma 6 2 5" xfId="6887" xr:uid="{00000000-0005-0000-0000-0000CF170000}"/>
    <cellStyle name="Comma 6 2 6" xfId="6888" xr:uid="{00000000-0005-0000-0000-0000D0170000}"/>
    <cellStyle name="Comma 6 2 7" xfId="6889" xr:uid="{00000000-0005-0000-0000-0000D1170000}"/>
    <cellStyle name="Comma 6 3" xfId="6890" xr:uid="{00000000-0005-0000-0000-0000D2170000}"/>
    <cellStyle name="Comma 6 3 2" xfId="6891" xr:uid="{00000000-0005-0000-0000-0000D3170000}"/>
    <cellStyle name="Comma 6 3 2 2" xfId="6892" xr:uid="{00000000-0005-0000-0000-0000D4170000}"/>
    <cellStyle name="Comma 6 3 2 2 2" xfId="6893" xr:uid="{00000000-0005-0000-0000-0000D5170000}"/>
    <cellStyle name="Comma 6 3 2 2 2 2" xfId="6894" xr:uid="{00000000-0005-0000-0000-0000D6170000}"/>
    <cellStyle name="Comma 6 3 2 2 2 3" xfId="6895" xr:uid="{00000000-0005-0000-0000-0000D7170000}"/>
    <cellStyle name="Comma 6 3 2 2 3" xfId="6896" xr:uid="{00000000-0005-0000-0000-0000D8170000}"/>
    <cellStyle name="Comma 6 3 2 2 3 2" xfId="6897" xr:uid="{00000000-0005-0000-0000-0000D9170000}"/>
    <cellStyle name="Comma 6 3 2 2 4" xfId="6898" xr:uid="{00000000-0005-0000-0000-0000DA170000}"/>
    <cellStyle name="Comma 6 3 2 2 5" xfId="6899" xr:uid="{00000000-0005-0000-0000-0000DB170000}"/>
    <cellStyle name="Comma 6 3 2 3" xfId="6900" xr:uid="{00000000-0005-0000-0000-0000DC170000}"/>
    <cellStyle name="Comma 6 3 2 3 2" xfId="6901" xr:uid="{00000000-0005-0000-0000-0000DD170000}"/>
    <cellStyle name="Comma 6 3 2 3 3" xfId="6902" xr:uid="{00000000-0005-0000-0000-0000DE170000}"/>
    <cellStyle name="Comma 6 3 2 4" xfId="6903" xr:uid="{00000000-0005-0000-0000-0000DF170000}"/>
    <cellStyle name="Comma 6 3 2 4 2" xfId="6904" xr:uid="{00000000-0005-0000-0000-0000E0170000}"/>
    <cellStyle name="Comma 6 3 2 5" xfId="6905" xr:uid="{00000000-0005-0000-0000-0000E1170000}"/>
    <cellStyle name="Comma 6 3 2 6" xfId="6906" xr:uid="{00000000-0005-0000-0000-0000E2170000}"/>
    <cellStyle name="Comma 6 3 3" xfId="6907" xr:uid="{00000000-0005-0000-0000-0000E3170000}"/>
    <cellStyle name="Comma 6 3 3 2" xfId="6908" xr:uid="{00000000-0005-0000-0000-0000E4170000}"/>
    <cellStyle name="Comma 6 3 3 2 2" xfId="6909" xr:uid="{00000000-0005-0000-0000-0000E5170000}"/>
    <cellStyle name="Comma 6 3 3 2 2 2" xfId="6910" xr:uid="{00000000-0005-0000-0000-0000E6170000}"/>
    <cellStyle name="Comma 6 3 3 2 3" xfId="6911" xr:uid="{00000000-0005-0000-0000-0000E7170000}"/>
    <cellStyle name="Comma 6 3 3 2 4" xfId="6912" xr:uid="{00000000-0005-0000-0000-0000E8170000}"/>
    <cellStyle name="Comma 6 3 3 2 5" xfId="6913" xr:uid="{00000000-0005-0000-0000-0000E9170000}"/>
    <cellStyle name="Comma 6 3 3 3" xfId="6914" xr:uid="{00000000-0005-0000-0000-0000EA170000}"/>
    <cellStyle name="Comma 6 3 3 3 2" xfId="6915" xr:uid="{00000000-0005-0000-0000-0000EB170000}"/>
    <cellStyle name="Comma 6 3 3 4" xfId="6916" xr:uid="{00000000-0005-0000-0000-0000EC170000}"/>
    <cellStyle name="Comma 6 3 3 5" xfId="6917" xr:uid="{00000000-0005-0000-0000-0000ED170000}"/>
    <cellStyle name="Comma 6 3 3 6" xfId="6918" xr:uid="{00000000-0005-0000-0000-0000EE170000}"/>
    <cellStyle name="Comma 6 3 4" xfId="6919" xr:uid="{00000000-0005-0000-0000-0000EF170000}"/>
    <cellStyle name="Comma 6 3 4 2" xfId="6920" xr:uid="{00000000-0005-0000-0000-0000F0170000}"/>
    <cellStyle name="Comma 6 3 4 2 2" xfId="6921" xr:uid="{00000000-0005-0000-0000-0000F1170000}"/>
    <cellStyle name="Comma 6 3 4 3" xfId="6922" xr:uid="{00000000-0005-0000-0000-0000F2170000}"/>
    <cellStyle name="Comma 6 3 4 4" xfId="6923" xr:uid="{00000000-0005-0000-0000-0000F3170000}"/>
    <cellStyle name="Comma 6 3 4 5" xfId="6924" xr:uid="{00000000-0005-0000-0000-0000F4170000}"/>
    <cellStyle name="Comma 6 3 5" xfId="6925" xr:uid="{00000000-0005-0000-0000-0000F5170000}"/>
    <cellStyle name="Comma 6 3 5 2" xfId="6926" xr:uid="{00000000-0005-0000-0000-0000F6170000}"/>
    <cellStyle name="Comma 6 3 5 2 2" xfId="6927" xr:uid="{00000000-0005-0000-0000-0000F7170000}"/>
    <cellStyle name="Comma 6 3 5 3" xfId="6928" xr:uid="{00000000-0005-0000-0000-0000F8170000}"/>
    <cellStyle name="Comma 6 3 5 4" xfId="6929" xr:uid="{00000000-0005-0000-0000-0000F9170000}"/>
    <cellStyle name="Comma 6 3 5 5" xfId="6930" xr:uid="{00000000-0005-0000-0000-0000FA170000}"/>
    <cellStyle name="Comma 6 3 6" xfId="6931" xr:uid="{00000000-0005-0000-0000-0000FB170000}"/>
    <cellStyle name="Comma 6 3 6 2" xfId="6932" xr:uid="{00000000-0005-0000-0000-0000FC170000}"/>
    <cellStyle name="Comma 6 3 6 3" xfId="6933" xr:uid="{00000000-0005-0000-0000-0000FD170000}"/>
    <cellStyle name="Comma 6 3 7" xfId="6934" xr:uid="{00000000-0005-0000-0000-0000FE170000}"/>
    <cellStyle name="Comma 6 3 8" xfId="6935" xr:uid="{00000000-0005-0000-0000-0000FF170000}"/>
    <cellStyle name="Comma 6 3 9" xfId="6936" xr:uid="{00000000-0005-0000-0000-000000180000}"/>
    <cellStyle name="Comma 6 4" xfId="6937" xr:uid="{00000000-0005-0000-0000-000001180000}"/>
    <cellStyle name="Comma 6 4 2" xfId="6938" xr:uid="{00000000-0005-0000-0000-000002180000}"/>
    <cellStyle name="Comma 6 4 2 2" xfId="6939" xr:uid="{00000000-0005-0000-0000-000003180000}"/>
    <cellStyle name="Comma 6 4 2 2 2" xfId="6940" xr:uid="{00000000-0005-0000-0000-000004180000}"/>
    <cellStyle name="Comma 6 4 2 2 3" xfId="6941" xr:uid="{00000000-0005-0000-0000-000005180000}"/>
    <cellStyle name="Comma 6 4 2 3" xfId="6942" xr:uid="{00000000-0005-0000-0000-000006180000}"/>
    <cellStyle name="Comma 6 4 2 3 2" xfId="6943" xr:uid="{00000000-0005-0000-0000-000007180000}"/>
    <cellStyle name="Comma 6 4 2 4" xfId="6944" xr:uid="{00000000-0005-0000-0000-000008180000}"/>
    <cellStyle name="Comma 6 4 2 5" xfId="6945" xr:uid="{00000000-0005-0000-0000-000009180000}"/>
    <cellStyle name="Comma 6 4 3" xfId="6946" xr:uid="{00000000-0005-0000-0000-00000A180000}"/>
    <cellStyle name="Comma 6 4 3 2" xfId="6947" xr:uid="{00000000-0005-0000-0000-00000B180000}"/>
    <cellStyle name="Comma 6 4 3 3" xfId="6948" xr:uid="{00000000-0005-0000-0000-00000C180000}"/>
    <cellStyle name="Comma 6 4 4" xfId="6949" xr:uid="{00000000-0005-0000-0000-00000D180000}"/>
    <cellStyle name="Comma 6 4 4 2" xfId="6950" xr:uid="{00000000-0005-0000-0000-00000E180000}"/>
    <cellStyle name="Comma 6 4 5" xfId="6951" xr:uid="{00000000-0005-0000-0000-00000F180000}"/>
    <cellStyle name="Comma 6 4 6" xfId="6952" xr:uid="{00000000-0005-0000-0000-000010180000}"/>
    <cellStyle name="Comma 6 5" xfId="6953" xr:uid="{00000000-0005-0000-0000-000011180000}"/>
    <cellStyle name="Comma 6 5 2" xfId="6954" xr:uid="{00000000-0005-0000-0000-000012180000}"/>
    <cellStyle name="Comma 6 5 2 2" xfId="6955" xr:uid="{00000000-0005-0000-0000-000013180000}"/>
    <cellStyle name="Comma 6 5 2 2 2" xfId="6956" xr:uid="{00000000-0005-0000-0000-000014180000}"/>
    <cellStyle name="Comma 6 5 2 3" xfId="6957" xr:uid="{00000000-0005-0000-0000-000015180000}"/>
    <cellStyle name="Comma 6 5 2 4" xfId="6958" xr:uid="{00000000-0005-0000-0000-000016180000}"/>
    <cellStyle name="Comma 6 5 2 5" xfId="6959" xr:uid="{00000000-0005-0000-0000-000017180000}"/>
    <cellStyle name="Comma 6 5 3" xfId="6960" xr:uid="{00000000-0005-0000-0000-000018180000}"/>
    <cellStyle name="Comma 6 5 3 2" xfId="6961" xr:uid="{00000000-0005-0000-0000-000019180000}"/>
    <cellStyle name="Comma 6 5 4" xfId="6962" xr:uid="{00000000-0005-0000-0000-00001A180000}"/>
    <cellStyle name="Comma 6 5 5" xfId="6963" xr:uid="{00000000-0005-0000-0000-00001B180000}"/>
    <cellStyle name="Comma 6 5 6" xfId="6964" xr:uid="{00000000-0005-0000-0000-00001C180000}"/>
    <cellStyle name="Comma 6 6" xfId="6965" xr:uid="{00000000-0005-0000-0000-00001D180000}"/>
    <cellStyle name="Comma 6 6 2" xfId="6966" xr:uid="{00000000-0005-0000-0000-00001E180000}"/>
    <cellStyle name="Comma 6 6 2 2" xfId="6967" xr:uid="{00000000-0005-0000-0000-00001F180000}"/>
    <cellStyle name="Comma 6 6 3" xfId="6968" xr:uid="{00000000-0005-0000-0000-000020180000}"/>
    <cellStyle name="Comma 6 6 4" xfId="6969" xr:uid="{00000000-0005-0000-0000-000021180000}"/>
    <cellStyle name="Comma 6 6 5" xfId="6970" xr:uid="{00000000-0005-0000-0000-000022180000}"/>
    <cellStyle name="Comma 6 7" xfId="6971" xr:uid="{00000000-0005-0000-0000-000023180000}"/>
    <cellStyle name="Comma 6 7 2" xfId="6972" xr:uid="{00000000-0005-0000-0000-000024180000}"/>
    <cellStyle name="Comma 6 7 2 2" xfId="6973" xr:uid="{00000000-0005-0000-0000-000025180000}"/>
    <cellStyle name="Comma 6 7 3" xfId="6974" xr:uid="{00000000-0005-0000-0000-000026180000}"/>
    <cellStyle name="Comma 6 7 4" xfId="6975" xr:uid="{00000000-0005-0000-0000-000027180000}"/>
    <cellStyle name="Comma 6 7 5" xfId="6976" xr:uid="{00000000-0005-0000-0000-000028180000}"/>
    <cellStyle name="Comma 6 8" xfId="6977" xr:uid="{00000000-0005-0000-0000-000029180000}"/>
    <cellStyle name="Comma 6 8 2" xfId="6978" xr:uid="{00000000-0005-0000-0000-00002A180000}"/>
    <cellStyle name="Comma 6 8 2 2" xfId="6979" xr:uid="{00000000-0005-0000-0000-00002B180000}"/>
    <cellStyle name="Comma 6 8 3" xfId="6980" xr:uid="{00000000-0005-0000-0000-00002C180000}"/>
    <cellStyle name="Comma 6 8 4" xfId="6981" xr:uid="{00000000-0005-0000-0000-00002D180000}"/>
    <cellStyle name="Comma 6 8 5" xfId="6982" xr:uid="{00000000-0005-0000-0000-00002E180000}"/>
    <cellStyle name="Comma 6 9" xfId="6983" xr:uid="{00000000-0005-0000-0000-00002F180000}"/>
    <cellStyle name="Comma 6 9 2" xfId="6984" xr:uid="{00000000-0005-0000-0000-000030180000}"/>
    <cellStyle name="Comma 6 9 3" xfId="6985" xr:uid="{00000000-0005-0000-0000-000031180000}"/>
    <cellStyle name="Comma 60" xfId="6986" xr:uid="{00000000-0005-0000-0000-000032180000}"/>
    <cellStyle name="Comma 61" xfId="6987" xr:uid="{00000000-0005-0000-0000-000033180000}"/>
    <cellStyle name="Comma 62" xfId="6988" xr:uid="{00000000-0005-0000-0000-000034180000}"/>
    <cellStyle name="Comma 62 2" xfId="6989" xr:uid="{00000000-0005-0000-0000-000035180000}"/>
    <cellStyle name="Comma 62 2 2" xfId="6990" xr:uid="{00000000-0005-0000-0000-000036180000}"/>
    <cellStyle name="Comma 62 3" xfId="6991" xr:uid="{00000000-0005-0000-0000-000037180000}"/>
    <cellStyle name="Comma 63" xfId="6992" xr:uid="{00000000-0005-0000-0000-000038180000}"/>
    <cellStyle name="Comma 63 2" xfId="6993" xr:uid="{00000000-0005-0000-0000-000039180000}"/>
    <cellStyle name="Comma 63 2 2" xfId="6994" xr:uid="{00000000-0005-0000-0000-00003A180000}"/>
    <cellStyle name="Comma 63 3" xfId="6995" xr:uid="{00000000-0005-0000-0000-00003B180000}"/>
    <cellStyle name="Comma 64" xfId="6996" xr:uid="{00000000-0005-0000-0000-00003C180000}"/>
    <cellStyle name="Comma 64 2" xfId="6997" xr:uid="{00000000-0005-0000-0000-00003D180000}"/>
    <cellStyle name="Comma 64 2 2" xfId="6998" xr:uid="{00000000-0005-0000-0000-00003E180000}"/>
    <cellStyle name="Comma 64 3" xfId="6999" xr:uid="{00000000-0005-0000-0000-00003F180000}"/>
    <cellStyle name="Comma 65" xfId="7000" xr:uid="{00000000-0005-0000-0000-000040180000}"/>
    <cellStyle name="Comma 65 2" xfId="7001" xr:uid="{00000000-0005-0000-0000-000041180000}"/>
    <cellStyle name="Comma 66" xfId="7002" xr:uid="{00000000-0005-0000-0000-000042180000}"/>
    <cellStyle name="Comma 66 2" xfId="7003" xr:uid="{00000000-0005-0000-0000-000043180000}"/>
    <cellStyle name="Comma 67" xfId="7004" xr:uid="{00000000-0005-0000-0000-000044180000}"/>
    <cellStyle name="Comma 68" xfId="7005" xr:uid="{00000000-0005-0000-0000-000045180000}"/>
    <cellStyle name="Comma 69" xfId="7006" xr:uid="{00000000-0005-0000-0000-000046180000}"/>
    <cellStyle name="Comma 7" xfId="1403" xr:uid="{00000000-0005-0000-0000-000047180000}"/>
    <cellStyle name="Comma 7 2" xfId="7007" xr:uid="{00000000-0005-0000-0000-000048180000}"/>
    <cellStyle name="Comma 7 2 2" xfId="7008" xr:uid="{00000000-0005-0000-0000-000049180000}"/>
    <cellStyle name="Comma 7 2 2 2" xfId="7009" xr:uid="{00000000-0005-0000-0000-00004A180000}"/>
    <cellStyle name="Comma 7 2 2 2 2" xfId="7010" xr:uid="{00000000-0005-0000-0000-00004B180000}"/>
    <cellStyle name="Comma 7 2 2 2 2 2" xfId="7011" xr:uid="{00000000-0005-0000-0000-00004C180000}"/>
    <cellStyle name="Comma 7 2 2 2 3" xfId="7012" xr:uid="{00000000-0005-0000-0000-00004D180000}"/>
    <cellStyle name="Comma 7 2 2 2 4" xfId="7013" xr:uid="{00000000-0005-0000-0000-00004E180000}"/>
    <cellStyle name="Comma 7 2 2 2 5" xfId="7014" xr:uid="{00000000-0005-0000-0000-00004F180000}"/>
    <cellStyle name="Comma 7 2 2 3" xfId="7015" xr:uid="{00000000-0005-0000-0000-000050180000}"/>
    <cellStyle name="Comma 7 2 2 3 2" xfId="7016" xr:uid="{00000000-0005-0000-0000-000051180000}"/>
    <cellStyle name="Comma 7 2 2 4" xfId="7017" xr:uid="{00000000-0005-0000-0000-000052180000}"/>
    <cellStyle name="Comma 7 2 2 4 2" xfId="7018" xr:uid="{00000000-0005-0000-0000-000053180000}"/>
    <cellStyle name="Comma 7 2 2 5" xfId="7019" xr:uid="{00000000-0005-0000-0000-000054180000}"/>
    <cellStyle name="Comma 7 2 2 6" xfId="7020" xr:uid="{00000000-0005-0000-0000-000055180000}"/>
    <cellStyle name="Comma 7 2 3" xfId="7021" xr:uid="{00000000-0005-0000-0000-000056180000}"/>
    <cellStyle name="Comma 7 2 3 2" xfId="7022" xr:uid="{00000000-0005-0000-0000-000057180000}"/>
    <cellStyle name="Comma 7 2 3 2 2" xfId="7023" xr:uid="{00000000-0005-0000-0000-000058180000}"/>
    <cellStyle name="Comma 7 2 3 3" xfId="7024" xr:uid="{00000000-0005-0000-0000-000059180000}"/>
    <cellStyle name="Comma 7 2 3 4" xfId="7025" xr:uid="{00000000-0005-0000-0000-00005A180000}"/>
    <cellStyle name="Comma 7 2 3 5" xfId="7026" xr:uid="{00000000-0005-0000-0000-00005B180000}"/>
    <cellStyle name="Comma 7 2 4" xfId="7027" xr:uid="{00000000-0005-0000-0000-00005C180000}"/>
    <cellStyle name="Comma 7 2 4 2" xfId="7028" xr:uid="{00000000-0005-0000-0000-00005D180000}"/>
    <cellStyle name="Comma 7 2 5" xfId="7029" xr:uid="{00000000-0005-0000-0000-00005E180000}"/>
    <cellStyle name="Comma 7 2 5 2" xfId="7030" xr:uid="{00000000-0005-0000-0000-00005F180000}"/>
    <cellStyle name="Comma 7 2 6" xfId="7031" xr:uid="{00000000-0005-0000-0000-000060180000}"/>
    <cellStyle name="Comma 7 2 7" xfId="7032" xr:uid="{00000000-0005-0000-0000-000061180000}"/>
    <cellStyle name="Comma 7 3" xfId="7033" xr:uid="{00000000-0005-0000-0000-000062180000}"/>
    <cellStyle name="Comma 7 3 2" xfId="7034" xr:uid="{00000000-0005-0000-0000-000063180000}"/>
    <cellStyle name="Comma 7 3 2 2" xfId="7035" xr:uid="{00000000-0005-0000-0000-000064180000}"/>
    <cellStyle name="Comma 7 3 2 2 2" xfId="7036" xr:uid="{00000000-0005-0000-0000-000065180000}"/>
    <cellStyle name="Comma 7 3 2 3" xfId="7037" xr:uid="{00000000-0005-0000-0000-000066180000}"/>
    <cellStyle name="Comma 7 3 2 4" xfId="7038" xr:uid="{00000000-0005-0000-0000-000067180000}"/>
    <cellStyle name="Comma 7 3 3" xfId="7039" xr:uid="{00000000-0005-0000-0000-000068180000}"/>
    <cellStyle name="Comma 7 3 3 2" xfId="7040" xr:uid="{00000000-0005-0000-0000-000069180000}"/>
    <cellStyle name="Comma 7 3 4" xfId="7041" xr:uid="{00000000-0005-0000-0000-00006A180000}"/>
    <cellStyle name="Comma 7 3 5" xfId="7042" xr:uid="{00000000-0005-0000-0000-00006B180000}"/>
    <cellStyle name="Comma 7 3 6" xfId="7043" xr:uid="{00000000-0005-0000-0000-00006C180000}"/>
    <cellStyle name="Comma 7 4" xfId="7044" xr:uid="{00000000-0005-0000-0000-00006D180000}"/>
    <cellStyle name="Comma 7 4 2" xfId="7045" xr:uid="{00000000-0005-0000-0000-00006E180000}"/>
    <cellStyle name="Comma 7 4 2 2" xfId="7046" xr:uid="{00000000-0005-0000-0000-00006F180000}"/>
    <cellStyle name="Comma 7 4 2 2 2" xfId="7047" xr:uid="{00000000-0005-0000-0000-000070180000}"/>
    <cellStyle name="Comma 7 4 2 3" xfId="7048" xr:uid="{00000000-0005-0000-0000-000071180000}"/>
    <cellStyle name="Comma 7 4 2 4" xfId="7049" xr:uid="{00000000-0005-0000-0000-000072180000}"/>
    <cellStyle name="Comma 7 4 3" xfId="7050" xr:uid="{00000000-0005-0000-0000-000073180000}"/>
    <cellStyle name="Comma 7 4 3 2" xfId="7051" xr:uid="{00000000-0005-0000-0000-000074180000}"/>
    <cellStyle name="Comma 7 4 4" xfId="7052" xr:uid="{00000000-0005-0000-0000-000075180000}"/>
    <cellStyle name="Comma 7 4 5" xfId="7053" xr:uid="{00000000-0005-0000-0000-000076180000}"/>
    <cellStyle name="Comma 7 5" xfId="7054" xr:uid="{00000000-0005-0000-0000-000077180000}"/>
    <cellStyle name="Comma 7 5 2" xfId="7055" xr:uid="{00000000-0005-0000-0000-000078180000}"/>
    <cellStyle name="Comma 7 5 2 2" xfId="7056" xr:uid="{00000000-0005-0000-0000-000079180000}"/>
    <cellStyle name="Comma 7 5 2 2 2" xfId="7057" xr:uid="{00000000-0005-0000-0000-00007A180000}"/>
    <cellStyle name="Comma 7 5 2 3" xfId="7058" xr:uid="{00000000-0005-0000-0000-00007B180000}"/>
    <cellStyle name="Comma 7 5 2 4" xfId="7059" xr:uid="{00000000-0005-0000-0000-00007C180000}"/>
    <cellStyle name="Comma 7 5 3" xfId="7060" xr:uid="{00000000-0005-0000-0000-00007D180000}"/>
    <cellStyle name="Comma 7 5 3 2" xfId="7061" xr:uid="{00000000-0005-0000-0000-00007E180000}"/>
    <cellStyle name="Comma 7 5 4" xfId="7062" xr:uid="{00000000-0005-0000-0000-00007F180000}"/>
    <cellStyle name="Comma 7 5 5" xfId="7063" xr:uid="{00000000-0005-0000-0000-000080180000}"/>
    <cellStyle name="Comma 7 6" xfId="7064" xr:uid="{00000000-0005-0000-0000-000081180000}"/>
    <cellStyle name="Comma 7 6 2" xfId="7065" xr:uid="{00000000-0005-0000-0000-000082180000}"/>
    <cellStyle name="Comma 7 6 2 2" xfId="7066" xr:uid="{00000000-0005-0000-0000-000083180000}"/>
    <cellStyle name="Comma 7 6 2 2 2" xfId="7067" xr:uid="{00000000-0005-0000-0000-000084180000}"/>
    <cellStyle name="Comma 7 6 2 3" xfId="7068" xr:uid="{00000000-0005-0000-0000-000085180000}"/>
    <cellStyle name="Comma 7 6 2 4" xfId="7069" xr:uid="{00000000-0005-0000-0000-000086180000}"/>
    <cellStyle name="Comma 7 6 3" xfId="7070" xr:uid="{00000000-0005-0000-0000-000087180000}"/>
    <cellStyle name="Comma 7 6 3 2" xfId="7071" xr:uid="{00000000-0005-0000-0000-000088180000}"/>
    <cellStyle name="Comma 7 6 4" xfId="7072" xr:uid="{00000000-0005-0000-0000-000089180000}"/>
    <cellStyle name="Comma 7 6 5" xfId="7073" xr:uid="{00000000-0005-0000-0000-00008A180000}"/>
    <cellStyle name="Comma 7 7" xfId="7074" xr:uid="{00000000-0005-0000-0000-00008B180000}"/>
    <cellStyle name="Comma 7 7 2" xfId="7075" xr:uid="{00000000-0005-0000-0000-00008C180000}"/>
    <cellStyle name="Comma 7 7 2 2" xfId="7076" xr:uid="{00000000-0005-0000-0000-00008D180000}"/>
    <cellStyle name="Comma 7 7 3" xfId="7077" xr:uid="{00000000-0005-0000-0000-00008E180000}"/>
    <cellStyle name="Comma 7 7 4" xfId="7078" xr:uid="{00000000-0005-0000-0000-00008F180000}"/>
    <cellStyle name="Comma 7 8" xfId="7079" xr:uid="{00000000-0005-0000-0000-000090180000}"/>
    <cellStyle name="Comma 70" xfId="7080" xr:uid="{00000000-0005-0000-0000-000091180000}"/>
    <cellStyle name="Comma 71" xfId="7081" xr:uid="{00000000-0005-0000-0000-000092180000}"/>
    <cellStyle name="Comma 71 2" xfId="7082" xr:uid="{00000000-0005-0000-0000-000093180000}"/>
    <cellStyle name="Comma 72" xfId="7083" xr:uid="{00000000-0005-0000-0000-000094180000}"/>
    <cellStyle name="Comma 73" xfId="7084" xr:uid="{00000000-0005-0000-0000-000095180000}"/>
    <cellStyle name="Comma 73 2" xfId="7085" xr:uid="{00000000-0005-0000-0000-000096180000}"/>
    <cellStyle name="Comma 73 3" xfId="7086" xr:uid="{00000000-0005-0000-0000-000097180000}"/>
    <cellStyle name="Comma 74" xfId="7087" xr:uid="{00000000-0005-0000-0000-000098180000}"/>
    <cellStyle name="Comma 74 2" xfId="7088" xr:uid="{00000000-0005-0000-0000-000099180000}"/>
    <cellStyle name="Comma 74 3" xfId="7089" xr:uid="{00000000-0005-0000-0000-00009A180000}"/>
    <cellStyle name="Comma 75" xfId="7090" xr:uid="{00000000-0005-0000-0000-00009B180000}"/>
    <cellStyle name="Comma 76" xfId="7091" xr:uid="{00000000-0005-0000-0000-00009C180000}"/>
    <cellStyle name="Comma 77" xfId="7092" xr:uid="{00000000-0005-0000-0000-00009D180000}"/>
    <cellStyle name="Comma 78" xfId="7093" xr:uid="{00000000-0005-0000-0000-00009E180000}"/>
    <cellStyle name="Comma 79" xfId="7094" xr:uid="{00000000-0005-0000-0000-00009F180000}"/>
    <cellStyle name="Comma 8" xfId="1404" xr:uid="{00000000-0005-0000-0000-0000A0180000}"/>
    <cellStyle name="Comma 8 2" xfId="7095" xr:uid="{00000000-0005-0000-0000-0000A1180000}"/>
    <cellStyle name="Comma 8 2 2" xfId="7096" xr:uid="{00000000-0005-0000-0000-0000A2180000}"/>
    <cellStyle name="Comma 8 2 2 2" xfId="7097" xr:uid="{00000000-0005-0000-0000-0000A3180000}"/>
    <cellStyle name="Comma 8 2 2 2 2" xfId="7098" xr:uid="{00000000-0005-0000-0000-0000A4180000}"/>
    <cellStyle name="Comma 8 2 2 3" xfId="7099" xr:uid="{00000000-0005-0000-0000-0000A5180000}"/>
    <cellStyle name="Comma 8 2 2 3 2" xfId="7100" xr:uid="{00000000-0005-0000-0000-0000A6180000}"/>
    <cellStyle name="Comma 8 2 2 4" xfId="7101" xr:uid="{00000000-0005-0000-0000-0000A7180000}"/>
    <cellStyle name="Comma 8 2 2 5" xfId="7102" xr:uid="{00000000-0005-0000-0000-0000A8180000}"/>
    <cellStyle name="Comma 8 2 3" xfId="7103" xr:uid="{00000000-0005-0000-0000-0000A9180000}"/>
    <cellStyle name="Comma 8 2 3 2" xfId="7104" xr:uid="{00000000-0005-0000-0000-0000AA180000}"/>
    <cellStyle name="Comma 8 2 3 3" xfId="7105" xr:uid="{00000000-0005-0000-0000-0000AB180000}"/>
    <cellStyle name="Comma 8 2 3 4" xfId="7106" xr:uid="{00000000-0005-0000-0000-0000AC180000}"/>
    <cellStyle name="Comma 8 2 3 5" xfId="7107" xr:uid="{00000000-0005-0000-0000-0000AD180000}"/>
    <cellStyle name="Comma 8 2 4" xfId="7108" xr:uid="{00000000-0005-0000-0000-0000AE180000}"/>
    <cellStyle name="Comma 8 2 4 2" xfId="7109" xr:uid="{00000000-0005-0000-0000-0000AF180000}"/>
    <cellStyle name="Comma 8 2 5" xfId="7110" xr:uid="{00000000-0005-0000-0000-0000B0180000}"/>
    <cellStyle name="Comma 8 2 6" xfId="7111" xr:uid="{00000000-0005-0000-0000-0000B1180000}"/>
    <cellStyle name="Comma 8 2 7" xfId="7112" xr:uid="{00000000-0005-0000-0000-0000B2180000}"/>
    <cellStyle name="Comma 8 2 8" xfId="7113" xr:uid="{00000000-0005-0000-0000-0000B3180000}"/>
    <cellStyle name="Comma 8 3" xfId="7114" xr:uid="{00000000-0005-0000-0000-0000B4180000}"/>
    <cellStyle name="Comma 8 3 2" xfId="7115" xr:uid="{00000000-0005-0000-0000-0000B5180000}"/>
    <cellStyle name="Comma 8 3 2 2" xfId="7116" xr:uid="{00000000-0005-0000-0000-0000B6180000}"/>
    <cellStyle name="Comma 8 3 3" xfId="7117" xr:uid="{00000000-0005-0000-0000-0000B7180000}"/>
    <cellStyle name="Comma 8 3 3 2" xfId="7118" xr:uid="{00000000-0005-0000-0000-0000B8180000}"/>
    <cellStyle name="Comma 8 3 4" xfId="7119" xr:uid="{00000000-0005-0000-0000-0000B9180000}"/>
    <cellStyle name="Comma 8 3 5" xfId="7120" xr:uid="{00000000-0005-0000-0000-0000BA180000}"/>
    <cellStyle name="Comma 8 4" xfId="7121" xr:uid="{00000000-0005-0000-0000-0000BB180000}"/>
    <cellStyle name="Comma 8 4 2" xfId="7122" xr:uid="{00000000-0005-0000-0000-0000BC180000}"/>
    <cellStyle name="Comma 8 4 3" xfId="7123" xr:uid="{00000000-0005-0000-0000-0000BD180000}"/>
    <cellStyle name="Comma 8 4 3 2" xfId="7124" xr:uid="{00000000-0005-0000-0000-0000BE180000}"/>
    <cellStyle name="Comma 8 4 4" xfId="7125" xr:uid="{00000000-0005-0000-0000-0000BF180000}"/>
    <cellStyle name="Comma 8 4 5" xfId="7126" xr:uid="{00000000-0005-0000-0000-0000C0180000}"/>
    <cellStyle name="Comma 8 5" xfId="7127" xr:uid="{00000000-0005-0000-0000-0000C1180000}"/>
    <cellStyle name="Comma 8 5 2" xfId="7128" xr:uid="{00000000-0005-0000-0000-0000C2180000}"/>
    <cellStyle name="Comma 8 6" xfId="7129" xr:uid="{00000000-0005-0000-0000-0000C3180000}"/>
    <cellStyle name="Comma 8 7" xfId="7130" xr:uid="{00000000-0005-0000-0000-0000C4180000}"/>
    <cellStyle name="Comma 8 8" xfId="7131" xr:uid="{00000000-0005-0000-0000-0000C5180000}"/>
    <cellStyle name="Comma 8 9" xfId="7132" xr:uid="{00000000-0005-0000-0000-0000C6180000}"/>
    <cellStyle name="Comma 80" xfId="7133" xr:uid="{00000000-0005-0000-0000-0000C7180000}"/>
    <cellStyle name="Comma 81" xfId="7134" xr:uid="{00000000-0005-0000-0000-0000C8180000}"/>
    <cellStyle name="Comma 82" xfId="7135" xr:uid="{00000000-0005-0000-0000-0000C9180000}"/>
    <cellStyle name="Comma 83" xfId="7136" xr:uid="{00000000-0005-0000-0000-0000CA180000}"/>
    <cellStyle name="Comma 84" xfId="7137" xr:uid="{00000000-0005-0000-0000-0000CB180000}"/>
    <cellStyle name="Comma 85" xfId="7138" xr:uid="{00000000-0005-0000-0000-0000CC180000}"/>
    <cellStyle name="Comma 86" xfId="7139" xr:uid="{00000000-0005-0000-0000-0000CD180000}"/>
    <cellStyle name="Comma 87" xfId="7140" xr:uid="{00000000-0005-0000-0000-0000CE180000}"/>
    <cellStyle name="Comma 88" xfId="54" xr:uid="{00000000-0005-0000-0000-0000CF180000}"/>
    <cellStyle name="Comma 9" xfId="1405" xr:uid="{00000000-0005-0000-0000-0000D0180000}"/>
    <cellStyle name="Comma 9 2" xfId="7141" xr:uid="{00000000-0005-0000-0000-0000D1180000}"/>
    <cellStyle name="Comma 9 2 2" xfId="7142" xr:uid="{00000000-0005-0000-0000-0000D2180000}"/>
    <cellStyle name="Comma 9 2 2 2" xfId="7143" xr:uid="{00000000-0005-0000-0000-0000D3180000}"/>
    <cellStyle name="Comma 9 2 2 2 2" xfId="7144" xr:uid="{00000000-0005-0000-0000-0000D4180000}"/>
    <cellStyle name="Comma 9 2 2 2 2 2" xfId="7145" xr:uid="{00000000-0005-0000-0000-0000D5180000}"/>
    <cellStyle name="Comma 9 2 2 2 2 2 2" xfId="7146" xr:uid="{00000000-0005-0000-0000-0000D6180000}"/>
    <cellStyle name="Comma 9 2 2 2 2 3" xfId="7147" xr:uid="{00000000-0005-0000-0000-0000D7180000}"/>
    <cellStyle name="Comma 9 2 2 2 3" xfId="7148" xr:uid="{00000000-0005-0000-0000-0000D8180000}"/>
    <cellStyle name="Comma 9 2 2 2 3 2" xfId="7149" xr:uid="{00000000-0005-0000-0000-0000D9180000}"/>
    <cellStyle name="Comma 9 2 2 2 4" xfId="7150" xr:uid="{00000000-0005-0000-0000-0000DA180000}"/>
    <cellStyle name="Comma 9 2 2 3" xfId="7151" xr:uid="{00000000-0005-0000-0000-0000DB180000}"/>
    <cellStyle name="Comma 9 2 2 3 2" xfId="7152" xr:uid="{00000000-0005-0000-0000-0000DC180000}"/>
    <cellStyle name="Comma 9 2 2 3 2 2" xfId="7153" xr:uid="{00000000-0005-0000-0000-0000DD180000}"/>
    <cellStyle name="Comma 9 2 2 3 3" xfId="7154" xr:uid="{00000000-0005-0000-0000-0000DE180000}"/>
    <cellStyle name="Comma 9 2 2 4" xfId="7155" xr:uid="{00000000-0005-0000-0000-0000DF180000}"/>
    <cellStyle name="Comma 9 2 2 4 2" xfId="7156" xr:uid="{00000000-0005-0000-0000-0000E0180000}"/>
    <cellStyle name="Comma 9 2 2 5" xfId="7157" xr:uid="{00000000-0005-0000-0000-0000E1180000}"/>
    <cellStyle name="Comma 9 2 2 6" xfId="7158" xr:uid="{00000000-0005-0000-0000-0000E2180000}"/>
    <cellStyle name="Comma 9 2 3" xfId="7159" xr:uid="{00000000-0005-0000-0000-0000E3180000}"/>
    <cellStyle name="Comma 9 2 3 2" xfId="7160" xr:uid="{00000000-0005-0000-0000-0000E4180000}"/>
    <cellStyle name="Comma 9 2 3 2 2" xfId="7161" xr:uid="{00000000-0005-0000-0000-0000E5180000}"/>
    <cellStyle name="Comma 9 2 3 2 2 2" xfId="7162" xr:uid="{00000000-0005-0000-0000-0000E6180000}"/>
    <cellStyle name="Comma 9 2 3 2 3" xfId="7163" xr:uid="{00000000-0005-0000-0000-0000E7180000}"/>
    <cellStyle name="Comma 9 2 3 3" xfId="7164" xr:uid="{00000000-0005-0000-0000-0000E8180000}"/>
    <cellStyle name="Comma 9 2 3 3 2" xfId="7165" xr:uid="{00000000-0005-0000-0000-0000E9180000}"/>
    <cellStyle name="Comma 9 2 3 4" xfId="7166" xr:uid="{00000000-0005-0000-0000-0000EA180000}"/>
    <cellStyle name="Comma 9 2 4" xfId="7167" xr:uid="{00000000-0005-0000-0000-0000EB180000}"/>
    <cellStyle name="Comma 9 2 4 2" xfId="7168" xr:uid="{00000000-0005-0000-0000-0000EC180000}"/>
    <cellStyle name="Comma 9 2 4 2 2" xfId="7169" xr:uid="{00000000-0005-0000-0000-0000ED180000}"/>
    <cellStyle name="Comma 9 2 4 3" xfId="7170" xr:uid="{00000000-0005-0000-0000-0000EE180000}"/>
    <cellStyle name="Comma 9 2 5" xfId="7171" xr:uid="{00000000-0005-0000-0000-0000EF180000}"/>
    <cellStyle name="Comma 9 2 5 2" xfId="7172" xr:uid="{00000000-0005-0000-0000-0000F0180000}"/>
    <cellStyle name="Comma 9 2 6" xfId="7173" xr:uid="{00000000-0005-0000-0000-0000F1180000}"/>
    <cellStyle name="Comma 9 2 7" xfId="7174" xr:uid="{00000000-0005-0000-0000-0000F2180000}"/>
    <cellStyle name="Comma 9 3" xfId="7175" xr:uid="{00000000-0005-0000-0000-0000F3180000}"/>
    <cellStyle name="Comma 9 3 2" xfId="7176" xr:uid="{00000000-0005-0000-0000-0000F4180000}"/>
    <cellStyle name="Comma 9 3 2 2" xfId="7177" xr:uid="{00000000-0005-0000-0000-0000F5180000}"/>
    <cellStyle name="Comma 9 3 2 2 2" xfId="7178" xr:uid="{00000000-0005-0000-0000-0000F6180000}"/>
    <cellStyle name="Comma 9 3 2 2 2 2" xfId="7179" xr:uid="{00000000-0005-0000-0000-0000F7180000}"/>
    <cellStyle name="Comma 9 3 2 2 3" xfId="7180" xr:uid="{00000000-0005-0000-0000-0000F8180000}"/>
    <cellStyle name="Comma 9 3 2 3" xfId="7181" xr:uid="{00000000-0005-0000-0000-0000F9180000}"/>
    <cellStyle name="Comma 9 3 2 3 2" xfId="7182" xr:uid="{00000000-0005-0000-0000-0000FA180000}"/>
    <cellStyle name="Comma 9 3 2 4" xfId="7183" xr:uid="{00000000-0005-0000-0000-0000FB180000}"/>
    <cellStyle name="Comma 9 3 3" xfId="7184" xr:uid="{00000000-0005-0000-0000-0000FC180000}"/>
    <cellStyle name="Comma 9 3 3 2" xfId="7185" xr:uid="{00000000-0005-0000-0000-0000FD180000}"/>
    <cellStyle name="Comma 9 3 3 2 2" xfId="7186" xr:uid="{00000000-0005-0000-0000-0000FE180000}"/>
    <cellStyle name="Comma 9 3 3 3" xfId="7187" xr:uid="{00000000-0005-0000-0000-0000FF180000}"/>
    <cellStyle name="Comma 9 3 4" xfId="7188" xr:uid="{00000000-0005-0000-0000-000000190000}"/>
    <cellStyle name="Comma 9 3 4 2" xfId="7189" xr:uid="{00000000-0005-0000-0000-000001190000}"/>
    <cellStyle name="Comma 9 3 5" xfId="7190" xr:uid="{00000000-0005-0000-0000-000002190000}"/>
    <cellStyle name="Comma 9 3 6" xfId="7191" xr:uid="{00000000-0005-0000-0000-000003190000}"/>
    <cellStyle name="Comma 9 4" xfId="7192" xr:uid="{00000000-0005-0000-0000-000004190000}"/>
    <cellStyle name="Comma 9 4 2" xfId="7193" xr:uid="{00000000-0005-0000-0000-000005190000}"/>
    <cellStyle name="Comma 9 4 2 2" xfId="7194" xr:uid="{00000000-0005-0000-0000-000006190000}"/>
    <cellStyle name="Comma 9 4 2 2 2" xfId="7195" xr:uid="{00000000-0005-0000-0000-000007190000}"/>
    <cellStyle name="Comma 9 4 2 3" xfId="7196" xr:uid="{00000000-0005-0000-0000-000008190000}"/>
    <cellStyle name="Comma 9 4 3" xfId="7197" xr:uid="{00000000-0005-0000-0000-000009190000}"/>
    <cellStyle name="Comma 9 4 3 2" xfId="7198" xr:uid="{00000000-0005-0000-0000-00000A190000}"/>
    <cellStyle name="Comma 9 4 4" xfId="7199" xr:uid="{00000000-0005-0000-0000-00000B190000}"/>
    <cellStyle name="Comma 9 5" xfId="7200" xr:uid="{00000000-0005-0000-0000-00000C190000}"/>
    <cellStyle name="Comma 9 5 2" xfId="7201" xr:uid="{00000000-0005-0000-0000-00000D190000}"/>
    <cellStyle name="Comma 9 5 2 2" xfId="7202" xr:uid="{00000000-0005-0000-0000-00000E190000}"/>
    <cellStyle name="Comma 9 5 3" xfId="7203" xr:uid="{00000000-0005-0000-0000-00000F190000}"/>
    <cellStyle name="Comma 9 6" xfId="7204" xr:uid="{00000000-0005-0000-0000-000010190000}"/>
    <cellStyle name="Comma 9 6 2" xfId="7205" xr:uid="{00000000-0005-0000-0000-000011190000}"/>
    <cellStyle name="Comma 9 7" xfId="7206" xr:uid="{00000000-0005-0000-0000-000012190000}"/>
    <cellStyle name="Comma 9 8" xfId="7207" xr:uid="{00000000-0005-0000-0000-000013190000}"/>
    <cellStyle name="Comma 9 9" xfId="7208" xr:uid="{00000000-0005-0000-0000-000014190000}"/>
    <cellStyle name="Comma0" xfId="7" xr:uid="{00000000-0005-0000-0000-000015190000}"/>
    <cellStyle name="Comma0 2" xfId="7209" xr:uid="{00000000-0005-0000-0000-000016190000}"/>
    <cellStyle name="Comma0 2 2" xfId="7210" xr:uid="{00000000-0005-0000-0000-000017190000}"/>
    <cellStyle name="Comma0 2 2 2" xfId="7211" xr:uid="{00000000-0005-0000-0000-000018190000}"/>
    <cellStyle name="Comma0 2 3" xfId="7212" xr:uid="{00000000-0005-0000-0000-000019190000}"/>
    <cellStyle name="Comma0 2 4" xfId="7213" xr:uid="{00000000-0005-0000-0000-00001A190000}"/>
    <cellStyle name="Comma0 3" xfId="7214" xr:uid="{00000000-0005-0000-0000-00001B190000}"/>
    <cellStyle name="Comma0 3 2" xfId="7215" xr:uid="{00000000-0005-0000-0000-00001C190000}"/>
    <cellStyle name="Comma0 3 2 2" xfId="7216" xr:uid="{00000000-0005-0000-0000-00001D190000}"/>
    <cellStyle name="Comma0 3 3" xfId="7217" xr:uid="{00000000-0005-0000-0000-00001E190000}"/>
    <cellStyle name="Comma0 3 4" xfId="7218" xr:uid="{00000000-0005-0000-0000-00001F190000}"/>
    <cellStyle name="Comma0 4" xfId="7219" xr:uid="{00000000-0005-0000-0000-000020190000}"/>
    <cellStyle name="Comma0_SCH11 Not Done" xfId="7220" xr:uid="{00000000-0005-0000-0000-000021190000}"/>
    <cellStyle name="Currency" xfId="8" builtinId="4"/>
    <cellStyle name="Currency [0] 2" xfId="7221" xr:uid="{00000000-0005-0000-0000-000023190000}"/>
    <cellStyle name="Currency [0] 2 2" xfId="7222" xr:uid="{00000000-0005-0000-0000-000024190000}"/>
    <cellStyle name="Currency [0] 2 2 2" xfId="7223" xr:uid="{00000000-0005-0000-0000-000025190000}"/>
    <cellStyle name="Currency [0] 2 2 2 2" xfId="7224" xr:uid="{00000000-0005-0000-0000-000026190000}"/>
    <cellStyle name="Currency [0] 2 2 3" xfId="7225" xr:uid="{00000000-0005-0000-0000-000027190000}"/>
    <cellStyle name="Currency [0] 2 2 4" xfId="7226" xr:uid="{00000000-0005-0000-0000-000028190000}"/>
    <cellStyle name="Currency [0] 2 3" xfId="7227" xr:uid="{00000000-0005-0000-0000-000029190000}"/>
    <cellStyle name="Currency [0] 2 3 2" xfId="7228" xr:uid="{00000000-0005-0000-0000-00002A190000}"/>
    <cellStyle name="Currency [0] 2 4" xfId="7229" xr:uid="{00000000-0005-0000-0000-00002B190000}"/>
    <cellStyle name="Currency [0] 2 4 2" xfId="7230" xr:uid="{00000000-0005-0000-0000-00002C190000}"/>
    <cellStyle name="Currency [0] 2 5" xfId="7231" xr:uid="{00000000-0005-0000-0000-00002D190000}"/>
    <cellStyle name="Currency [0] 2 6" xfId="7232" xr:uid="{00000000-0005-0000-0000-00002E190000}"/>
    <cellStyle name="Currency [0] 3" xfId="7233" xr:uid="{00000000-0005-0000-0000-00002F190000}"/>
    <cellStyle name="Currency [0] 3 2" xfId="7234" xr:uid="{00000000-0005-0000-0000-000030190000}"/>
    <cellStyle name="Currency [0] 3 2 2" xfId="7235" xr:uid="{00000000-0005-0000-0000-000031190000}"/>
    <cellStyle name="Currency [0] 3 3" xfId="7236" xr:uid="{00000000-0005-0000-0000-000032190000}"/>
    <cellStyle name="Currency [0] 3 4" xfId="7237" xr:uid="{00000000-0005-0000-0000-000033190000}"/>
    <cellStyle name="Currency [0] 4" xfId="7238" xr:uid="{00000000-0005-0000-0000-000034190000}"/>
    <cellStyle name="Currency [0] 4 2" xfId="7239" xr:uid="{00000000-0005-0000-0000-000035190000}"/>
    <cellStyle name="Currency [0] 5" xfId="7240" xr:uid="{00000000-0005-0000-0000-000036190000}"/>
    <cellStyle name="Currency [0] 5 2" xfId="7241" xr:uid="{00000000-0005-0000-0000-000037190000}"/>
    <cellStyle name="Currency 10" xfId="7242" xr:uid="{00000000-0005-0000-0000-000038190000}"/>
    <cellStyle name="Currency 10 2" xfId="7243" xr:uid="{00000000-0005-0000-0000-000039190000}"/>
    <cellStyle name="Currency 10 2 2" xfId="7244" xr:uid="{00000000-0005-0000-0000-00003A190000}"/>
    <cellStyle name="Currency 10 2 3" xfId="7245" xr:uid="{00000000-0005-0000-0000-00003B190000}"/>
    <cellStyle name="Currency 10 3" xfId="7246" xr:uid="{00000000-0005-0000-0000-00003C190000}"/>
    <cellStyle name="Currency 10 3 2" xfId="7247" xr:uid="{00000000-0005-0000-0000-00003D190000}"/>
    <cellStyle name="Currency 10 4" xfId="7248" xr:uid="{00000000-0005-0000-0000-00003E190000}"/>
    <cellStyle name="Currency 10 5" xfId="7249" xr:uid="{00000000-0005-0000-0000-00003F190000}"/>
    <cellStyle name="Currency 10 6" xfId="7250" xr:uid="{00000000-0005-0000-0000-000040190000}"/>
    <cellStyle name="Currency 100" xfId="7251" xr:uid="{00000000-0005-0000-0000-000041190000}"/>
    <cellStyle name="Currency 101" xfId="7252" xr:uid="{00000000-0005-0000-0000-000042190000}"/>
    <cellStyle name="Currency 102" xfId="7253" xr:uid="{00000000-0005-0000-0000-000043190000}"/>
    <cellStyle name="Currency 103" xfId="7254" xr:uid="{00000000-0005-0000-0000-000044190000}"/>
    <cellStyle name="Currency 104" xfId="7255" xr:uid="{00000000-0005-0000-0000-000045190000}"/>
    <cellStyle name="Currency 105" xfId="7256" xr:uid="{00000000-0005-0000-0000-000046190000}"/>
    <cellStyle name="Currency 106" xfId="7257" xr:uid="{00000000-0005-0000-0000-000047190000}"/>
    <cellStyle name="Currency 107" xfId="7258" xr:uid="{00000000-0005-0000-0000-000048190000}"/>
    <cellStyle name="Currency 108" xfId="7259" xr:uid="{00000000-0005-0000-0000-000049190000}"/>
    <cellStyle name="Currency 109" xfId="7260" xr:uid="{00000000-0005-0000-0000-00004A190000}"/>
    <cellStyle name="Currency 11" xfId="7261" xr:uid="{00000000-0005-0000-0000-00004B190000}"/>
    <cellStyle name="Currency 11 2" xfId="7262" xr:uid="{00000000-0005-0000-0000-00004C190000}"/>
    <cellStyle name="Currency 11 2 2" xfId="7263" xr:uid="{00000000-0005-0000-0000-00004D190000}"/>
    <cellStyle name="Currency 11 3" xfId="7264" xr:uid="{00000000-0005-0000-0000-00004E190000}"/>
    <cellStyle name="Currency 11 3 2" xfId="7265" xr:uid="{00000000-0005-0000-0000-00004F190000}"/>
    <cellStyle name="Currency 11 4" xfId="7266" xr:uid="{00000000-0005-0000-0000-000050190000}"/>
    <cellStyle name="Currency 11 5" xfId="7267" xr:uid="{00000000-0005-0000-0000-000051190000}"/>
    <cellStyle name="Currency 110" xfId="7268" xr:uid="{00000000-0005-0000-0000-000052190000}"/>
    <cellStyle name="Currency 111" xfId="7269" xr:uid="{00000000-0005-0000-0000-000053190000}"/>
    <cellStyle name="Currency 112" xfId="7270" xr:uid="{00000000-0005-0000-0000-000054190000}"/>
    <cellStyle name="Currency 113" xfId="7271" xr:uid="{00000000-0005-0000-0000-000055190000}"/>
    <cellStyle name="Currency 114" xfId="7272" xr:uid="{00000000-0005-0000-0000-000056190000}"/>
    <cellStyle name="Currency 115" xfId="7273" xr:uid="{00000000-0005-0000-0000-000057190000}"/>
    <cellStyle name="Currency 116" xfId="7274" xr:uid="{00000000-0005-0000-0000-000058190000}"/>
    <cellStyle name="Currency 117" xfId="7275" xr:uid="{00000000-0005-0000-0000-000059190000}"/>
    <cellStyle name="Currency 118" xfId="7276" xr:uid="{00000000-0005-0000-0000-00005A190000}"/>
    <cellStyle name="Currency 119" xfId="7277" xr:uid="{00000000-0005-0000-0000-00005B190000}"/>
    <cellStyle name="Currency 12" xfId="7278" xr:uid="{00000000-0005-0000-0000-00005C190000}"/>
    <cellStyle name="Currency 12 2" xfId="7279" xr:uid="{00000000-0005-0000-0000-00005D190000}"/>
    <cellStyle name="Currency 12 2 2" xfId="7280" xr:uid="{00000000-0005-0000-0000-00005E190000}"/>
    <cellStyle name="Currency 12 3" xfId="7281" xr:uid="{00000000-0005-0000-0000-00005F190000}"/>
    <cellStyle name="Currency 12 3 2" xfId="7282" xr:uid="{00000000-0005-0000-0000-000060190000}"/>
    <cellStyle name="Currency 12 4" xfId="7283" xr:uid="{00000000-0005-0000-0000-000061190000}"/>
    <cellStyle name="Currency 12 5" xfId="7284" xr:uid="{00000000-0005-0000-0000-000062190000}"/>
    <cellStyle name="Currency 120" xfId="7285" xr:uid="{00000000-0005-0000-0000-000063190000}"/>
    <cellStyle name="Currency 120 2" xfId="7286" xr:uid="{00000000-0005-0000-0000-000064190000}"/>
    <cellStyle name="Currency 120 3" xfId="7287" xr:uid="{00000000-0005-0000-0000-000065190000}"/>
    <cellStyle name="Currency 121" xfId="7288" xr:uid="{00000000-0005-0000-0000-000066190000}"/>
    <cellStyle name="Currency 121 2" xfId="7289" xr:uid="{00000000-0005-0000-0000-000067190000}"/>
    <cellStyle name="Currency 121 3" xfId="7290" xr:uid="{00000000-0005-0000-0000-000068190000}"/>
    <cellStyle name="Currency 122" xfId="7291" xr:uid="{00000000-0005-0000-0000-000069190000}"/>
    <cellStyle name="Currency 122 2" xfId="7292" xr:uid="{00000000-0005-0000-0000-00006A190000}"/>
    <cellStyle name="Currency 123" xfId="7293" xr:uid="{00000000-0005-0000-0000-00006B190000}"/>
    <cellStyle name="Currency 123 2" xfId="7294" xr:uid="{00000000-0005-0000-0000-00006C190000}"/>
    <cellStyle name="Currency 124" xfId="7295" xr:uid="{00000000-0005-0000-0000-00006D190000}"/>
    <cellStyle name="Currency 124 2" xfId="7296" xr:uid="{00000000-0005-0000-0000-00006E190000}"/>
    <cellStyle name="Currency 125" xfId="7297" xr:uid="{00000000-0005-0000-0000-00006F190000}"/>
    <cellStyle name="Currency 126" xfId="7298" xr:uid="{00000000-0005-0000-0000-000070190000}"/>
    <cellStyle name="Currency 127" xfId="7299" xr:uid="{00000000-0005-0000-0000-000071190000}"/>
    <cellStyle name="Currency 128" xfId="7300" xr:uid="{00000000-0005-0000-0000-000072190000}"/>
    <cellStyle name="Currency 129" xfId="7301" xr:uid="{00000000-0005-0000-0000-000073190000}"/>
    <cellStyle name="Currency 13" xfId="7302" xr:uid="{00000000-0005-0000-0000-000074190000}"/>
    <cellStyle name="Currency 13 2" xfId="7303" xr:uid="{00000000-0005-0000-0000-000075190000}"/>
    <cellStyle name="Currency 13 2 2" xfId="7304" xr:uid="{00000000-0005-0000-0000-000076190000}"/>
    <cellStyle name="Currency 13 3" xfId="7305" xr:uid="{00000000-0005-0000-0000-000077190000}"/>
    <cellStyle name="Currency 13 3 2" xfId="7306" xr:uid="{00000000-0005-0000-0000-000078190000}"/>
    <cellStyle name="Currency 13 4" xfId="7307" xr:uid="{00000000-0005-0000-0000-000079190000}"/>
    <cellStyle name="Currency 13 5" xfId="7308" xr:uid="{00000000-0005-0000-0000-00007A190000}"/>
    <cellStyle name="Currency 130" xfId="7309" xr:uid="{00000000-0005-0000-0000-00007B190000}"/>
    <cellStyle name="Currency 131" xfId="7310" xr:uid="{00000000-0005-0000-0000-00007C190000}"/>
    <cellStyle name="Currency 132" xfId="7311" xr:uid="{00000000-0005-0000-0000-00007D190000}"/>
    <cellStyle name="Currency 133" xfId="7312" xr:uid="{00000000-0005-0000-0000-00007E190000}"/>
    <cellStyle name="Currency 134" xfId="7313" xr:uid="{00000000-0005-0000-0000-00007F190000}"/>
    <cellStyle name="Currency 135" xfId="7314" xr:uid="{00000000-0005-0000-0000-000080190000}"/>
    <cellStyle name="Currency 136" xfId="7315" xr:uid="{00000000-0005-0000-0000-000081190000}"/>
    <cellStyle name="Currency 136 2" xfId="7316" xr:uid="{00000000-0005-0000-0000-000082190000}"/>
    <cellStyle name="Currency 137" xfId="7317" xr:uid="{00000000-0005-0000-0000-000083190000}"/>
    <cellStyle name="Currency 138" xfId="7318" xr:uid="{00000000-0005-0000-0000-000084190000}"/>
    <cellStyle name="Currency 139" xfId="7319" xr:uid="{00000000-0005-0000-0000-000085190000}"/>
    <cellStyle name="Currency 14" xfId="7320" xr:uid="{00000000-0005-0000-0000-000086190000}"/>
    <cellStyle name="Currency 14 2" xfId="7321" xr:uid="{00000000-0005-0000-0000-000087190000}"/>
    <cellStyle name="Currency 14 2 2" xfId="7322" xr:uid="{00000000-0005-0000-0000-000088190000}"/>
    <cellStyle name="Currency 14 3" xfId="7323" xr:uid="{00000000-0005-0000-0000-000089190000}"/>
    <cellStyle name="Currency 14 3 2" xfId="7324" xr:uid="{00000000-0005-0000-0000-00008A190000}"/>
    <cellStyle name="Currency 14 4" xfId="7325" xr:uid="{00000000-0005-0000-0000-00008B190000}"/>
    <cellStyle name="Currency 14 5" xfId="7326" xr:uid="{00000000-0005-0000-0000-00008C190000}"/>
    <cellStyle name="Currency 140" xfId="7327" xr:uid="{00000000-0005-0000-0000-00008D190000}"/>
    <cellStyle name="Currency 141" xfId="7328" xr:uid="{00000000-0005-0000-0000-00008E190000}"/>
    <cellStyle name="Currency 142" xfId="7329" xr:uid="{00000000-0005-0000-0000-00008F190000}"/>
    <cellStyle name="Currency 143" xfId="7330" xr:uid="{00000000-0005-0000-0000-000090190000}"/>
    <cellStyle name="Currency 144" xfId="7331" xr:uid="{00000000-0005-0000-0000-000091190000}"/>
    <cellStyle name="Currency 145" xfId="7332" xr:uid="{00000000-0005-0000-0000-000092190000}"/>
    <cellStyle name="Currency 146" xfId="7333" xr:uid="{00000000-0005-0000-0000-000093190000}"/>
    <cellStyle name="Currency 147" xfId="7334" xr:uid="{00000000-0005-0000-0000-000094190000}"/>
    <cellStyle name="Currency 148" xfId="7335" xr:uid="{00000000-0005-0000-0000-000095190000}"/>
    <cellStyle name="Currency 149" xfId="7336" xr:uid="{00000000-0005-0000-0000-000096190000}"/>
    <cellStyle name="Currency 15" xfId="7337" xr:uid="{00000000-0005-0000-0000-000097190000}"/>
    <cellStyle name="Currency 15 2" xfId="7338" xr:uid="{00000000-0005-0000-0000-000098190000}"/>
    <cellStyle name="Currency 15 2 2" xfId="7339" xr:uid="{00000000-0005-0000-0000-000099190000}"/>
    <cellStyle name="Currency 15 3" xfId="7340" xr:uid="{00000000-0005-0000-0000-00009A190000}"/>
    <cellStyle name="Currency 15 3 2" xfId="7341" xr:uid="{00000000-0005-0000-0000-00009B190000}"/>
    <cellStyle name="Currency 15 4" xfId="7342" xr:uid="{00000000-0005-0000-0000-00009C190000}"/>
    <cellStyle name="Currency 15 5" xfId="7343" xr:uid="{00000000-0005-0000-0000-00009D190000}"/>
    <cellStyle name="Currency 150" xfId="7344" xr:uid="{00000000-0005-0000-0000-00009E190000}"/>
    <cellStyle name="Currency 150 2" xfId="7345" xr:uid="{00000000-0005-0000-0000-00009F190000}"/>
    <cellStyle name="Currency 151" xfId="7346" xr:uid="{00000000-0005-0000-0000-0000A0190000}"/>
    <cellStyle name="Currency 152" xfId="7347" xr:uid="{00000000-0005-0000-0000-0000A1190000}"/>
    <cellStyle name="Currency 153" xfId="7348" xr:uid="{00000000-0005-0000-0000-0000A2190000}"/>
    <cellStyle name="Currency 154" xfId="7349" xr:uid="{00000000-0005-0000-0000-0000A3190000}"/>
    <cellStyle name="Currency 155" xfId="7350" xr:uid="{00000000-0005-0000-0000-0000A4190000}"/>
    <cellStyle name="Currency 156" xfId="7351" xr:uid="{00000000-0005-0000-0000-0000A5190000}"/>
    <cellStyle name="Currency 157" xfId="7352" xr:uid="{00000000-0005-0000-0000-0000A6190000}"/>
    <cellStyle name="Currency 158" xfId="7353" xr:uid="{00000000-0005-0000-0000-0000A7190000}"/>
    <cellStyle name="Currency 159" xfId="7354" xr:uid="{00000000-0005-0000-0000-0000A8190000}"/>
    <cellStyle name="Currency 16" xfId="7355" xr:uid="{00000000-0005-0000-0000-0000A9190000}"/>
    <cellStyle name="Currency 16 2" xfId="7356" xr:uid="{00000000-0005-0000-0000-0000AA190000}"/>
    <cellStyle name="Currency 16 2 2" xfId="7357" xr:uid="{00000000-0005-0000-0000-0000AB190000}"/>
    <cellStyle name="Currency 16 3" xfId="7358" xr:uid="{00000000-0005-0000-0000-0000AC190000}"/>
    <cellStyle name="Currency 16 3 2" xfId="7359" xr:uid="{00000000-0005-0000-0000-0000AD190000}"/>
    <cellStyle name="Currency 16 4" xfId="7360" xr:uid="{00000000-0005-0000-0000-0000AE190000}"/>
    <cellStyle name="Currency 16 5" xfId="7361" xr:uid="{00000000-0005-0000-0000-0000AF190000}"/>
    <cellStyle name="Currency 160" xfId="7362" xr:uid="{00000000-0005-0000-0000-0000B0190000}"/>
    <cellStyle name="Currency 161" xfId="7363" xr:uid="{00000000-0005-0000-0000-0000B1190000}"/>
    <cellStyle name="Currency 162" xfId="7364" xr:uid="{00000000-0005-0000-0000-0000B2190000}"/>
    <cellStyle name="Currency 163" xfId="7365" xr:uid="{00000000-0005-0000-0000-0000B3190000}"/>
    <cellStyle name="Currency 164" xfId="55" xr:uid="{00000000-0005-0000-0000-0000B4190000}"/>
    <cellStyle name="Currency 17" xfId="7366" xr:uid="{00000000-0005-0000-0000-0000B5190000}"/>
    <cellStyle name="Currency 17 2" xfId="7367" xr:uid="{00000000-0005-0000-0000-0000B6190000}"/>
    <cellStyle name="Currency 17 2 2" xfId="7368" xr:uid="{00000000-0005-0000-0000-0000B7190000}"/>
    <cellStyle name="Currency 17 3" xfId="7369" xr:uid="{00000000-0005-0000-0000-0000B8190000}"/>
    <cellStyle name="Currency 17 3 2" xfId="7370" xr:uid="{00000000-0005-0000-0000-0000B9190000}"/>
    <cellStyle name="Currency 17 4" xfId="7371" xr:uid="{00000000-0005-0000-0000-0000BA190000}"/>
    <cellStyle name="Currency 17 5" xfId="7372" xr:uid="{00000000-0005-0000-0000-0000BB190000}"/>
    <cellStyle name="Currency 18" xfId="7373" xr:uid="{00000000-0005-0000-0000-0000BC190000}"/>
    <cellStyle name="Currency 18 2" xfId="7374" xr:uid="{00000000-0005-0000-0000-0000BD190000}"/>
    <cellStyle name="Currency 18 2 2" xfId="7375" xr:uid="{00000000-0005-0000-0000-0000BE190000}"/>
    <cellStyle name="Currency 18 3" xfId="7376" xr:uid="{00000000-0005-0000-0000-0000BF190000}"/>
    <cellStyle name="Currency 18 3 2" xfId="7377" xr:uid="{00000000-0005-0000-0000-0000C0190000}"/>
    <cellStyle name="Currency 18 4" xfId="7378" xr:uid="{00000000-0005-0000-0000-0000C1190000}"/>
    <cellStyle name="Currency 18 5" xfId="7379" xr:uid="{00000000-0005-0000-0000-0000C2190000}"/>
    <cellStyle name="Currency 19" xfId="7380" xr:uid="{00000000-0005-0000-0000-0000C3190000}"/>
    <cellStyle name="Currency 19 2" xfId="7381" xr:uid="{00000000-0005-0000-0000-0000C4190000}"/>
    <cellStyle name="Currency 19 2 2" xfId="7382" xr:uid="{00000000-0005-0000-0000-0000C5190000}"/>
    <cellStyle name="Currency 19 3" xfId="7383" xr:uid="{00000000-0005-0000-0000-0000C6190000}"/>
    <cellStyle name="Currency 19 3 2" xfId="7384" xr:uid="{00000000-0005-0000-0000-0000C7190000}"/>
    <cellStyle name="Currency 19 4" xfId="7385" xr:uid="{00000000-0005-0000-0000-0000C8190000}"/>
    <cellStyle name="Currency 19 5" xfId="7386" xr:uid="{00000000-0005-0000-0000-0000C9190000}"/>
    <cellStyle name="Currency 2" xfId="1406" xr:uid="{00000000-0005-0000-0000-0000CA190000}"/>
    <cellStyle name="Currency 2 2" xfId="1407" xr:uid="{00000000-0005-0000-0000-0000CB190000}"/>
    <cellStyle name="Currency 2 2 2" xfId="7387" xr:uid="{00000000-0005-0000-0000-0000CC190000}"/>
    <cellStyle name="Currency 2 2 2 2" xfId="7388" xr:uid="{00000000-0005-0000-0000-0000CD190000}"/>
    <cellStyle name="Currency 2 2 3" xfId="7389" xr:uid="{00000000-0005-0000-0000-0000CE190000}"/>
    <cellStyle name="Currency 2 3" xfId="1408" xr:uid="{00000000-0005-0000-0000-0000CF190000}"/>
    <cellStyle name="Currency 2 3 2" xfId="7390" xr:uid="{00000000-0005-0000-0000-0000D0190000}"/>
    <cellStyle name="Currency 2 3 2 2" xfId="7391" xr:uid="{00000000-0005-0000-0000-0000D1190000}"/>
    <cellStyle name="Currency 2 3 3" xfId="7392" xr:uid="{00000000-0005-0000-0000-0000D2190000}"/>
    <cellStyle name="Currency 2 4" xfId="1409" xr:uid="{00000000-0005-0000-0000-0000D3190000}"/>
    <cellStyle name="Currency 2 5" xfId="1410" xr:uid="{00000000-0005-0000-0000-0000D4190000}"/>
    <cellStyle name="Currency 20" xfId="7393" xr:uid="{00000000-0005-0000-0000-0000D5190000}"/>
    <cellStyle name="Currency 20 2" xfId="7394" xr:uid="{00000000-0005-0000-0000-0000D6190000}"/>
    <cellStyle name="Currency 20 2 2" xfId="7395" xr:uid="{00000000-0005-0000-0000-0000D7190000}"/>
    <cellStyle name="Currency 20 3" xfId="7396" xr:uid="{00000000-0005-0000-0000-0000D8190000}"/>
    <cellStyle name="Currency 20 3 2" xfId="7397" xr:uid="{00000000-0005-0000-0000-0000D9190000}"/>
    <cellStyle name="Currency 20 4" xfId="7398" xr:uid="{00000000-0005-0000-0000-0000DA190000}"/>
    <cellStyle name="Currency 20 5" xfId="7399" xr:uid="{00000000-0005-0000-0000-0000DB190000}"/>
    <cellStyle name="Currency 21" xfId="7400" xr:uid="{00000000-0005-0000-0000-0000DC190000}"/>
    <cellStyle name="Currency 21 2" xfId="7401" xr:uid="{00000000-0005-0000-0000-0000DD190000}"/>
    <cellStyle name="Currency 21 2 2" xfId="7402" xr:uid="{00000000-0005-0000-0000-0000DE190000}"/>
    <cellStyle name="Currency 21 3" xfId="7403" xr:uid="{00000000-0005-0000-0000-0000DF190000}"/>
    <cellStyle name="Currency 21 3 2" xfId="7404" xr:uid="{00000000-0005-0000-0000-0000E0190000}"/>
    <cellStyle name="Currency 21 4" xfId="7405" xr:uid="{00000000-0005-0000-0000-0000E1190000}"/>
    <cellStyle name="Currency 21 5" xfId="7406" xr:uid="{00000000-0005-0000-0000-0000E2190000}"/>
    <cellStyle name="Currency 22" xfId="7407" xr:uid="{00000000-0005-0000-0000-0000E3190000}"/>
    <cellStyle name="Currency 22 2" xfId="7408" xr:uid="{00000000-0005-0000-0000-0000E4190000}"/>
    <cellStyle name="Currency 22 2 2" xfId="7409" xr:uid="{00000000-0005-0000-0000-0000E5190000}"/>
    <cellStyle name="Currency 22 3" xfId="7410" xr:uid="{00000000-0005-0000-0000-0000E6190000}"/>
    <cellStyle name="Currency 22 3 2" xfId="7411" xr:uid="{00000000-0005-0000-0000-0000E7190000}"/>
    <cellStyle name="Currency 22 4" xfId="7412" xr:uid="{00000000-0005-0000-0000-0000E8190000}"/>
    <cellStyle name="Currency 22 5" xfId="7413" xr:uid="{00000000-0005-0000-0000-0000E9190000}"/>
    <cellStyle name="Currency 23" xfId="7414" xr:uid="{00000000-0005-0000-0000-0000EA190000}"/>
    <cellStyle name="Currency 23 2" xfId="7415" xr:uid="{00000000-0005-0000-0000-0000EB190000}"/>
    <cellStyle name="Currency 23 2 2" xfId="7416" xr:uid="{00000000-0005-0000-0000-0000EC190000}"/>
    <cellStyle name="Currency 23 3" xfId="7417" xr:uid="{00000000-0005-0000-0000-0000ED190000}"/>
    <cellStyle name="Currency 23 3 2" xfId="7418" xr:uid="{00000000-0005-0000-0000-0000EE190000}"/>
    <cellStyle name="Currency 23 4" xfId="7419" xr:uid="{00000000-0005-0000-0000-0000EF190000}"/>
    <cellStyle name="Currency 23 5" xfId="7420" xr:uid="{00000000-0005-0000-0000-0000F0190000}"/>
    <cellStyle name="Currency 24" xfId="7421" xr:uid="{00000000-0005-0000-0000-0000F1190000}"/>
    <cellStyle name="Currency 24 2" xfId="7422" xr:uid="{00000000-0005-0000-0000-0000F2190000}"/>
    <cellStyle name="Currency 24 2 2" xfId="7423" xr:uid="{00000000-0005-0000-0000-0000F3190000}"/>
    <cellStyle name="Currency 24 3" xfId="7424" xr:uid="{00000000-0005-0000-0000-0000F4190000}"/>
    <cellStyle name="Currency 24 3 2" xfId="7425" xr:uid="{00000000-0005-0000-0000-0000F5190000}"/>
    <cellStyle name="Currency 24 4" xfId="7426" xr:uid="{00000000-0005-0000-0000-0000F6190000}"/>
    <cellStyle name="Currency 24 5" xfId="7427" xr:uid="{00000000-0005-0000-0000-0000F7190000}"/>
    <cellStyle name="Currency 25" xfId="7428" xr:uid="{00000000-0005-0000-0000-0000F8190000}"/>
    <cellStyle name="Currency 25 2" xfId="7429" xr:uid="{00000000-0005-0000-0000-0000F9190000}"/>
    <cellStyle name="Currency 25 2 2" xfId="7430" xr:uid="{00000000-0005-0000-0000-0000FA190000}"/>
    <cellStyle name="Currency 25 3" xfId="7431" xr:uid="{00000000-0005-0000-0000-0000FB190000}"/>
    <cellStyle name="Currency 25 3 2" xfId="7432" xr:uid="{00000000-0005-0000-0000-0000FC190000}"/>
    <cellStyle name="Currency 25 4" xfId="7433" xr:uid="{00000000-0005-0000-0000-0000FD190000}"/>
    <cellStyle name="Currency 25 5" xfId="7434" xr:uid="{00000000-0005-0000-0000-0000FE190000}"/>
    <cellStyle name="Currency 26" xfId="7435" xr:uid="{00000000-0005-0000-0000-0000FF190000}"/>
    <cellStyle name="Currency 26 2" xfId="7436" xr:uid="{00000000-0005-0000-0000-0000001A0000}"/>
    <cellStyle name="Currency 26 2 2" xfId="7437" xr:uid="{00000000-0005-0000-0000-0000011A0000}"/>
    <cellStyle name="Currency 26 3" xfId="7438" xr:uid="{00000000-0005-0000-0000-0000021A0000}"/>
    <cellStyle name="Currency 26 3 2" xfId="7439" xr:uid="{00000000-0005-0000-0000-0000031A0000}"/>
    <cellStyle name="Currency 26 4" xfId="7440" xr:uid="{00000000-0005-0000-0000-0000041A0000}"/>
    <cellStyle name="Currency 26 5" xfId="7441" xr:uid="{00000000-0005-0000-0000-0000051A0000}"/>
    <cellStyle name="Currency 27" xfId="7442" xr:uid="{00000000-0005-0000-0000-0000061A0000}"/>
    <cellStyle name="Currency 27 2" xfId="7443" xr:uid="{00000000-0005-0000-0000-0000071A0000}"/>
    <cellStyle name="Currency 27 2 2" xfId="7444" xr:uid="{00000000-0005-0000-0000-0000081A0000}"/>
    <cellStyle name="Currency 27 2 2 2" xfId="7445" xr:uid="{00000000-0005-0000-0000-0000091A0000}"/>
    <cellStyle name="Currency 27 2 3" xfId="7446" xr:uid="{00000000-0005-0000-0000-00000A1A0000}"/>
    <cellStyle name="Currency 27 2 4" xfId="7447" xr:uid="{00000000-0005-0000-0000-00000B1A0000}"/>
    <cellStyle name="Currency 27 3" xfId="7448" xr:uid="{00000000-0005-0000-0000-00000C1A0000}"/>
    <cellStyle name="Currency 27 3 2" xfId="7449" xr:uid="{00000000-0005-0000-0000-00000D1A0000}"/>
    <cellStyle name="Currency 27 4" xfId="7450" xr:uid="{00000000-0005-0000-0000-00000E1A0000}"/>
    <cellStyle name="Currency 27 4 2" xfId="7451" xr:uid="{00000000-0005-0000-0000-00000F1A0000}"/>
    <cellStyle name="Currency 27 5" xfId="7452" xr:uid="{00000000-0005-0000-0000-0000101A0000}"/>
    <cellStyle name="Currency 27 6" xfId="7453" xr:uid="{00000000-0005-0000-0000-0000111A0000}"/>
    <cellStyle name="Currency 28" xfId="7454" xr:uid="{00000000-0005-0000-0000-0000121A0000}"/>
    <cellStyle name="Currency 28 2" xfId="7455" xr:uid="{00000000-0005-0000-0000-0000131A0000}"/>
    <cellStyle name="Currency 28 2 2" xfId="7456" xr:uid="{00000000-0005-0000-0000-0000141A0000}"/>
    <cellStyle name="Currency 28 3" xfId="7457" xr:uid="{00000000-0005-0000-0000-0000151A0000}"/>
    <cellStyle name="Currency 28 3 2" xfId="7458" xr:uid="{00000000-0005-0000-0000-0000161A0000}"/>
    <cellStyle name="Currency 28 4" xfId="7459" xr:uid="{00000000-0005-0000-0000-0000171A0000}"/>
    <cellStyle name="Currency 28 5" xfId="7460" xr:uid="{00000000-0005-0000-0000-0000181A0000}"/>
    <cellStyle name="Currency 29" xfId="7461" xr:uid="{00000000-0005-0000-0000-0000191A0000}"/>
    <cellStyle name="Currency 29 2" xfId="7462" xr:uid="{00000000-0005-0000-0000-00001A1A0000}"/>
    <cellStyle name="Currency 29 2 2" xfId="7463" xr:uid="{00000000-0005-0000-0000-00001B1A0000}"/>
    <cellStyle name="Currency 29 3" xfId="7464" xr:uid="{00000000-0005-0000-0000-00001C1A0000}"/>
    <cellStyle name="Currency 29 3 2" xfId="7465" xr:uid="{00000000-0005-0000-0000-00001D1A0000}"/>
    <cellStyle name="Currency 29 4" xfId="7466" xr:uid="{00000000-0005-0000-0000-00001E1A0000}"/>
    <cellStyle name="Currency 29 5" xfId="7467" xr:uid="{00000000-0005-0000-0000-00001F1A0000}"/>
    <cellStyle name="Currency 3" xfId="1411" xr:uid="{00000000-0005-0000-0000-0000201A0000}"/>
    <cellStyle name="Currency 3 2" xfId="1412" xr:uid="{00000000-0005-0000-0000-0000211A0000}"/>
    <cellStyle name="Currency 3 2 2" xfId="7468" xr:uid="{00000000-0005-0000-0000-0000221A0000}"/>
    <cellStyle name="Currency 3 2 2 2" xfId="7469" xr:uid="{00000000-0005-0000-0000-0000231A0000}"/>
    <cellStyle name="Currency 3 2 2 2 2" xfId="7470" xr:uid="{00000000-0005-0000-0000-0000241A0000}"/>
    <cellStyle name="Currency 3 2 2 3" xfId="7471" xr:uid="{00000000-0005-0000-0000-0000251A0000}"/>
    <cellStyle name="Currency 3 2 2 3 2" xfId="7472" xr:uid="{00000000-0005-0000-0000-0000261A0000}"/>
    <cellStyle name="Currency 3 2 2 4" xfId="7473" xr:uid="{00000000-0005-0000-0000-0000271A0000}"/>
    <cellStyle name="Currency 3 2 2 5" xfId="7474" xr:uid="{00000000-0005-0000-0000-0000281A0000}"/>
    <cellStyle name="Currency 3 2 2 6" xfId="7475" xr:uid="{00000000-0005-0000-0000-0000291A0000}"/>
    <cellStyle name="Currency 3 2 3" xfId="7476" xr:uid="{00000000-0005-0000-0000-00002A1A0000}"/>
    <cellStyle name="Currency 3 2 3 2" xfId="7477" xr:uid="{00000000-0005-0000-0000-00002B1A0000}"/>
    <cellStyle name="Currency 3 2 3 3" xfId="7478" xr:uid="{00000000-0005-0000-0000-00002C1A0000}"/>
    <cellStyle name="Currency 3 2 3 4" xfId="7479" xr:uid="{00000000-0005-0000-0000-00002D1A0000}"/>
    <cellStyle name="Currency 3 2 4" xfId="7480" xr:uid="{00000000-0005-0000-0000-00002E1A0000}"/>
    <cellStyle name="Currency 3 2 5" xfId="7481" xr:uid="{00000000-0005-0000-0000-00002F1A0000}"/>
    <cellStyle name="Currency 3 3" xfId="1413" xr:uid="{00000000-0005-0000-0000-0000301A0000}"/>
    <cellStyle name="Currency 3 3 2" xfId="7482" xr:uid="{00000000-0005-0000-0000-0000311A0000}"/>
    <cellStyle name="Currency 3 3 2 2" xfId="7483" xr:uid="{00000000-0005-0000-0000-0000321A0000}"/>
    <cellStyle name="Currency 3 3 3" xfId="7484" xr:uid="{00000000-0005-0000-0000-0000331A0000}"/>
    <cellStyle name="Currency 3 3 3 2" xfId="7485" xr:uid="{00000000-0005-0000-0000-0000341A0000}"/>
    <cellStyle name="Currency 3 3 4" xfId="7486" xr:uid="{00000000-0005-0000-0000-0000351A0000}"/>
    <cellStyle name="Currency 3 3 5" xfId="7487" xr:uid="{00000000-0005-0000-0000-0000361A0000}"/>
    <cellStyle name="Currency 3 4" xfId="1414" xr:uid="{00000000-0005-0000-0000-0000371A0000}"/>
    <cellStyle name="Currency 3 4 2" xfId="7488" xr:uid="{00000000-0005-0000-0000-0000381A0000}"/>
    <cellStyle name="Currency 3 4 3" xfId="7489" xr:uid="{00000000-0005-0000-0000-0000391A0000}"/>
    <cellStyle name="Currency 3 4 3 2" xfId="7490" xr:uid="{00000000-0005-0000-0000-00003A1A0000}"/>
    <cellStyle name="Currency 3 4 4" xfId="7491" xr:uid="{00000000-0005-0000-0000-00003B1A0000}"/>
    <cellStyle name="Currency 3 4 5" xfId="7492" xr:uid="{00000000-0005-0000-0000-00003C1A0000}"/>
    <cellStyle name="Currency 3 5" xfId="1415" xr:uid="{00000000-0005-0000-0000-00003D1A0000}"/>
    <cellStyle name="Currency 3 6" xfId="7493" xr:uid="{00000000-0005-0000-0000-00003E1A0000}"/>
    <cellStyle name="Currency 30" xfId="7494" xr:uid="{00000000-0005-0000-0000-00003F1A0000}"/>
    <cellStyle name="Currency 30 2" xfId="7495" xr:uid="{00000000-0005-0000-0000-0000401A0000}"/>
    <cellStyle name="Currency 30 2 2" xfId="7496" xr:uid="{00000000-0005-0000-0000-0000411A0000}"/>
    <cellStyle name="Currency 30 3" xfId="7497" xr:uid="{00000000-0005-0000-0000-0000421A0000}"/>
    <cellStyle name="Currency 30 3 2" xfId="7498" xr:uid="{00000000-0005-0000-0000-0000431A0000}"/>
    <cellStyle name="Currency 30 4" xfId="7499" xr:uid="{00000000-0005-0000-0000-0000441A0000}"/>
    <cellStyle name="Currency 30 5" xfId="7500" xr:uid="{00000000-0005-0000-0000-0000451A0000}"/>
    <cellStyle name="Currency 31" xfId="7501" xr:uid="{00000000-0005-0000-0000-0000461A0000}"/>
    <cellStyle name="Currency 31 2" xfId="7502" xr:uid="{00000000-0005-0000-0000-0000471A0000}"/>
    <cellStyle name="Currency 31 2 2" xfId="7503" xr:uid="{00000000-0005-0000-0000-0000481A0000}"/>
    <cellStyle name="Currency 31 3" xfId="7504" xr:uid="{00000000-0005-0000-0000-0000491A0000}"/>
    <cellStyle name="Currency 31 3 2" xfId="7505" xr:uid="{00000000-0005-0000-0000-00004A1A0000}"/>
    <cellStyle name="Currency 31 4" xfId="7506" xr:uid="{00000000-0005-0000-0000-00004B1A0000}"/>
    <cellStyle name="Currency 31 5" xfId="7507" xr:uid="{00000000-0005-0000-0000-00004C1A0000}"/>
    <cellStyle name="Currency 32" xfId="7508" xr:uid="{00000000-0005-0000-0000-00004D1A0000}"/>
    <cellStyle name="Currency 32 2" xfId="7509" xr:uid="{00000000-0005-0000-0000-00004E1A0000}"/>
    <cellStyle name="Currency 32 2 2" xfId="7510" xr:uid="{00000000-0005-0000-0000-00004F1A0000}"/>
    <cellStyle name="Currency 32 3" xfId="7511" xr:uid="{00000000-0005-0000-0000-0000501A0000}"/>
    <cellStyle name="Currency 32 3 2" xfId="7512" xr:uid="{00000000-0005-0000-0000-0000511A0000}"/>
    <cellStyle name="Currency 32 4" xfId="7513" xr:uid="{00000000-0005-0000-0000-0000521A0000}"/>
    <cellStyle name="Currency 32 5" xfId="7514" xr:uid="{00000000-0005-0000-0000-0000531A0000}"/>
    <cellStyle name="Currency 33" xfId="7515" xr:uid="{00000000-0005-0000-0000-0000541A0000}"/>
    <cellStyle name="Currency 34" xfId="7516" xr:uid="{00000000-0005-0000-0000-0000551A0000}"/>
    <cellStyle name="Currency 35" xfId="7517" xr:uid="{00000000-0005-0000-0000-0000561A0000}"/>
    <cellStyle name="Currency 36" xfId="7518" xr:uid="{00000000-0005-0000-0000-0000571A0000}"/>
    <cellStyle name="Currency 37" xfId="7519" xr:uid="{00000000-0005-0000-0000-0000581A0000}"/>
    <cellStyle name="Currency 38" xfId="7520" xr:uid="{00000000-0005-0000-0000-0000591A0000}"/>
    <cellStyle name="Currency 39" xfId="7521" xr:uid="{00000000-0005-0000-0000-00005A1A0000}"/>
    <cellStyle name="Currency 4" xfId="1416" xr:uid="{00000000-0005-0000-0000-00005B1A0000}"/>
    <cellStyle name="Currency 4 2" xfId="7522" xr:uid="{00000000-0005-0000-0000-00005C1A0000}"/>
    <cellStyle name="Currency 4 2 2" xfId="7523" xr:uid="{00000000-0005-0000-0000-00005D1A0000}"/>
    <cellStyle name="Currency 4 2 2 2" xfId="7524" xr:uid="{00000000-0005-0000-0000-00005E1A0000}"/>
    <cellStyle name="Currency 4 2 2 2 2" xfId="7525" xr:uid="{00000000-0005-0000-0000-00005F1A0000}"/>
    <cellStyle name="Currency 4 2 2 3" xfId="7526" xr:uid="{00000000-0005-0000-0000-0000601A0000}"/>
    <cellStyle name="Currency 4 2 2 4" xfId="7527" xr:uid="{00000000-0005-0000-0000-0000611A0000}"/>
    <cellStyle name="Currency 4 2 3" xfId="7528" xr:uid="{00000000-0005-0000-0000-0000621A0000}"/>
    <cellStyle name="Currency 4 2 3 2" xfId="7529" xr:uid="{00000000-0005-0000-0000-0000631A0000}"/>
    <cellStyle name="Currency 4 2 3 2 2" xfId="7530" xr:uid="{00000000-0005-0000-0000-0000641A0000}"/>
    <cellStyle name="Currency 4 2 3 3" xfId="7531" xr:uid="{00000000-0005-0000-0000-0000651A0000}"/>
    <cellStyle name="Currency 4 2 3 4" xfId="7532" xr:uid="{00000000-0005-0000-0000-0000661A0000}"/>
    <cellStyle name="Currency 4 2 4" xfId="7533" xr:uid="{00000000-0005-0000-0000-0000671A0000}"/>
    <cellStyle name="Currency 4 2 4 2" xfId="7534" xr:uid="{00000000-0005-0000-0000-0000681A0000}"/>
    <cellStyle name="Currency 4 2 4 3" xfId="7535" xr:uid="{00000000-0005-0000-0000-0000691A0000}"/>
    <cellStyle name="Currency 4 2 4 4" xfId="7536" xr:uid="{00000000-0005-0000-0000-00006A1A0000}"/>
    <cellStyle name="Currency 4 2 5" xfId="7537" xr:uid="{00000000-0005-0000-0000-00006B1A0000}"/>
    <cellStyle name="Currency 4 2 6" xfId="7538" xr:uid="{00000000-0005-0000-0000-00006C1A0000}"/>
    <cellStyle name="Currency 4 3" xfId="7539" xr:uid="{00000000-0005-0000-0000-00006D1A0000}"/>
    <cellStyle name="Currency 4 3 2" xfId="7540" xr:uid="{00000000-0005-0000-0000-00006E1A0000}"/>
    <cellStyle name="Currency 4 3 2 2" xfId="7541" xr:uid="{00000000-0005-0000-0000-00006F1A0000}"/>
    <cellStyle name="Currency 4 3 3" xfId="7542" xr:uid="{00000000-0005-0000-0000-0000701A0000}"/>
    <cellStyle name="Currency 4 3 4" xfId="7543" xr:uid="{00000000-0005-0000-0000-0000711A0000}"/>
    <cellStyle name="Currency 4 3 5" xfId="7544" xr:uid="{00000000-0005-0000-0000-0000721A0000}"/>
    <cellStyle name="Currency 4 4" xfId="7545" xr:uid="{00000000-0005-0000-0000-0000731A0000}"/>
    <cellStyle name="Currency 4 4 2" xfId="7546" xr:uid="{00000000-0005-0000-0000-0000741A0000}"/>
    <cellStyle name="Currency 4 4 2 2" xfId="7547" xr:uid="{00000000-0005-0000-0000-0000751A0000}"/>
    <cellStyle name="Currency 4 4 3" xfId="7548" xr:uid="{00000000-0005-0000-0000-0000761A0000}"/>
    <cellStyle name="Currency 4 4 4" xfId="7549" xr:uid="{00000000-0005-0000-0000-0000771A0000}"/>
    <cellStyle name="Currency 4 5" xfId="7550" xr:uid="{00000000-0005-0000-0000-0000781A0000}"/>
    <cellStyle name="Currency 40" xfId="7551" xr:uid="{00000000-0005-0000-0000-0000791A0000}"/>
    <cellStyle name="Currency 41" xfId="7552" xr:uid="{00000000-0005-0000-0000-00007A1A0000}"/>
    <cellStyle name="Currency 42" xfId="7553" xr:uid="{00000000-0005-0000-0000-00007B1A0000}"/>
    <cellStyle name="Currency 43" xfId="7554" xr:uid="{00000000-0005-0000-0000-00007C1A0000}"/>
    <cellStyle name="Currency 44" xfId="7555" xr:uid="{00000000-0005-0000-0000-00007D1A0000}"/>
    <cellStyle name="Currency 45" xfId="7556" xr:uid="{00000000-0005-0000-0000-00007E1A0000}"/>
    <cellStyle name="Currency 46" xfId="7557" xr:uid="{00000000-0005-0000-0000-00007F1A0000}"/>
    <cellStyle name="Currency 47" xfId="7558" xr:uid="{00000000-0005-0000-0000-0000801A0000}"/>
    <cellStyle name="Currency 48" xfId="7559" xr:uid="{00000000-0005-0000-0000-0000811A0000}"/>
    <cellStyle name="Currency 49" xfId="7560" xr:uid="{00000000-0005-0000-0000-0000821A0000}"/>
    <cellStyle name="Currency 5" xfId="2159" xr:uid="{00000000-0005-0000-0000-0000831A0000}"/>
    <cellStyle name="Currency 5 2" xfId="7561" xr:uid="{00000000-0005-0000-0000-0000841A0000}"/>
    <cellStyle name="Currency 5 2 2" xfId="7562" xr:uid="{00000000-0005-0000-0000-0000851A0000}"/>
    <cellStyle name="Currency 5 2 2 2" xfId="7563" xr:uid="{00000000-0005-0000-0000-0000861A0000}"/>
    <cellStyle name="Currency 5 2 2 3" xfId="7564" xr:uid="{00000000-0005-0000-0000-0000871A0000}"/>
    <cellStyle name="Currency 5 2 2 4" xfId="7565" xr:uid="{00000000-0005-0000-0000-0000881A0000}"/>
    <cellStyle name="Currency 5 2 3" xfId="7566" xr:uid="{00000000-0005-0000-0000-0000891A0000}"/>
    <cellStyle name="Currency 5 2 3 2" xfId="7567" xr:uid="{00000000-0005-0000-0000-00008A1A0000}"/>
    <cellStyle name="Currency 5 2 4" xfId="7568" xr:uid="{00000000-0005-0000-0000-00008B1A0000}"/>
    <cellStyle name="Currency 5 2 5" xfId="7569" xr:uid="{00000000-0005-0000-0000-00008C1A0000}"/>
    <cellStyle name="Currency 5 2 6" xfId="7570" xr:uid="{00000000-0005-0000-0000-00008D1A0000}"/>
    <cellStyle name="Currency 5 2 7" xfId="7571" xr:uid="{00000000-0005-0000-0000-00008E1A0000}"/>
    <cellStyle name="Currency 5 3" xfId="7572" xr:uid="{00000000-0005-0000-0000-00008F1A0000}"/>
    <cellStyle name="Currency 5 3 2" xfId="7573" xr:uid="{00000000-0005-0000-0000-0000901A0000}"/>
    <cellStyle name="Currency 5 3 3" xfId="7574" xr:uid="{00000000-0005-0000-0000-0000911A0000}"/>
    <cellStyle name="Currency 5 3 4" xfId="7575" xr:uid="{00000000-0005-0000-0000-0000921A0000}"/>
    <cellStyle name="Currency 5 4" xfId="7576" xr:uid="{00000000-0005-0000-0000-0000931A0000}"/>
    <cellStyle name="Currency 5 4 2" xfId="7577" xr:uid="{00000000-0005-0000-0000-0000941A0000}"/>
    <cellStyle name="Currency 5 5" xfId="7578" xr:uid="{00000000-0005-0000-0000-0000951A0000}"/>
    <cellStyle name="Currency 5 6" xfId="7579" xr:uid="{00000000-0005-0000-0000-0000961A0000}"/>
    <cellStyle name="Currency 5 7" xfId="7580" xr:uid="{00000000-0005-0000-0000-0000971A0000}"/>
    <cellStyle name="Currency 5 8" xfId="7581" xr:uid="{00000000-0005-0000-0000-0000981A0000}"/>
    <cellStyle name="Currency 50" xfId="7582" xr:uid="{00000000-0005-0000-0000-0000991A0000}"/>
    <cellStyle name="Currency 51" xfId="7583" xr:uid="{00000000-0005-0000-0000-00009A1A0000}"/>
    <cellStyle name="Currency 52" xfId="7584" xr:uid="{00000000-0005-0000-0000-00009B1A0000}"/>
    <cellStyle name="Currency 53" xfId="7585" xr:uid="{00000000-0005-0000-0000-00009C1A0000}"/>
    <cellStyle name="Currency 54" xfId="7586" xr:uid="{00000000-0005-0000-0000-00009D1A0000}"/>
    <cellStyle name="Currency 55" xfId="7587" xr:uid="{00000000-0005-0000-0000-00009E1A0000}"/>
    <cellStyle name="Currency 56" xfId="7588" xr:uid="{00000000-0005-0000-0000-00009F1A0000}"/>
    <cellStyle name="Currency 56 2" xfId="7589" xr:uid="{00000000-0005-0000-0000-0000A01A0000}"/>
    <cellStyle name="Currency 57" xfId="7590" xr:uid="{00000000-0005-0000-0000-0000A11A0000}"/>
    <cellStyle name="Currency 57 2" xfId="7591" xr:uid="{00000000-0005-0000-0000-0000A21A0000}"/>
    <cellStyle name="Currency 58" xfId="7592" xr:uid="{00000000-0005-0000-0000-0000A31A0000}"/>
    <cellStyle name="Currency 59" xfId="7593" xr:uid="{00000000-0005-0000-0000-0000A41A0000}"/>
    <cellStyle name="Currency 6" xfId="7594" xr:uid="{00000000-0005-0000-0000-0000A51A0000}"/>
    <cellStyle name="Currency 6 2" xfId="7595" xr:uid="{00000000-0005-0000-0000-0000A61A0000}"/>
    <cellStyle name="Currency 6 2 2" xfId="7596" xr:uid="{00000000-0005-0000-0000-0000A71A0000}"/>
    <cellStyle name="Currency 6 2 2 2" xfId="7597" xr:uid="{00000000-0005-0000-0000-0000A81A0000}"/>
    <cellStyle name="Currency 6 2 2 2 2" xfId="7598" xr:uid="{00000000-0005-0000-0000-0000A91A0000}"/>
    <cellStyle name="Currency 6 2 2 2 3" xfId="7599" xr:uid="{00000000-0005-0000-0000-0000AA1A0000}"/>
    <cellStyle name="Currency 6 2 2 3" xfId="7600" xr:uid="{00000000-0005-0000-0000-0000AB1A0000}"/>
    <cellStyle name="Currency 6 2 2 3 2" xfId="7601" xr:uid="{00000000-0005-0000-0000-0000AC1A0000}"/>
    <cellStyle name="Currency 6 2 2 4" xfId="7602" xr:uid="{00000000-0005-0000-0000-0000AD1A0000}"/>
    <cellStyle name="Currency 6 2 2 5" xfId="7603" xr:uid="{00000000-0005-0000-0000-0000AE1A0000}"/>
    <cellStyle name="Currency 6 2 2 6" xfId="7604" xr:uid="{00000000-0005-0000-0000-0000AF1A0000}"/>
    <cellStyle name="Currency 6 2 3" xfId="7605" xr:uid="{00000000-0005-0000-0000-0000B01A0000}"/>
    <cellStyle name="Currency 6 2 3 2" xfId="7606" xr:uid="{00000000-0005-0000-0000-0000B11A0000}"/>
    <cellStyle name="Currency 6 2 3 3" xfId="7607" xr:uid="{00000000-0005-0000-0000-0000B21A0000}"/>
    <cellStyle name="Currency 6 2 4" xfId="7608" xr:uid="{00000000-0005-0000-0000-0000B31A0000}"/>
    <cellStyle name="Currency 6 2 4 2" xfId="7609" xr:uid="{00000000-0005-0000-0000-0000B41A0000}"/>
    <cellStyle name="Currency 6 2 5" xfId="7610" xr:uid="{00000000-0005-0000-0000-0000B51A0000}"/>
    <cellStyle name="Currency 6 3" xfId="7611" xr:uid="{00000000-0005-0000-0000-0000B61A0000}"/>
    <cellStyle name="Currency 6 3 2" xfId="7612" xr:uid="{00000000-0005-0000-0000-0000B71A0000}"/>
    <cellStyle name="Currency 6 3 2 2" xfId="7613" xr:uid="{00000000-0005-0000-0000-0000B81A0000}"/>
    <cellStyle name="Currency 6 3 2 2 2" xfId="7614" xr:uid="{00000000-0005-0000-0000-0000B91A0000}"/>
    <cellStyle name="Currency 6 3 2 3" xfId="7615" xr:uid="{00000000-0005-0000-0000-0000BA1A0000}"/>
    <cellStyle name="Currency 6 3 2 4" xfId="7616" xr:uid="{00000000-0005-0000-0000-0000BB1A0000}"/>
    <cellStyle name="Currency 6 3 2 5" xfId="7617" xr:uid="{00000000-0005-0000-0000-0000BC1A0000}"/>
    <cellStyle name="Currency 6 3 3" xfId="7618" xr:uid="{00000000-0005-0000-0000-0000BD1A0000}"/>
    <cellStyle name="Currency 6 3 3 2" xfId="7619" xr:uid="{00000000-0005-0000-0000-0000BE1A0000}"/>
    <cellStyle name="Currency 6 3 4" xfId="7620" xr:uid="{00000000-0005-0000-0000-0000BF1A0000}"/>
    <cellStyle name="Currency 6 3 5" xfId="7621" xr:uid="{00000000-0005-0000-0000-0000C01A0000}"/>
    <cellStyle name="Currency 6 3 6" xfId="7622" xr:uid="{00000000-0005-0000-0000-0000C11A0000}"/>
    <cellStyle name="Currency 6 3 7" xfId="7623" xr:uid="{00000000-0005-0000-0000-0000C21A0000}"/>
    <cellStyle name="Currency 6 4" xfId="7624" xr:uid="{00000000-0005-0000-0000-0000C31A0000}"/>
    <cellStyle name="Currency 6 4 2" xfId="7625" xr:uid="{00000000-0005-0000-0000-0000C41A0000}"/>
    <cellStyle name="Currency 6 4 2 2" xfId="7626" xr:uid="{00000000-0005-0000-0000-0000C51A0000}"/>
    <cellStyle name="Currency 6 4 3" xfId="7627" xr:uid="{00000000-0005-0000-0000-0000C61A0000}"/>
    <cellStyle name="Currency 6 4 4" xfId="7628" xr:uid="{00000000-0005-0000-0000-0000C71A0000}"/>
    <cellStyle name="Currency 6 4 5" xfId="7629" xr:uid="{00000000-0005-0000-0000-0000C81A0000}"/>
    <cellStyle name="Currency 6 5" xfId="7630" xr:uid="{00000000-0005-0000-0000-0000C91A0000}"/>
    <cellStyle name="Currency 6 5 2" xfId="7631" xr:uid="{00000000-0005-0000-0000-0000CA1A0000}"/>
    <cellStyle name="Currency 6 5 2 2" xfId="7632" xr:uid="{00000000-0005-0000-0000-0000CB1A0000}"/>
    <cellStyle name="Currency 6 5 3" xfId="7633" xr:uid="{00000000-0005-0000-0000-0000CC1A0000}"/>
    <cellStyle name="Currency 6 5 4" xfId="7634" xr:uid="{00000000-0005-0000-0000-0000CD1A0000}"/>
    <cellStyle name="Currency 6 5 5" xfId="7635" xr:uid="{00000000-0005-0000-0000-0000CE1A0000}"/>
    <cellStyle name="Currency 6 6" xfId="7636" xr:uid="{00000000-0005-0000-0000-0000CF1A0000}"/>
    <cellStyle name="Currency 6 6 2" xfId="7637" xr:uid="{00000000-0005-0000-0000-0000D01A0000}"/>
    <cellStyle name="Currency 6 6 2 2" xfId="7638" xr:uid="{00000000-0005-0000-0000-0000D11A0000}"/>
    <cellStyle name="Currency 6 6 3" xfId="7639" xr:uid="{00000000-0005-0000-0000-0000D21A0000}"/>
    <cellStyle name="Currency 6 6 4" xfId="7640" xr:uid="{00000000-0005-0000-0000-0000D31A0000}"/>
    <cellStyle name="Currency 6 6 5" xfId="7641" xr:uid="{00000000-0005-0000-0000-0000D41A0000}"/>
    <cellStyle name="Currency 6 7" xfId="7642" xr:uid="{00000000-0005-0000-0000-0000D51A0000}"/>
    <cellStyle name="Currency 60" xfId="7643" xr:uid="{00000000-0005-0000-0000-0000D61A0000}"/>
    <cellStyle name="Currency 61" xfId="7644" xr:uid="{00000000-0005-0000-0000-0000D71A0000}"/>
    <cellStyle name="Currency 62" xfId="7645" xr:uid="{00000000-0005-0000-0000-0000D81A0000}"/>
    <cellStyle name="Currency 62 2" xfId="7646" xr:uid="{00000000-0005-0000-0000-0000D91A0000}"/>
    <cellStyle name="Currency 63" xfId="7647" xr:uid="{00000000-0005-0000-0000-0000DA1A0000}"/>
    <cellStyle name="Currency 64" xfId="7648" xr:uid="{00000000-0005-0000-0000-0000DB1A0000}"/>
    <cellStyle name="Currency 65" xfId="7649" xr:uid="{00000000-0005-0000-0000-0000DC1A0000}"/>
    <cellStyle name="Currency 66" xfId="7650" xr:uid="{00000000-0005-0000-0000-0000DD1A0000}"/>
    <cellStyle name="Currency 67" xfId="7651" xr:uid="{00000000-0005-0000-0000-0000DE1A0000}"/>
    <cellStyle name="Currency 68" xfId="7652" xr:uid="{00000000-0005-0000-0000-0000DF1A0000}"/>
    <cellStyle name="Currency 69" xfId="7653" xr:uid="{00000000-0005-0000-0000-0000E01A0000}"/>
    <cellStyle name="Currency 7" xfId="7654" xr:uid="{00000000-0005-0000-0000-0000E11A0000}"/>
    <cellStyle name="Currency 7 2" xfId="7655" xr:uid="{00000000-0005-0000-0000-0000E21A0000}"/>
    <cellStyle name="Currency 7 2 2" xfId="7656" xr:uid="{00000000-0005-0000-0000-0000E31A0000}"/>
    <cellStyle name="Currency 7 2 2 2" xfId="7657" xr:uid="{00000000-0005-0000-0000-0000E41A0000}"/>
    <cellStyle name="Currency 7 2 3" xfId="7658" xr:uid="{00000000-0005-0000-0000-0000E51A0000}"/>
    <cellStyle name="Currency 7 2 4" xfId="7659" xr:uid="{00000000-0005-0000-0000-0000E61A0000}"/>
    <cellStyle name="Currency 7 3" xfId="7660" xr:uid="{00000000-0005-0000-0000-0000E71A0000}"/>
    <cellStyle name="Currency 7 3 2" xfId="7661" xr:uid="{00000000-0005-0000-0000-0000E81A0000}"/>
    <cellStyle name="Currency 7 3 3" xfId="7662" xr:uid="{00000000-0005-0000-0000-0000E91A0000}"/>
    <cellStyle name="Currency 7 3 4" xfId="7663" xr:uid="{00000000-0005-0000-0000-0000EA1A0000}"/>
    <cellStyle name="Currency 7 4" xfId="7664" xr:uid="{00000000-0005-0000-0000-0000EB1A0000}"/>
    <cellStyle name="Currency 7 4 2" xfId="7665" xr:uid="{00000000-0005-0000-0000-0000EC1A0000}"/>
    <cellStyle name="Currency 7 5" xfId="7666" xr:uid="{00000000-0005-0000-0000-0000ED1A0000}"/>
    <cellStyle name="Currency 7 6" xfId="7667" xr:uid="{00000000-0005-0000-0000-0000EE1A0000}"/>
    <cellStyle name="Currency 7 7" xfId="7668" xr:uid="{00000000-0005-0000-0000-0000EF1A0000}"/>
    <cellStyle name="Currency 7 8" xfId="7669" xr:uid="{00000000-0005-0000-0000-0000F01A0000}"/>
    <cellStyle name="Currency 70" xfId="7670" xr:uid="{00000000-0005-0000-0000-0000F11A0000}"/>
    <cellStyle name="Currency 71" xfId="7671" xr:uid="{00000000-0005-0000-0000-0000F21A0000}"/>
    <cellStyle name="Currency 72" xfId="7672" xr:uid="{00000000-0005-0000-0000-0000F31A0000}"/>
    <cellStyle name="Currency 73" xfId="7673" xr:uid="{00000000-0005-0000-0000-0000F41A0000}"/>
    <cellStyle name="Currency 74" xfId="7674" xr:uid="{00000000-0005-0000-0000-0000F51A0000}"/>
    <cellStyle name="Currency 75" xfId="7675" xr:uid="{00000000-0005-0000-0000-0000F61A0000}"/>
    <cellStyle name="Currency 76" xfId="7676" xr:uid="{00000000-0005-0000-0000-0000F71A0000}"/>
    <cellStyle name="Currency 77" xfId="7677" xr:uid="{00000000-0005-0000-0000-0000F81A0000}"/>
    <cellStyle name="Currency 78" xfId="7678" xr:uid="{00000000-0005-0000-0000-0000F91A0000}"/>
    <cellStyle name="Currency 79" xfId="7679" xr:uid="{00000000-0005-0000-0000-0000FA1A0000}"/>
    <cellStyle name="Currency 8" xfId="7680" xr:uid="{00000000-0005-0000-0000-0000FB1A0000}"/>
    <cellStyle name="Currency 8 2" xfId="7681" xr:uid="{00000000-0005-0000-0000-0000FC1A0000}"/>
    <cellStyle name="Currency 8 2 2" xfId="7682" xr:uid="{00000000-0005-0000-0000-0000FD1A0000}"/>
    <cellStyle name="Currency 8 2 3" xfId="7683" xr:uid="{00000000-0005-0000-0000-0000FE1A0000}"/>
    <cellStyle name="Currency 8 2 3 2" xfId="7684" xr:uid="{00000000-0005-0000-0000-0000FF1A0000}"/>
    <cellStyle name="Currency 8 2 4" xfId="7685" xr:uid="{00000000-0005-0000-0000-0000001B0000}"/>
    <cellStyle name="Currency 8 2 5" xfId="7686" xr:uid="{00000000-0005-0000-0000-0000011B0000}"/>
    <cellStyle name="Currency 8 3" xfId="7687" xr:uid="{00000000-0005-0000-0000-0000021B0000}"/>
    <cellStyle name="Currency 8 3 2" xfId="7688" xr:uid="{00000000-0005-0000-0000-0000031B0000}"/>
    <cellStyle name="Currency 8 3 3" xfId="7689" xr:uid="{00000000-0005-0000-0000-0000041B0000}"/>
    <cellStyle name="Currency 8 4" xfId="7690" xr:uid="{00000000-0005-0000-0000-0000051B0000}"/>
    <cellStyle name="Currency 8 5" xfId="7691" xr:uid="{00000000-0005-0000-0000-0000061B0000}"/>
    <cellStyle name="Currency 8 6" xfId="7692" xr:uid="{00000000-0005-0000-0000-0000071B0000}"/>
    <cellStyle name="Currency 8 7" xfId="7693" xr:uid="{00000000-0005-0000-0000-0000081B0000}"/>
    <cellStyle name="Currency 80" xfId="7694" xr:uid="{00000000-0005-0000-0000-0000091B0000}"/>
    <cellStyle name="Currency 81" xfId="7695" xr:uid="{00000000-0005-0000-0000-00000A1B0000}"/>
    <cellStyle name="Currency 82" xfId="7696" xr:uid="{00000000-0005-0000-0000-00000B1B0000}"/>
    <cellStyle name="Currency 83" xfId="7697" xr:uid="{00000000-0005-0000-0000-00000C1B0000}"/>
    <cellStyle name="Currency 84" xfId="7698" xr:uid="{00000000-0005-0000-0000-00000D1B0000}"/>
    <cellStyle name="Currency 85" xfId="7699" xr:uid="{00000000-0005-0000-0000-00000E1B0000}"/>
    <cellStyle name="Currency 86" xfId="7700" xr:uid="{00000000-0005-0000-0000-00000F1B0000}"/>
    <cellStyle name="Currency 87" xfId="7701" xr:uid="{00000000-0005-0000-0000-0000101B0000}"/>
    <cellStyle name="Currency 88" xfId="7702" xr:uid="{00000000-0005-0000-0000-0000111B0000}"/>
    <cellStyle name="Currency 89" xfId="7703" xr:uid="{00000000-0005-0000-0000-0000121B0000}"/>
    <cellStyle name="Currency 9" xfId="7704" xr:uid="{00000000-0005-0000-0000-0000131B0000}"/>
    <cellStyle name="Currency 9 2" xfId="7705" xr:uid="{00000000-0005-0000-0000-0000141B0000}"/>
    <cellStyle name="Currency 9 2 2" xfId="7706" xr:uid="{00000000-0005-0000-0000-0000151B0000}"/>
    <cellStyle name="Currency 9 2 3" xfId="7707" xr:uid="{00000000-0005-0000-0000-0000161B0000}"/>
    <cellStyle name="Currency 9 3" xfId="7708" xr:uid="{00000000-0005-0000-0000-0000171B0000}"/>
    <cellStyle name="Currency 9 3 2" xfId="7709" xr:uid="{00000000-0005-0000-0000-0000181B0000}"/>
    <cellStyle name="Currency 9 4" xfId="7710" xr:uid="{00000000-0005-0000-0000-0000191B0000}"/>
    <cellStyle name="Currency 9 5" xfId="7711" xr:uid="{00000000-0005-0000-0000-00001A1B0000}"/>
    <cellStyle name="Currency 9 6" xfId="7712" xr:uid="{00000000-0005-0000-0000-00001B1B0000}"/>
    <cellStyle name="Currency 90" xfId="7713" xr:uid="{00000000-0005-0000-0000-00001C1B0000}"/>
    <cellStyle name="Currency 91" xfId="7714" xr:uid="{00000000-0005-0000-0000-00001D1B0000}"/>
    <cellStyle name="Currency 92" xfId="7715" xr:uid="{00000000-0005-0000-0000-00001E1B0000}"/>
    <cellStyle name="Currency 93" xfId="7716" xr:uid="{00000000-0005-0000-0000-00001F1B0000}"/>
    <cellStyle name="Currency 94" xfId="7717" xr:uid="{00000000-0005-0000-0000-0000201B0000}"/>
    <cellStyle name="Currency 95" xfId="7718" xr:uid="{00000000-0005-0000-0000-0000211B0000}"/>
    <cellStyle name="Currency 96" xfId="7719" xr:uid="{00000000-0005-0000-0000-0000221B0000}"/>
    <cellStyle name="Currency 97" xfId="7720" xr:uid="{00000000-0005-0000-0000-0000231B0000}"/>
    <cellStyle name="Currency 98" xfId="7721" xr:uid="{00000000-0005-0000-0000-0000241B0000}"/>
    <cellStyle name="Currency 99" xfId="7722" xr:uid="{00000000-0005-0000-0000-0000251B0000}"/>
    <cellStyle name="Currency0" xfId="9" xr:uid="{00000000-0005-0000-0000-0000261B0000}"/>
    <cellStyle name="Currency0 2" xfId="7723" xr:uid="{00000000-0005-0000-0000-0000271B0000}"/>
    <cellStyle name="Currency0 2 2" xfId="7724" xr:uid="{00000000-0005-0000-0000-0000281B0000}"/>
    <cellStyle name="Currency0 2 3" xfId="7725" xr:uid="{00000000-0005-0000-0000-0000291B0000}"/>
    <cellStyle name="Currency0 3" xfId="7726" xr:uid="{00000000-0005-0000-0000-00002A1B0000}"/>
    <cellStyle name="Currency0 3 2" xfId="7727" xr:uid="{00000000-0005-0000-0000-00002B1B0000}"/>
    <cellStyle name="Currency0 3 3" xfId="7728" xr:uid="{00000000-0005-0000-0000-00002C1B0000}"/>
    <cellStyle name="Custom - Style1" xfId="7729" xr:uid="{00000000-0005-0000-0000-00002D1B0000}"/>
    <cellStyle name="Data   - Style2" xfId="7730" xr:uid="{00000000-0005-0000-0000-00002E1B0000}"/>
    <cellStyle name="Date" xfId="10" xr:uid="{00000000-0005-0000-0000-00002F1B0000}"/>
    <cellStyle name="Date 2" xfId="7731" xr:uid="{00000000-0005-0000-0000-0000301B0000}"/>
    <cellStyle name="Date 2 2" xfId="7732" xr:uid="{00000000-0005-0000-0000-0000311B0000}"/>
    <cellStyle name="Date 2 3" xfId="7733" xr:uid="{00000000-0005-0000-0000-0000321B0000}"/>
    <cellStyle name="Date 3" xfId="7734" xr:uid="{00000000-0005-0000-0000-0000331B0000}"/>
    <cellStyle name="Date 3 2" xfId="7735" xr:uid="{00000000-0005-0000-0000-0000341B0000}"/>
    <cellStyle name="Date 3 3" xfId="7736" xr:uid="{00000000-0005-0000-0000-0000351B0000}"/>
    <cellStyle name="Date 4" xfId="1417" xr:uid="{00000000-0005-0000-0000-0000361B0000}"/>
    <cellStyle name="Eingabe" xfId="7737" xr:uid="{00000000-0005-0000-0000-0000371B0000}"/>
    <cellStyle name="Eingabe 2" xfId="7738" xr:uid="{00000000-0005-0000-0000-0000381B0000}"/>
    <cellStyle name="Euro" xfId="11" xr:uid="{00000000-0005-0000-0000-0000391B0000}"/>
    <cellStyle name="Euro 2" xfId="7740" xr:uid="{00000000-0005-0000-0000-00003A1B0000}"/>
    <cellStyle name="Euro 2 2" xfId="7741" xr:uid="{00000000-0005-0000-0000-00003B1B0000}"/>
    <cellStyle name="Euro 2 2 2" xfId="7742" xr:uid="{00000000-0005-0000-0000-00003C1B0000}"/>
    <cellStyle name="Euro 2 3" xfId="7743" xr:uid="{00000000-0005-0000-0000-00003D1B0000}"/>
    <cellStyle name="Euro 3" xfId="7744" xr:uid="{00000000-0005-0000-0000-00003E1B0000}"/>
    <cellStyle name="Euro 3 2" xfId="7745" xr:uid="{00000000-0005-0000-0000-00003F1B0000}"/>
    <cellStyle name="Euro 3 3" xfId="7746" xr:uid="{00000000-0005-0000-0000-0000401B0000}"/>
    <cellStyle name="Euro 4" xfId="7739" xr:uid="{00000000-0005-0000-0000-0000411B0000}"/>
    <cellStyle name="Explanatory Text" xfId="15175" builtinId="53" customBuiltin="1"/>
    <cellStyle name="Explanatory Text 10" xfId="1418" xr:uid="{00000000-0005-0000-0000-0000431B0000}"/>
    <cellStyle name="Explanatory Text 11" xfId="1419" xr:uid="{00000000-0005-0000-0000-0000441B0000}"/>
    <cellStyle name="Explanatory Text 12" xfId="1420" xr:uid="{00000000-0005-0000-0000-0000451B0000}"/>
    <cellStyle name="Explanatory Text 13" xfId="1421" xr:uid="{00000000-0005-0000-0000-0000461B0000}"/>
    <cellStyle name="Explanatory Text 14" xfId="1422" xr:uid="{00000000-0005-0000-0000-0000471B0000}"/>
    <cellStyle name="Explanatory Text 15" xfId="1423" xr:uid="{00000000-0005-0000-0000-0000481B0000}"/>
    <cellStyle name="Explanatory Text 16" xfId="1424" xr:uid="{00000000-0005-0000-0000-0000491B0000}"/>
    <cellStyle name="Explanatory Text 17" xfId="1425" xr:uid="{00000000-0005-0000-0000-00004A1B0000}"/>
    <cellStyle name="Explanatory Text 18" xfId="1426" xr:uid="{00000000-0005-0000-0000-00004B1B0000}"/>
    <cellStyle name="Explanatory Text 19" xfId="1427" xr:uid="{00000000-0005-0000-0000-00004C1B0000}"/>
    <cellStyle name="Explanatory Text 2" xfId="1428" xr:uid="{00000000-0005-0000-0000-00004D1B0000}"/>
    <cellStyle name="Explanatory Text 2 2" xfId="1429" xr:uid="{00000000-0005-0000-0000-00004E1B0000}"/>
    <cellStyle name="Explanatory Text 2 2 2" xfId="1430" xr:uid="{00000000-0005-0000-0000-00004F1B0000}"/>
    <cellStyle name="Explanatory Text 2 2 2 2" xfId="1431" xr:uid="{00000000-0005-0000-0000-0000501B0000}"/>
    <cellStyle name="Explanatory Text 2 2 2 3" xfId="1432" xr:uid="{00000000-0005-0000-0000-0000511B0000}"/>
    <cellStyle name="Explanatory Text 2 2 2 4" xfId="1433" xr:uid="{00000000-0005-0000-0000-0000521B0000}"/>
    <cellStyle name="Explanatory Text 2 2 2 5" xfId="1434" xr:uid="{00000000-0005-0000-0000-0000531B0000}"/>
    <cellStyle name="Explanatory Text 2 2 3" xfId="1435" xr:uid="{00000000-0005-0000-0000-0000541B0000}"/>
    <cellStyle name="Explanatory Text 2 2 4" xfId="1436" xr:uid="{00000000-0005-0000-0000-0000551B0000}"/>
    <cellStyle name="Explanatory Text 2 2 5" xfId="1437" xr:uid="{00000000-0005-0000-0000-0000561B0000}"/>
    <cellStyle name="Explanatory Text 2 3" xfId="1438" xr:uid="{00000000-0005-0000-0000-0000571B0000}"/>
    <cellStyle name="Explanatory Text 2 4" xfId="1439" xr:uid="{00000000-0005-0000-0000-0000581B0000}"/>
    <cellStyle name="Explanatory Text 2 5" xfId="1440" xr:uid="{00000000-0005-0000-0000-0000591B0000}"/>
    <cellStyle name="Explanatory Text 2 6" xfId="1441" xr:uid="{00000000-0005-0000-0000-00005A1B0000}"/>
    <cellStyle name="Explanatory Text 2 7" xfId="1442" xr:uid="{00000000-0005-0000-0000-00005B1B0000}"/>
    <cellStyle name="Explanatory Text 2 8" xfId="1443" xr:uid="{00000000-0005-0000-0000-00005C1B0000}"/>
    <cellStyle name="Explanatory Text 2 9" xfId="1444" xr:uid="{00000000-0005-0000-0000-00005D1B0000}"/>
    <cellStyle name="Explanatory Text 20" xfId="1445" xr:uid="{00000000-0005-0000-0000-00005E1B0000}"/>
    <cellStyle name="Explanatory Text 21" xfId="1446" xr:uid="{00000000-0005-0000-0000-00005F1B0000}"/>
    <cellStyle name="Explanatory Text 22" xfId="1447" xr:uid="{00000000-0005-0000-0000-0000601B0000}"/>
    <cellStyle name="Explanatory Text 3" xfId="1448" xr:uid="{00000000-0005-0000-0000-0000611B0000}"/>
    <cellStyle name="Explanatory Text 3 2" xfId="7747" xr:uid="{00000000-0005-0000-0000-0000621B0000}"/>
    <cellStyle name="Explanatory Text 4" xfId="1449" xr:uid="{00000000-0005-0000-0000-0000631B0000}"/>
    <cellStyle name="Explanatory Text 5" xfId="1450" xr:uid="{00000000-0005-0000-0000-0000641B0000}"/>
    <cellStyle name="Explanatory Text 6" xfId="1451" xr:uid="{00000000-0005-0000-0000-0000651B0000}"/>
    <cellStyle name="Explanatory Text 7" xfId="1452" xr:uid="{00000000-0005-0000-0000-0000661B0000}"/>
    <cellStyle name="Explanatory Text 8" xfId="1453" xr:uid="{00000000-0005-0000-0000-0000671B0000}"/>
    <cellStyle name="Explanatory Text 9" xfId="1454" xr:uid="{00000000-0005-0000-0000-0000681B0000}"/>
    <cellStyle name="F2" xfId="12" xr:uid="{00000000-0005-0000-0000-0000691B0000}"/>
    <cellStyle name="F2 10" xfId="1455" xr:uid="{00000000-0005-0000-0000-00006A1B0000}"/>
    <cellStyle name="F2 2" xfId="1456" xr:uid="{00000000-0005-0000-0000-00006B1B0000}"/>
    <cellStyle name="F2 2 2" xfId="7748" xr:uid="{00000000-0005-0000-0000-00006C1B0000}"/>
    <cellStyle name="F2 3" xfId="1457" xr:uid="{00000000-0005-0000-0000-00006D1B0000}"/>
    <cellStyle name="F2 3 2" xfId="7749" xr:uid="{00000000-0005-0000-0000-00006E1B0000}"/>
    <cellStyle name="F2 4" xfId="1458" xr:uid="{00000000-0005-0000-0000-00006F1B0000}"/>
    <cellStyle name="F2 5" xfId="1459" xr:uid="{00000000-0005-0000-0000-0000701B0000}"/>
    <cellStyle name="F2 6" xfId="1460" xr:uid="{00000000-0005-0000-0000-0000711B0000}"/>
    <cellStyle name="F2 7" xfId="1461" xr:uid="{00000000-0005-0000-0000-0000721B0000}"/>
    <cellStyle name="F2 8" xfId="7750" xr:uid="{00000000-0005-0000-0000-0000731B0000}"/>
    <cellStyle name="F2 9" xfId="7751" xr:uid="{00000000-0005-0000-0000-0000741B0000}"/>
    <cellStyle name="F2_Regenerated Revenues LGE Gas 2008-04 with Elec Gen-Seelye final version " xfId="7752" xr:uid="{00000000-0005-0000-0000-0000751B0000}"/>
    <cellStyle name="F3" xfId="13" xr:uid="{00000000-0005-0000-0000-0000761B0000}"/>
    <cellStyle name="F3 10" xfId="1462" xr:uid="{00000000-0005-0000-0000-0000771B0000}"/>
    <cellStyle name="F3 2" xfId="1463" xr:uid="{00000000-0005-0000-0000-0000781B0000}"/>
    <cellStyle name="F3 2 2" xfId="7753" xr:uid="{00000000-0005-0000-0000-0000791B0000}"/>
    <cellStyle name="F3 3" xfId="1464" xr:uid="{00000000-0005-0000-0000-00007A1B0000}"/>
    <cellStyle name="F3 3 2" xfId="7754" xr:uid="{00000000-0005-0000-0000-00007B1B0000}"/>
    <cellStyle name="F3 4" xfId="1465" xr:uid="{00000000-0005-0000-0000-00007C1B0000}"/>
    <cellStyle name="F3 5" xfId="1466" xr:uid="{00000000-0005-0000-0000-00007D1B0000}"/>
    <cellStyle name="F3 6" xfId="1467" xr:uid="{00000000-0005-0000-0000-00007E1B0000}"/>
    <cellStyle name="F3 7" xfId="1468" xr:uid="{00000000-0005-0000-0000-00007F1B0000}"/>
    <cellStyle name="F3 8" xfId="7755" xr:uid="{00000000-0005-0000-0000-0000801B0000}"/>
    <cellStyle name="F3 9" xfId="7756" xr:uid="{00000000-0005-0000-0000-0000811B0000}"/>
    <cellStyle name="F3_Regenerated Revenues LGE Gas 2008-04 with Elec Gen-Seelye final version " xfId="7757" xr:uid="{00000000-0005-0000-0000-0000821B0000}"/>
    <cellStyle name="F4" xfId="14" xr:uid="{00000000-0005-0000-0000-0000831B0000}"/>
    <cellStyle name="F4 10" xfId="1469" xr:uid="{00000000-0005-0000-0000-0000841B0000}"/>
    <cellStyle name="F4 2" xfId="1470" xr:uid="{00000000-0005-0000-0000-0000851B0000}"/>
    <cellStyle name="F4 2 2" xfId="7758" xr:uid="{00000000-0005-0000-0000-0000861B0000}"/>
    <cellStyle name="F4 3" xfId="1471" xr:uid="{00000000-0005-0000-0000-0000871B0000}"/>
    <cellStyle name="F4 3 2" xfId="7759" xr:uid="{00000000-0005-0000-0000-0000881B0000}"/>
    <cellStyle name="F4 4" xfId="1472" xr:uid="{00000000-0005-0000-0000-0000891B0000}"/>
    <cellStyle name="F4 5" xfId="1473" xr:uid="{00000000-0005-0000-0000-00008A1B0000}"/>
    <cellStyle name="F4 6" xfId="1474" xr:uid="{00000000-0005-0000-0000-00008B1B0000}"/>
    <cellStyle name="F4 7" xfId="1475" xr:uid="{00000000-0005-0000-0000-00008C1B0000}"/>
    <cellStyle name="F4 8" xfId="7760" xr:uid="{00000000-0005-0000-0000-00008D1B0000}"/>
    <cellStyle name="F4 9" xfId="7761" xr:uid="{00000000-0005-0000-0000-00008E1B0000}"/>
    <cellStyle name="F4_Regenerated Revenues LGE Gas 2008-04 with Elec Gen-Seelye final version " xfId="7762" xr:uid="{00000000-0005-0000-0000-00008F1B0000}"/>
    <cellStyle name="F5" xfId="15" xr:uid="{00000000-0005-0000-0000-0000901B0000}"/>
    <cellStyle name="F5 10" xfId="1476" xr:uid="{00000000-0005-0000-0000-0000911B0000}"/>
    <cellStyle name="F5 2" xfId="1477" xr:uid="{00000000-0005-0000-0000-0000921B0000}"/>
    <cellStyle name="F5 2 2" xfId="7763" xr:uid="{00000000-0005-0000-0000-0000931B0000}"/>
    <cellStyle name="F5 3" xfId="1478" xr:uid="{00000000-0005-0000-0000-0000941B0000}"/>
    <cellStyle name="F5 3 2" xfId="7764" xr:uid="{00000000-0005-0000-0000-0000951B0000}"/>
    <cellStyle name="F5 4" xfId="1479" xr:uid="{00000000-0005-0000-0000-0000961B0000}"/>
    <cellStyle name="F5 5" xfId="1480" xr:uid="{00000000-0005-0000-0000-0000971B0000}"/>
    <cellStyle name="F5 6" xfId="1481" xr:uid="{00000000-0005-0000-0000-0000981B0000}"/>
    <cellStyle name="F5 7" xfId="1482" xr:uid="{00000000-0005-0000-0000-0000991B0000}"/>
    <cellStyle name="F5 8" xfId="7765" xr:uid="{00000000-0005-0000-0000-00009A1B0000}"/>
    <cellStyle name="F5 9" xfId="7766" xr:uid="{00000000-0005-0000-0000-00009B1B0000}"/>
    <cellStyle name="F5_Regenerated Revenues LGE Gas 2008-04 with Elec Gen-Seelye final version " xfId="7767" xr:uid="{00000000-0005-0000-0000-00009C1B0000}"/>
    <cellStyle name="F6" xfId="16" xr:uid="{00000000-0005-0000-0000-00009D1B0000}"/>
    <cellStyle name="F6 10" xfId="7768" xr:uid="{00000000-0005-0000-0000-00009E1B0000}"/>
    <cellStyle name="F6 10 2" xfId="7769" xr:uid="{00000000-0005-0000-0000-00009F1B0000}"/>
    <cellStyle name="F6 11" xfId="7770" xr:uid="{00000000-0005-0000-0000-0000A01B0000}"/>
    <cellStyle name="F6 12" xfId="1483" xr:uid="{00000000-0005-0000-0000-0000A11B0000}"/>
    <cellStyle name="F6 2" xfId="1484" xr:uid="{00000000-0005-0000-0000-0000A21B0000}"/>
    <cellStyle name="F6 2 2" xfId="7771" xr:uid="{00000000-0005-0000-0000-0000A31B0000}"/>
    <cellStyle name="F6 2 2 2" xfId="7772" xr:uid="{00000000-0005-0000-0000-0000A41B0000}"/>
    <cellStyle name="F6 3" xfId="1485" xr:uid="{00000000-0005-0000-0000-0000A51B0000}"/>
    <cellStyle name="F6 3 2" xfId="7773" xr:uid="{00000000-0005-0000-0000-0000A61B0000}"/>
    <cellStyle name="F6 4" xfId="1486" xr:uid="{00000000-0005-0000-0000-0000A71B0000}"/>
    <cellStyle name="F6 5" xfId="1487" xr:uid="{00000000-0005-0000-0000-0000A81B0000}"/>
    <cellStyle name="F6 6" xfId="1488" xr:uid="{00000000-0005-0000-0000-0000A91B0000}"/>
    <cellStyle name="F6 7" xfId="1489" xr:uid="{00000000-0005-0000-0000-0000AA1B0000}"/>
    <cellStyle name="F6 8" xfId="7774" xr:uid="{00000000-0005-0000-0000-0000AB1B0000}"/>
    <cellStyle name="F6 9" xfId="7775" xr:uid="{00000000-0005-0000-0000-0000AC1B0000}"/>
    <cellStyle name="F6_Regenerated Revenues LGE Gas 2008-04 with Elec Gen-Seelye final version " xfId="7776" xr:uid="{00000000-0005-0000-0000-0000AD1B0000}"/>
    <cellStyle name="F7" xfId="17" xr:uid="{00000000-0005-0000-0000-0000AE1B0000}"/>
    <cellStyle name="F7 10" xfId="1490" xr:uid="{00000000-0005-0000-0000-0000AF1B0000}"/>
    <cellStyle name="F7 2" xfId="1491" xr:uid="{00000000-0005-0000-0000-0000B01B0000}"/>
    <cellStyle name="F7 2 2" xfId="7777" xr:uid="{00000000-0005-0000-0000-0000B11B0000}"/>
    <cellStyle name="F7 3" xfId="1492" xr:uid="{00000000-0005-0000-0000-0000B21B0000}"/>
    <cellStyle name="F7 3 2" xfId="7778" xr:uid="{00000000-0005-0000-0000-0000B31B0000}"/>
    <cellStyle name="F7 4" xfId="1493" xr:uid="{00000000-0005-0000-0000-0000B41B0000}"/>
    <cellStyle name="F7 5" xfId="1494" xr:uid="{00000000-0005-0000-0000-0000B51B0000}"/>
    <cellStyle name="F7 6" xfId="1495" xr:uid="{00000000-0005-0000-0000-0000B61B0000}"/>
    <cellStyle name="F7 7" xfId="1496" xr:uid="{00000000-0005-0000-0000-0000B71B0000}"/>
    <cellStyle name="F7 8" xfId="7779" xr:uid="{00000000-0005-0000-0000-0000B81B0000}"/>
    <cellStyle name="F7 9" xfId="7780" xr:uid="{00000000-0005-0000-0000-0000B91B0000}"/>
    <cellStyle name="F7_Regenerated Revenues LGE Gas 2008-04 with Elec Gen-Seelye final version " xfId="7781" xr:uid="{00000000-0005-0000-0000-0000BA1B0000}"/>
    <cellStyle name="F8" xfId="18" xr:uid="{00000000-0005-0000-0000-0000BB1B0000}"/>
    <cellStyle name="F8 10" xfId="1497" xr:uid="{00000000-0005-0000-0000-0000BC1B0000}"/>
    <cellStyle name="F8 2" xfId="1498" xr:uid="{00000000-0005-0000-0000-0000BD1B0000}"/>
    <cellStyle name="F8 2 2" xfId="7782" xr:uid="{00000000-0005-0000-0000-0000BE1B0000}"/>
    <cellStyle name="F8 3" xfId="1499" xr:uid="{00000000-0005-0000-0000-0000BF1B0000}"/>
    <cellStyle name="F8 3 2" xfId="7783" xr:uid="{00000000-0005-0000-0000-0000C01B0000}"/>
    <cellStyle name="F8 4" xfId="1500" xr:uid="{00000000-0005-0000-0000-0000C11B0000}"/>
    <cellStyle name="F8 5" xfId="1501" xr:uid="{00000000-0005-0000-0000-0000C21B0000}"/>
    <cellStyle name="F8 6" xfId="1502" xr:uid="{00000000-0005-0000-0000-0000C31B0000}"/>
    <cellStyle name="F8 7" xfId="1503" xr:uid="{00000000-0005-0000-0000-0000C41B0000}"/>
    <cellStyle name="F8 8" xfId="7784" xr:uid="{00000000-0005-0000-0000-0000C51B0000}"/>
    <cellStyle name="F8 9" xfId="7785" xr:uid="{00000000-0005-0000-0000-0000C61B0000}"/>
    <cellStyle name="F8_Regenerated Revenues LGE Gas 2008-04 with Elec Gen-Seelye final version " xfId="7786" xr:uid="{00000000-0005-0000-0000-0000C71B0000}"/>
    <cellStyle name="Fixed" xfId="19" xr:uid="{00000000-0005-0000-0000-0000C81B0000}"/>
    <cellStyle name="Fixed 2" xfId="7787" xr:uid="{00000000-0005-0000-0000-0000C91B0000}"/>
    <cellStyle name="Fixed 2 2" xfId="7788" xr:uid="{00000000-0005-0000-0000-0000CA1B0000}"/>
    <cellStyle name="Fixed 2 3" xfId="7789" xr:uid="{00000000-0005-0000-0000-0000CB1B0000}"/>
    <cellStyle name="Fixed 3" xfId="7790" xr:uid="{00000000-0005-0000-0000-0000CC1B0000}"/>
    <cellStyle name="Fixed 3 2" xfId="7791" xr:uid="{00000000-0005-0000-0000-0000CD1B0000}"/>
    <cellStyle name="Fixed 3 3" xfId="7792" xr:uid="{00000000-0005-0000-0000-0000CE1B0000}"/>
    <cellStyle name="Good" xfId="15167" builtinId="26" customBuiltin="1"/>
    <cellStyle name="Good 10" xfId="1504" xr:uid="{00000000-0005-0000-0000-0000D01B0000}"/>
    <cellStyle name="Good 11" xfId="1505" xr:uid="{00000000-0005-0000-0000-0000D11B0000}"/>
    <cellStyle name="Good 12" xfId="1506" xr:uid="{00000000-0005-0000-0000-0000D21B0000}"/>
    <cellStyle name="Good 13" xfId="1507" xr:uid="{00000000-0005-0000-0000-0000D31B0000}"/>
    <cellStyle name="Good 14" xfId="1508" xr:uid="{00000000-0005-0000-0000-0000D41B0000}"/>
    <cellStyle name="Good 15" xfId="1509" xr:uid="{00000000-0005-0000-0000-0000D51B0000}"/>
    <cellStyle name="Good 16" xfId="1510" xr:uid="{00000000-0005-0000-0000-0000D61B0000}"/>
    <cellStyle name="Good 17" xfId="1511" xr:uid="{00000000-0005-0000-0000-0000D71B0000}"/>
    <cellStyle name="Good 17 2" xfId="7793" xr:uid="{00000000-0005-0000-0000-0000D81B0000}"/>
    <cellStyle name="Good 18" xfId="1512" xr:uid="{00000000-0005-0000-0000-0000D91B0000}"/>
    <cellStyle name="Good 19" xfId="1513" xr:uid="{00000000-0005-0000-0000-0000DA1B0000}"/>
    <cellStyle name="Good 2" xfId="1514" xr:uid="{00000000-0005-0000-0000-0000DB1B0000}"/>
    <cellStyle name="Good 2 2" xfId="1515" xr:uid="{00000000-0005-0000-0000-0000DC1B0000}"/>
    <cellStyle name="Good 2 2 2" xfId="1516" xr:uid="{00000000-0005-0000-0000-0000DD1B0000}"/>
    <cellStyle name="Good 2 2 2 2" xfId="1517" xr:uid="{00000000-0005-0000-0000-0000DE1B0000}"/>
    <cellStyle name="Good 2 2 2 3" xfId="1518" xr:uid="{00000000-0005-0000-0000-0000DF1B0000}"/>
    <cellStyle name="Good 2 2 2 4" xfId="1519" xr:uid="{00000000-0005-0000-0000-0000E01B0000}"/>
    <cellStyle name="Good 2 2 2 5" xfId="1520" xr:uid="{00000000-0005-0000-0000-0000E11B0000}"/>
    <cellStyle name="Good 2 2 3" xfId="1521" xr:uid="{00000000-0005-0000-0000-0000E21B0000}"/>
    <cellStyle name="Good 2 2 4" xfId="1522" xr:uid="{00000000-0005-0000-0000-0000E31B0000}"/>
    <cellStyle name="Good 2 2 5" xfId="1523" xr:uid="{00000000-0005-0000-0000-0000E41B0000}"/>
    <cellStyle name="Good 2 3" xfId="1524" xr:uid="{00000000-0005-0000-0000-0000E51B0000}"/>
    <cellStyle name="Good 2 4" xfId="1525" xr:uid="{00000000-0005-0000-0000-0000E61B0000}"/>
    <cellStyle name="Good 2 5" xfId="1526" xr:uid="{00000000-0005-0000-0000-0000E71B0000}"/>
    <cellStyle name="Good 2 6" xfId="1527" xr:uid="{00000000-0005-0000-0000-0000E81B0000}"/>
    <cellStyle name="Good 2 7" xfId="1528" xr:uid="{00000000-0005-0000-0000-0000E91B0000}"/>
    <cellStyle name="Good 2 8" xfId="1529" xr:uid="{00000000-0005-0000-0000-0000EA1B0000}"/>
    <cellStyle name="Good 2 9" xfId="1530" xr:uid="{00000000-0005-0000-0000-0000EB1B0000}"/>
    <cellStyle name="Good 20" xfId="1531" xr:uid="{00000000-0005-0000-0000-0000EC1B0000}"/>
    <cellStyle name="Good 21" xfId="1532" xr:uid="{00000000-0005-0000-0000-0000ED1B0000}"/>
    <cellStyle name="Good 22" xfId="1533" xr:uid="{00000000-0005-0000-0000-0000EE1B0000}"/>
    <cellStyle name="Good 3" xfId="1534" xr:uid="{00000000-0005-0000-0000-0000EF1B0000}"/>
    <cellStyle name="Good 3 2" xfId="7794" xr:uid="{00000000-0005-0000-0000-0000F01B0000}"/>
    <cellStyle name="Good 4" xfId="1535" xr:uid="{00000000-0005-0000-0000-0000F11B0000}"/>
    <cellStyle name="Good 5" xfId="1536" xr:uid="{00000000-0005-0000-0000-0000F21B0000}"/>
    <cellStyle name="Good 6" xfId="1537" xr:uid="{00000000-0005-0000-0000-0000F31B0000}"/>
    <cellStyle name="Good 7" xfId="1538" xr:uid="{00000000-0005-0000-0000-0000F41B0000}"/>
    <cellStyle name="Good 8" xfId="1539" xr:uid="{00000000-0005-0000-0000-0000F51B0000}"/>
    <cellStyle name="Good 9" xfId="1540" xr:uid="{00000000-0005-0000-0000-0000F61B0000}"/>
    <cellStyle name="Heading 1" xfId="20" builtinId="16" customBuiltin="1"/>
    <cellStyle name="Heading 1 10" xfId="1541" xr:uid="{00000000-0005-0000-0000-0000F81B0000}"/>
    <cellStyle name="Heading 1 11" xfId="1542" xr:uid="{00000000-0005-0000-0000-0000F91B0000}"/>
    <cellStyle name="Heading 1 12" xfId="1543" xr:uid="{00000000-0005-0000-0000-0000FA1B0000}"/>
    <cellStyle name="Heading 1 13" xfId="1544" xr:uid="{00000000-0005-0000-0000-0000FB1B0000}"/>
    <cellStyle name="Heading 1 14" xfId="1545" xr:uid="{00000000-0005-0000-0000-0000FC1B0000}"/>
    <cellStyle name="Heading 1 15" xfId="1546" xr:uid="{00000000-0005-0000-0000-0000FD1B0000}"/>
    <cellStyle name="Heading 1 16" xfId="1547" xr:uid="{00000000-0005-0000-0000-0000FE1B0000}"/>
    <cellStyle name="Heading 1 17" xfId="1548" xr:uid="{00000000-0005-0000-0000-0000FF1B0000}"/>
    <cellStyle name="Heading 1 17 2" xfId="7795" xr:uid="{00000000-0005-0000-0000-0000001C0000}"/>
    <cellStyle name="Heading 1 17 3" xfId="7796" xr:uid="{00000000-0005-0000-0000-0000011C0000}"/>
    <cellStyle name="Heading 1 17 4" xfId="7797" xr:uid="{00000000-0005-0000-0000-0000021C0000}"/>
    <cellStyle name="Heading 1 18" xfId="1549" xr:uid="{00000000-0005-0000-0000-0000031C0000}"/>
    <cellStyle name="Heading 1 19" xfId="1550" xr:uid="{00000000-0005-0000-0000-0000041C0000}"/>
    <cellStyle name="Heading 1 2" xfId="1551" xr:uid="{00000000-0005-0000-0000-0000051C0000}"/>
    <cellStyle name="Heading 1 2 2" xfId="1552" xr:uid="{00000000-0005-0000-0000-0000061C0000}"/>
    <cellStyle name="Heading 1 2 2 2" xfId="1553" xr:uid="{00000000-0005-0000-0000-0000071C0000}"/>
    <cellStyle name="Heading 1 2 2 2 2" xfId="1554" xr:uid="{00000000-0005-0000-0000-0000081C0000}"/>
    <cellStyle name="Heading 1 2 2 2 3" xfId="1555" xr:uid="{00000000-0005-0000-0000-0000091C0000}"/>
    <cellStyle name="Heading 1 2 2 2 4" xfId="1556" xr:uid="{00000000-0005-0000-0000-00000A1C0000}"/>
    <cellStyle name="Heading 1 2 2 2 5" xfId="1557" xr:uid="{00000000-0005-0000-0000-00000B1C0000}"/>
    <cellStyle name="Heading 1 2 2 3" xfId="1558" xr:uid="{00000000-0005-0000-0000-00000C1C0000}"/>
    <cellStyle name="Heading 1 2 2 4" xfId="1559" xr:uid="{00000000-0005-0000-0000-00000D1C0000}"/>
    <cellStyle name="Heading 1 2 2 5" xfId="1560" xr:uid="{00000000-0005-0000-0000-00000E1C0000}"/>
    <cellStyle name="Heading 1 2 3" xfId="1561" xr:uid="{00000000-0005-0000-0000-00000F1C0000}"/>
    <cellStyle name="Heading 1 2 4" xfId="1562" xr:uid="{00000000-0005-0000-0000-0000101C0000}"/>
    <cellStyle name="Heading 1 2 5" xfId="1563" xr:uid="{00000000-0005-0000-0000-0000111C0000}"/>
    <cellStyle name="Heading 1 2 6" xfId="1564" xr:uid="{00000000-0005-0000-0000-0000121C0000}"/>
    <cellStyle name="Heading 1 2 7" xfId="1565" xr:uid="{00000000-0005-0000-0000-0000131C0000}"/>
    <cellStyle name="Heading 1 2 8" xfId="1566" xr:uid="{00000000-0005-0000-0000-0000141C0000}"/>
    <cellStyle name="Heading 1 2 9" xfId="1567" xr:uid="{00000000-0005-0000-0000-0000151C0000}"/>
    <cellStyle name="Heading 1 20" xfId="1568" xr:uid="{00000000-0005-0000-0000-0000161C0000}"/>
    <cellStyle name="Heading 1 21" xfId="1569" xr:uid="{00000000-0005-0000-0000-0000171C0000}"/>
    <cellStyle name="Heading 1 22" xfId="1570" xr:uid="{00000000-0005-0000-0000-0000181C0000}"/>
    <cellStyle name="Heading 1 23" xfId="1571" xr:uid="{00000000-0005-0000-0000-0000191C0000}"/>
    <cellStyle name="Heading 1 24" xfId="1572" xr:uid="{00000000-0005-0000-0000-00001A1C0000}"/>
    <cellStyle name="Heading 1 3" xfId="1573" xr:uid="{00000000-0005-0000-0000-00001B1C0000}"/>
    <cellStyle name="Heading 1 3 2" xfId="7798" xr:uid="{00000000-0005-0000-0000-00001C1C0000}"/>
    <cellStyle name="Heading 1 3 2 2" xfId="7799" xr:uid="{00000000-0005-0000-0000-00001D1C0000}"/>
    <cellStyle name="Heading 1 4" xfId="1574" xr:uid="{00000000-0005-0000-0000-00001E1C0000}"/>
    <cellStyle name="Heading 1 5" xfId="1575" xr:uid="{00000000-0005-0000-0000-00001F1C0000}"/>
    <cellStyle name="Heading 1 6" xfId="1576" xr:uid="{00000000-0005-0000-0000-0000201C0000}"/>
    <cellStyle name="Heading 1 7" xfId="1577" xr:uid="{00000000-0005-0000-0000-0000211C0000}"/>
    <cellStyle name="Heading 1 8" xfId="1578" xr:uid="{00000000-0005-0000-0000-0000221C0000}"/>
    <cellStyle name="Heading 1 9" xfId="1579" xr:uid="{00000000-0005-0000-0000-0000231C0000}"/>
    <cellStyle name="Heading 2" xfId="21" builtinId="17" customBuiltin="1"/>
    <cellStyle name="Heading 2 10" xfId="1580" xr:uid="{00000000-0005-0000-0000-0000251C0000}"/>
    <cellStyle name="Heading 2 11" xfId="1581" xr:uid="{00000000-0005-0000-0000-0000261C0000}"/>
    <cellStyle name="Heading 2 12" xfId="1582" xr:uid="{00000000-0005-0000-0000-0000271C0000}"/>
    <cellStyle name="Heading 2 13" xfId="1583" xr:uid="{00000000-0005-0000-0000-0000281C0000}"/>
    <cellStyle name="Heading 2 14" xfId="1584" xr:uid="{00000000-0005-0000-0000-0000291C0000}"/>
    <cellStyle name="Heading 2 15" xfId="1585" xr:uid="{00000000-0005-0000-0000-00002A1C0000}"/>
    <cellStyle name="Heading 2 16" xfId="1586" xr:uid="{00000000-0005-0000-0000-00002B1C0000}"/>
    <cellStyle name="Heading 2 17" xfId="1587" xr:uid="{00000000-0005-0000-0000-00002C1C0000}"/>
    <cellStyle name="Heading 2 17 2" xfId="7800" xr:uid="{00000000-0005-0000-0000-00002D1C0000}"/>
    <cellStyle name="Heading 2 17 3" xfId="7801" xr:uid="{00000000-0005-0000-0000-00002E1C0000}"/>
    <cellStyle name="Heading 2 17 4" xfId="7802" xr:uid="{00000000-0005-0000-0000-00002F1C0000}"/>
    <cellStyle name="Heading 2 18" xfId="1588" xr:uid="{00000000-0005-0000-0000-0000301C0000}"/>
    <cellStyle name="Heading 2 19" xfId="1589" xr:uid="{00000000-0005-0000-0000-0000311C0000}"/>
    <cellStyle name="Heading 2 2" xfId="1590" xr:uid="{00000000-0005-0000-0000-0000321C0000}"/>
    <cellStyle name="Heading 2 2 2" xfId="1591" xr:uid="{00000000-0005-0000-0000-0000331C0000}"/>
    <cellStyle name="Heading 2 2 2 2" xfId="1592" xr:uid="{00000000-0005-0000-0000-0000341C0000}"/>
    <cellStyle name="Heading 2 2 2 2 2" xfId="1593" xr:uid="{00000000-0005-0000-0000-0000351C0000}"/>
    <cellStyle name="Heading 2 2 2 2 3" xfId="1594" xr:uid="{00000000-0005-0000-0000-0000361C0000}"/>
    <cellStyle name="Heading 2 2 2 2 4" xfId="1595" xr:uid="{00000000-0005-0000-0000-0000371C0000}"/>
    <cellStyle name="Heading 2 2 2 2 5" xfId="1596" xr:uid="{00000000-0005-0000-0000-0000381C0000}"/>
    <cellStyle name="Heading 2 2 2 3" xfId="1597" xr:uid="{00000000-0005-0000-0000-0000391C0000}"/>
    <cellStyle name="Heading 2 2 2 4" xfId="1598" xr:uid="{00000000-0005-0000-0000-00003A1C0000}"/>
    <cellStyle name="Heading 2 2 2 5" xfId="1599" xr:uid="{00000000-0005-0000-0000-00003B1C0000}"/>
    <cellStyle name="Heading 2 2 3" xfId="1600" xr:uid="{00000000-0005-0000-0000-00003C1C0000}"/>
    <cellStyle name="Heading 2 2 4" xfId="1601" xr:uid="{00000000-0005-0000-0000-00003D1C0000}"/>
    <cellStyle name="Heading 2 2 5" xfId="1602" xr:uid="{00000000-0005-0000-0000-00003E1C0000}"/>
    <cellStyle name="Heading 2 2 6" xfId="1603" xr:uid="{00000000-0005-0000-0000-00003F1C0000}"/>
    <cellStyle name="Heading 2 2 7" xfId="1604" xr:uid="{00000000-0005-0000-0000-0000401C0000}"/>
    <cellStyle name="Heading 2 2 8" xfId="1605" xr:uid="{00000000-0005-0000-0000-0000411C0000}"/>
    <cellStyle name="Heading 2 2 9" xfId="1606" xr:uid="{00000000-0005-0000-0000-0000421C0000}"/>
    <cellStyle name="Heading 2 20" xfId="1607" xr:uid="{00000000-0005-0000-0000-0000431C0000}"/>
    <cellStyle name="Heading 2 21" xfId="1608" xr:uid="{00000000-0005-0000-0000-0000441C0000}"/>
    <cellStyle name="Heading 2 22" xfId="1609" xr:uid="{00000000-0005-0000-0000-0000451C0000}"/>
    <cellStyle name="Heading 2 23" xfId="1610" xr:uid="{00000000-0005-0000-0000-0000461C0000}"/>
    <cellStyle name="Heading 2 24" xfId="1611" xr:uid="{00000000-0005-0000-0000-0000471C0000}"/>
    <cellStyle name="Heading 2 3" xfId="1612" xr:uid="{00000000-0005-0000-0000-0000481C0000}"/>
    <cellStyle name="Heading 2 3 2" xfId="7803" xr:uid="{00000000-0005-0000-0000-0000491C0000}"/>
    <cellStyle name="Heading 2 3 2 2" xfId="7804" xr:uid="{00000000-0005-0000-0000-00004A1C0000}"/>
    <cellStyle name="Heading 2 4" xfId="1613" xr:uid="{00000000-0005-0000-0000-00004B1C0000}"/>
    <cellStyle name="Heading 2 5" xfId="1614" xr:uid="{00000000-0005-0000-0000-00004C1C0000}"/>
    <cellStyle name="Heading 2 6" xfId="1615" xr:uid="{00000000-0005-0000-0000-00004D1C0000}"/>
    <cellStyle name="Heading 2 7" xfId="1616" xr:uid="{00000000-0005-0000-0000-00004E1C0000}"/>
    <cellStyle name="Heading 2 8" xfId="1617" xr:uid="{00000000-0005-0000-0000-00004F1C0000}"/>
    <cellStyle name="Heading 2 9" xfId="1618" xr:uid="{00000000-0005-0000-0000-0000501C0000}"/>
    <cellStyle name="Heading 3" xfId="15165" builtinId="18" customBuiltin="1"/>
    <cellStyle name="Heading 3 10" xfId="1619" xr:uid="{00000000-0005-0000-0000-0000521C0000}"/>
    <cellStyle name="Heading 3 11" xfId="1620" xr:uid="{00000000-0005-0000-0000-0000531C0000}"/>
    <cellStyle name="Heading 3 12" xfId="1621" xr:uid="{00000000-0005-0000-0000-0000541C0000}"/>
    <cellStyle name="Heading 3 13" xfId="1622" xr:uid="{00000000-0005-0000-0000-0000551C0000}"/>
    <cellStyle name="Heading 3 14" xfId="1623" xr:uid="{00000000-0005-0000-0000-0000561C0000}"/>
    <cellStyle name="Heading 3 15" xfId="1624" xr:uid="{00000000-0005-0000-0000-0000571C0000}"/>
    <cellStyle name="Heading 3 16" xfId="1625" xr:uid="{00000000-0005-0000-0000-0000581C0000}"/>
    <cellStyle name="Heading 3 17" xfId="1626" xr:uid="{00000000-0005-0000-0000-0000591C0000}"/>
    <cellStyle name="Heading 3 17 2" xfId="7805" xr:uid="{00000000-0005-0000-0000-00005A1C0000}"/>
    <cellStyle name="Heading 3 18" xfId="1627" xr:uid="{00000000-0005-0000-0000-00005B1C0000}"/>
    <cellStyle name="Heading 3 19" xfId="1628" xr:uid="{00000000-0005-0000-0000-00005C1C0000}"/>
    <cellStyle name="Heading 3 2" xfId="1629" xr:uid="{00000000-0005-0000-0000-00005D1C0000}"/>
    <cellStyle name="Heading 3 2 2" xfId="1630" xr:uid="{00000000-0005-0000-0000-00005E1C0000}"/>
    <cellStyle name="Heading 3 2 2 2" xfId="1631" xr:uid="{00000000-0005-0000-0000-00005F1C0000}"/>
    <cellStyle name="Heading 3 2 2 2 2" xfId="1632" xr:uid="{00000000-0005-0000-0000-0000601C0000}"/>
    <cellStyle name="Heading 3 2 2 2 3" xfId="1633" xr:uid="{00000000-0005-0000-0000-0000611C0000}"/>
    <cellStyle name="Heading 3 2 2 2 4" xfId="1634" xr:uid="{00000000-0005-0000-0000-0000621C0000}"/>
    <cellStyle name="Heading 3 2 2 2 5" xfId="1635" xr:uid="{00000000-0005-0000-0000-0000631C0000}"/>
    <cellStyle name="Heading 3 2 2 3" xfId="1636" xr:uid="{00000000-0005-0000-0000-0000641C0000}"/>
    <cellStyle name="Heading 3 2 2 4" xfId="1637" xr:uid="{00000000-0005-0000-0000-0000651C0000}"/>
    <cellStyle name="Heading 3 2 2 5" xfId="1638" xr:uid="{00000000-0005-0000-0000-0000661C0000}"/>
    <cellStyle name="Heading 3 2 3" xfId="1639" xr:uid="{00000000-0005-0000-0000-0000671C0000}"/>
    <cellStyle name="Heading 3 2 4" xfId="1640" xr:uid="{00000000-0005-0000-0000-0000681C0000}"/>
    <cellStyle name="Heading 3 2 5" xfId="1641" xr:uid="{00000000-0005-0000-0000-0000691C0000}"/>
    <cellStyle name="Heading 3 2 6" xfId="1642" xr:uid="{00000000-0005-0000-0000-00006A1C0000}"/>
    <cellStyle name="Heading 3 2 7" xfId="1643" xr:uid="{00000000-0005-0000-0000-00006B1C0000}"/>
    <cellStyle name="Heading 3 2 8" xfId="1644" xr:uid="{00000000-0005-0000-0000-00006C1C0000}"/>
    <cellStyle name="Heading 3 2 9" xfId="1645" xr:uid="{00000000-0005-0000-0000-00006D1C0000}"/>
    <cellStyle name="Heading 3 20" xfId="1646" xr:uid="{00000000-0005-0000-0000-00006E1C0000}"/>
    <cellStyle name="Heading 3 21" xfId="1647" xr:uid="{00000000-0005-0000-0000-00006F1C0000}"/>
    <cellStyle name="Heading 3 22" xfId="1648" xr:uid="{00000000-0005-0000-0000-0000701C0000}"/>
    <cellStyle name="Heading 3 3" xfId="1649" xr:uid="{00000000-0005-0000-0000-0000711C0000}"/>
    <cellStyle name="Heading 3 3 2" xfId="7806" xr:uid="{00000000-0005-0000-0000-0000721C0000}"/>
    <cellStyle name="Heading 3 4" xfId="1650" xr:uid="{00000000-0005-0000-0000-0000731C0000}"/>
    <cellStyle name="Heading 3 4 2" xfId="7807" xr:uid="{00000000-0005-0000-0000-0000741C0000}"/>
    <cellStyle name="Heading 3 5" xfId="1651" xr:uid="{00000000-0005-0000-0000-0000751C0000}"/>
    <cellStyle name="Heading 3 5 2" xfId="7808" xr:uid="{00000000-0005-0000-0000-0000761C0000}"/>
    <cellStyle name="Heading 3 6" xfId="1652" xr:uid="{00000000-0005-0000-0000-0000771C0000}"/>
    <cellStyle name="Heading 3 7" xfId="1653" xr:uid="{00000000-0005-0000-0000-0000781C0000}"/>
    <cellStyle name="Heading 3 8" xfId="1654" xr:uid="{00000000-0005-0000-0000-0000791C0000}"/>
    <cellStyle name="Heading 3 9" xfId="1655" xr:uid="{00000000-0005-0000-0000-00007A1C0000}"/>
    <cellStyle name="Heading 4" xfId="15166" builtinId="19" customBuiltin="1"/>
    <cellStyle name="Heading 4 10" xfId="1656" xr:uid="{00000000-0005-0000-0000-00007C1C0000}"/>
    <cellStyle name="Heading 4 11" xfId="1657" xr:uid="{00000000-0005-0000-0000-00007D1C0000}"/>
    <cellStyle name="Heading 4 12" xfId="1658" xr:uid="{00000000-0005-0000-0000-00007E1C0000}"/>
    <cellStyle name="Heading 4 13" xfId="1659" xr:uid="{00000000-0005-0000-0000-00007F1C0000}"/>
    <cellStyle name="Heading 4 14" xfId="1660" xr:uid="{00000000-0005-0000-0000-0000801C0000}"/>
    <cellStyle name="Heading 4 15" xfId="1661" xr:uid="{00000000-0005-0000-0000-0000811C0000}"/>
    <cellStyle name="Heading 4 16" xfId="1662" xr:uid="{00000000-0005-0000-0000-0000821C0000}"/>
    <cellStyle name="Heading 4 17" xfId="1663" xr:uid="{00000000-0005-0000-0000-0000831C0000}"/>
    <cellStyle name="Heading 4 17 2" xfId="7809" xr:uid="{00000000-0005-0000-0000-0000841C0000}"/>
    <cellStyle name="Heading 4 18" xfId="1664" xr:uid="{00000000-0005-0000-0000-0000851C0000}"/>
    <cellStyle name="Heading 4 19" xfId="1665" xr:uid="{00000000-0005-0000-0000-0000861C0000}"/>
    <cellStyle name="Heading 4 2" xfId="1666" xr:uid="{00000000-0005-0000-0000-0000871C0000}"/>
    <cellStyle name="Heading 4 2 2" xfId="1667" xr:uid="{00000000-0005-0000-0000-0000881C0000}"/>
    <cellStyle name="Heading 4 2 2 2" xfId="1668" xr:uid="{00000000-0005-0000-0000-0000891C0000}"/>
    <cellStyle name="Heading 4 2 2 2 2" xfId="1669" xr:uid="{00000000-0005-0000-0000-00008A1C0000}"/>
    <cellStyle name="Heading 4 2 2 2 3" xfId="1670" xr:uid="{00000000-0005-0000-0000-00008B1C0000}"/>
    <cellStyle name="Heading 4 2 2 2 4" xfId="1671" xr:uid="{00000000-0005-0000-0000-00008C1C0000}"/>
    <cellStyle name="Heading 4 2 2 2 5" xfId="1672" xr:uid="{00000000-0005-0000-0000-00008D1C0000}"/>
    <cellStyle name="Heading 4 2 2 3" xfId="1673" xr:uid="{00000000-0005-0000-0000-00008E1C0000}"/>
    <cellStyle name="Heading 4 2 2 4" xfId="1674" xr:uid="{00000000-0005-0000-0000-00008F1C0000}"/>
    <cellStyle name="Heading 4 2 2 5" xfId="1675" xr:uid="{00000000-0005-0000-0000-0000901C0000}"/>
    <cellStyle name="Heading 4 2 3" xfId="1676" xr:uid="{00000000-0005-0000-0000-0000911C0000}"/>
    <cellStyle name="Heading 4 2 4" xfId="1677" xr:uid="{00000000-0005-0000-0000-0000921C0000}"/>
    <cellStyle name="Heading 4 2 5" xfId="1678" xr:uid="{00000000-0005-0000-0000-0000931C0000}"/>
    <cellStyle name="Heading 4 2 6" xfId="1679" xr:uid="{00000000-0005-0000-0000-0000941C0000}"/>
    <cellStyle name="Heading 4 2 7" xfId="1680" xr:uid="{00000000-0005-0000-0000-0000951C0000}"/>
    <cellStyle name="Heading 4 2 8" xfId="1681" xr:uid="{00000000-0005-0000-0000-0000961C0000}"/>
    <cellStyle name="Heading 4 2 9" xfId="1682" xr:uid="{00000000-0005-0000-0000-0000971C0000}"/>
    <cellStyle name="Heading 4 20" xfId="1683" xr:uid="{00000000-0005-0000-0000-0000981C0000}"/>
    <cellStyle name="Heading 4 21" xfId="1684" xr:uid="{00000000-0005-0000-0000-0000991C0000}"/>
    <cellStyle name="Heading 4 22" xfId="1685" xr:uid="{00000000-0005-0000-0000-00009A1C0000}"/>
    <cellStyle name="Heading 4 3" xfId="1686" xr:uid="{00000000-0005-0000-0000-00009B1C0000}"/>
    <cellStyle name="Heading 4 3 2" xfId="7810" xr:uid="{00000000-0005-0000-0000-00009C1C0000}"/>
    <cellStyle name="Heading 4 4" xfId="1687" xr:uid="{00000000-0005-0000-0000-00009D1C0000}"/>
    <cellStyle name="Heading 4 5" xfId="1688" xr:uid="{00000000-0005-0000-0000-00009E1C0000}"/>
    <cellStyle name="Heading 4 6" xfId="1689" xr:uid="{00000000-0005-0000-0000-00009F1C0000}"/>
    <cellStyle name="Heading 4 7" xfId="1690" xr:uid="{00000000-0005-0000-0000-0000A01C0000}"/>
    <cellStyle name="Heading 4 8" xfId="1691" xr:uid="{00000000-0005-0000-0000-0000A11C0000}"/>
    <cellStyle name="Heading 4 9" xfId="1692" xr:uid="{00000000-0005-0000-0000-0000A21C0000}"/>
    <cellStyle name="Hyperlink 2" xfId="7811" xr:uid="{00000000-0005-0000-0000-0000A31C0000}"/>
    <cellStyle name="Input" xfId="15169" builtinId="20" customBuiltin="1"/>
    <cellStyle name="Input 10" xfId="1693" xr:uid="{00000000-0005-0000-0000-0000A51C0000}"/>
    <cellStyle name="Input 10 10" xfId="7812" xr:uid="{00000000-0005-0000-0000-0000A61C0000}"/>
    <cellStyle name="Input 10 11" xfId="7813" xr:uid="{00000000-0005-0000-0000-0000A71C0000}"/>
    <cellStyle name="Input 10 12" xfId="7814" xr:uid="{00000000-0005-0000-0000-0000A81C0000}"/>
    <cellStyle name="Input 10 2" xfId="7815" xr:uid="{00000000-0005-0000-0000-0000A91C0000}"/>
    <cellStyle name="Input 10 2 2" xfId="7816" xr:uid="{00000000-0005-0000-0000-0000AA1C0000}"/>
    <cellStyle name="Input 10 2 2 2" xfId="7817" xr:uid="{00000000-0005-0000-0000-0000AB1C0000}"/>
    <cellStyle name="Input 10 2 3" xfId="7818" xr:uid="{00000000-0005-0000-0000-0000AC1C0000}"/>
    <cellStyle name="Input 10 2 3 2" xfId="7819" xr:uid="{00000000-0005-0000-0000-0000AD1C0000}"/>
    <cellStyle name="Input 10 2 4" xfId="7820" xr:uid="{00000000-0005-0000-0000-0000AE1C0000}"/>
    <cellStyle name="Input 10 2 4 2" xfId="7821" xr:uid="{00000000-0005-0000-0000-0000AF1C0000}"/>
    <cellStyle name="Input 10 2 5" xfId="7822" xr:uid="{00000000-0005-0000-0000-0000B01C0000}"/>
    <cellStyle name="Input 10 2 5 2" xfId="7823" xr:uid="{00000000-0005-0000-0000-0000B11C0000}"/>
    <cellStyle name="Input 10 2 6" xfId="7824" xr:uid="{00000000-0005-0000-0000-0000B21C0000}"/>
    <cellStyle name="Input 10 2 6 2" xfId="7825" xr:uid="{00000000-0005-0000-0000-0000B31C0000}"/>
    <cellStyle name="Input 10 2 7" xfId="7826" xr:uid="{00000000-0005-0000-0000-0000B41C0000}"/>
    <cellStyle name="Input 10 2 7 2" xfId="7827" xr:uid="{00000000-0005-0000-0000-0000B51C0000}"/>
    <cellStyle name="Input 10 2 8" xfId="7828" xr:uid="{00000000-0005-0000-0000-0000B61C0000}"/>
    <cellStyle name="Input 10 2 8 2" xfId="7829" xr:uid="{00000000-0005-0000-0000-0000B71C0000}"/>
    <cellStyle name="Input 10 2 9" xfId="7830" xr:uid="{00000000-0005-0000-0000-0000B81C0000}"/>
    <cellStyle name="Input 10 3" xfId="7831" xr:uid="{00000000-0005-0000-0000-0000B91C0000}"/>
    <cellStyle name="Input 10 3 2" xfId="7832" xr:uid="{00000000-0005-0000-0000-0000BA1C0000}"/>
    <cellStyle name="Input 10 4" xfId="7833" xr:uid="{00000000-0005-0000-0000-0000BB1C0000}"/>
    <cellStyle name="Input 10 4 2" xfId="7834" xr:uid="{00000000-0005-0000-0000-0000BC1C0000}"/>
    <cellStyle name="Input 10 5" xfId="7835" xr:uid="{00000000-0005-0000-0000-0000BD1C0000}"/>
    <cellStyle name="Input 10 5 2" xfId="7836" xr:uid="{00000000-0005-0000-0000-0000BE1C0000}"/>
    <cellStyle name="Input 10 6" xfId="7837" xr:uid="{00000000-0005-0000-0000-0000BF1C0000}"/>
    <cellStyle name="Input 10 6 2" xfId="7838" xr:uid="{00000000-0005-0000-0000-0000C01C0000}"/>
    <cellStyle name="Input 10 7" xfId="7839" xr:uid="{00000000-0005-0000-0000-0000C11C0000}"/>
    <cellStyle name="Input 10 7 2" xfId="7840" xr:uid="{00000000-0005-0000-0000-0000C21C0000}"/>
    <cellStyle name="Input 10 8" xfId="7841" xr:uid="{00000000-0005-0000-0000-0000C31C0000}"/>
    <cellStyle name="Input 10 8 2" xfId="7842" xr:uid="{00000000-0005-0000-0000-0000C41C0000}"/>
    <cellStyle name="Input 10 9" xfId="7843" xr:uid="{00000000-0005-0000-0000-0000C51C0000}"/>
    <cellStyle name="Input 10 9 2" xfId="7844" xr:uid="{00000000-0005-0000-0000-0000C61C0000}"/>
    <cellStyle name="Input 11" xfId="1694" xr:uid="{00000000-0005-0000-0000-0000C71C0000}"/>
    <cellStyle name="Input 11 10" xfId="7845" xr:uid="{00000000-0005-0000-0000-0000C81C0000}"/>
    <cellStyle name="Input 11 11" xfId="7846" xr:uid="{00000000-0005-0000-0000-0000C91C0000}"/>
    <cellStyle name="Input 11 12" xfId="7847" xr:uid="{00000000-0005-0000-0000-0000CA1C0000}"/>
    <cellStyle name="Input 11 2" xfId="7848" xr:uid="{00000000-0005-0000-0000-0000CB1C0000}"/>
    <cellStyle name="Input 11 2 2" xfId="7849" xr:uid="{00000000-0005-0000-0000-0000CC1C0000}"/>
    <cellStyle name="Input 11 2 2 2" xfId="7850" xr:uid="{00000000-0005-0000-0000-0000CD1C0000}"/>
    <cellStyle name="Input 11 2 3" xfId="7851" xr:uid="{00000000-0005-0000-0000-0000CE1C0000}"/>
    <cellStyle name="Input 11 2 3 2" xfId="7852" xr:uid="{00000000-0005-0000-0000-0000CF1C0000}"/>
    <cellStyle name="Input 11 2 4" xfId="7853" xr:uid="{00000000-0005-0000-0000-0000D01C0000}"/>
    <cellStyle name="Input 11 2 4 2" xfId="7854" xr:uid="{00000000-0005-0000-0000-0000D11C0000}"/>
    <cellStyle name="Input 11 2 5" xfId="7855" xr:uid="{00000000-0005-0000-0000-0000D21C0000}"/>
    <cellStyle name="Input 11 2 5 2" xfId="7856" xr:uid="{00000000-0005-0000-0000-0000D31C0000}"/>
    <cellStyle name="Input 11 2 6" xfId="7857" xr:uid="{00000000-0005-0000-0000-0000D41C0000}"/>
    <cellStyle name="Input 11 2 6 2" xfId="7858" xr:uid="{00000000-0005-0000-0000-0000D51C0000}"/>
    <cellStyle name="Input 11 2 7" xfId="7859" xr:uid="{00000000-0005-0000-0000-0000D61C0000}"/>
    <cellStyle name="Input 11 2 7 2" xfId="7860" xr:uid="{00000000-0005-0000-0000-0000D71C0000}"/>
    <cellStyle name="Input 11 2 8" xfId="7861" xr:uid="{00000000-0005-0000-0000-0000D81C0000}"/>
    <cellStyle name="Input 11 2 8 2" xfId="7862" xr:uid="{00000000-0005-0000-0000-0000D91C0000}"/>
    <cellStyle name="Input 11 2 9" xfId="7863" xr:uid="{00000000-0005-0000-0000-0000DA1C0000}"/>
    <cellStyle name="Input 11 3" xfId="7864" xr:uid="{00000000-0005-0000-0000-0000DB1C0000}"/>
    <cellStyle name="Input 11 3 2" xfId="7865" xr:uid="{00000000-0005-0000-0000-0000DC1C0000}"/>
    <cellStyle name="Input 11 4" xfId="7866" xr:uid="{00000000-0005-0000-0000-0000DD1C0000}"/>
    <cellStyle name="Input 11 4 2" xfId="7867" xr:uid="{00000000-0005-0000-0000-0000DE1C0000}"/>
    <cellStyle name="Input 11 5" xfId="7868" xr:uid="{00000000-0005-0000-0000-0000DF1C0000}"/>
    <cellStyle name="Input 11 5 2" xfId="7869" xr:uid="{00000000-0005-0000-0000-0000E01C0000}"/>
    <cellStyle name="Input 11 6" xfId="7870" xr:uid="{00000000-0005-0000-0000-0000E11C0000}"/>
    <cellStyle name="Input 11 6 2" xfId="7871" xr:uid="{00000000-0005-0000-0000-0000E21C0000}"/>
    <cellStyle name="Input 11 7" xfId="7872" xr:uid="{00000000-0005-0000-0000-0000E31C0000}"/>
    <cellStyle name="Input 11 7 2" xfId="7873" xr:uid="{00000000-0005-0000-0000-0000E41C0000}"/>
    <cellStyle name="Input 11 8" xfId="7874" xr:uid="{00000000-0005-0000-0000-0000E51C0000}"/>
    <cellStyle name="Input 11 8 2" xfId="7875" xr:uid="{00000000-0005-0000-0000-0000E61C0000}"/>
    <cellStyle name="Input 11 9" xfId="7876" xr:uid="{00000000-0005-0000-0000-0000E71C0000}"/>
    <cellStyle name="Input 11 9 2" xfId="7877" xr:uid="{00000000-0005-0000-0000-0000E81C0000}"/>
    <cellStyle name="Input 12" xfId="1695" xr:uid="{00000000-0005-0000-0000-0000E91C0000}"/>
    <cellStyle name="Input 12 10" xfId="7878" xr:uid="{00000000-0005-0000-0000-0000EA1C0000}"/>
    <cellStyle name="Input 12 11" xfId="7879" xr:uid="{00000000-0005-0000-0000-0000EB1C0000}"/>
    <cellStyle name="Input 12 12" xfId="7880" xr:uid="{00000000-0005-0000-0000-0000EC1C0000}"/>
    <cellStyle name="Input 12 2" xfId="7881" xr:uid="{00000000-0005-0000-0000-0000ED1C0000}"/>
    <cellStyle name="Input 12 2 2" xfId="7882" xr:uid="{00000000-0005-0000-0000-0000EE1C0000}"/>
    <cellStyle name="Input 12 2 2 2" xfId="7883" xr:uid="{00000000-0005-0000-0000-0000EF1C0000}"/>
    <cellStyle name="Input 12 2 3" xfId="7884" xr:uid="{00000000-0005-0000-0000-0000F01C0000}"/>
    <cellStyle name="Input 12 2 3 2" xfId="7885" xr:uid="{00000000-0005-0000-0000-0000F11C0000}"/>
    <cellStyle name="Input 12 2 4" xfId="7886" xr:uid="{00000000-0005-0000-0000-0000F21C0000}"/>
    <cellStyle name="Input 12 2 4 2" xfId="7887" xr:uid="{00000000-0005-0000-0000-0000F31C0000}"/>
    <cellStyle name="Input 12 2 5" xfId="7888" xr:uid="{00000000-0005-0000-0000-0000F41C0000}"/>
    <cellStyle name="Input 12 2 5 2" xfId="7889" xr:uid="{00000000-0005-0000-0000-0000F51C0000}"/>
    <cellStyle name="Input 12 2 6" xfId="7890" xr:uid="{00000000-0005-0000-0000-0000F61C0000}"/>
    <cellStyle name="Input 12 2 6 2" xfId="7891" xr:uid="{00000000-0005-0000-0000-0000F71C0000}"/>
    <cellStyle name="Input 12 2 7" xfId="7892" xr:uid="{00000000-0005-0000-0000-0000F81C0000}"/>
    <cellStyle name="Input 12 2 7 2" xfId="7893" xr:uid="{00000000-0005-0000-0000-0000F91C0000}"/>
    <cellStyle name="Input 12 2 8" xfId="7894" xr:uid="{00000000-0005-0000-0000-0000FA1C0000}"/>
    <cellStyle name="Input 12 2 8 2" xfId="7895" xr:uid="{00000000-0005-0000-0000-0000FB1C0000}"/>
    <cellStyle name="Input 12 2 9" xfId="7896" xr:uid="{00000000-0005-0000-0000-0000FC1C0000}"/>
    <cellStyle name="Input 12 3" xfId="7897" xr:uid="{00000000-0005-0000-0000-0000FD1C0000}"/>
    <cellStyle name="Input 12 3 2" xfId="7898" xr:uid="{00000000-0005-0000-0000-0000FE1C0000}"/>
    <cellStyle name="Input 12 4" xfId="7899" xr:uid="{00000000-0005-0000-0000-0000FF1C0000}"/>
    <cellStyle name="Input 12 4 2" xfId="7900" xr:uid="{00000000-0005-0000-0000-0000001D0000}"/>
    <cellStyle name="Input 12 5" xfId="7901" xr:uid="{00000000-0005-0000-0000-0000011D0000}"/>
    <cellStyle name="Input 12 5 2" xfId="7902" xr:uid="{00000000-0005-0000-0000-0000021D0000}"/>
    <cellStyle name="Input 12 6" xfId="7903" xr:uid="{00000000-0005-0000-0000-0000031D0000}"/>
    <cellStyle name="Input 12 6 2" xfId="7904" xr:uid="{00000000-0005-0000-0000-0000041D0000}"/>
    <cellStyle name="Input 12 7" xfId="7905" xr:uid="{00000000-0005-0000-0000-0000051D0000}"/>
    <cellStyle name="Input 12 7 2" xfId="7906" xr:uid="{00000000-0005-0000-0000-0000061D0000}"/>
    <cellStyle name="Input 12 8" xfId="7907" xr:uid="{00000000-0005-0000-0000-0000071D0000}"/>
    <cellStyle name="Input 12 8 2" xfId="7908" xr:uid="{00000000-0005-0000-0000-0000081D0000}"/>
    <cellStyle name="Input 12 9" xfId="7909" xr:uid="{00000000-0005-0000-0000-0000091D0000}"/>
    <cellStyle name="Input 12 9 2" xfId="7910" xr:uid="{00000000-0005-0000-0000-00000A1D0000}"/>
    <cellStyle name="Input 13" xfId="1696" xr:uid="{00000000-0005-0000-0000-00000B1D0000}"/>
    <cellStyle name="Input 13 10" xfId="7911" xr:uid="{00000000-0005-0000-0000-00000C1D0000}"/>
    <cellStyle name="Input 13 11" xfId="7912" xr:uid="{00000000-0005-0000-0000-00000D1D0000}"/>
    <cellStyle name="Input 13 12" xfId="7913" xr:uid="{00000000-0005-0000-0000-00000E1D0000}"/>
    <cellStyle name="Input 13 2" xfId="7914" xr:uid="{00000000-0005-0000-0000-00000F1D0000}"/>
    <cellStyle name="Input 13 2 2" xfId="7915" xr:uid="{00000000-0005-0000-0000-0000101D0000}"/>
    <cellStyle name="Input 13 2 2 2" xfId="7916" xr:uid="{00000000-0005-0000-0000-0000111D0000}"/>
    <cellStyle name="Input 13 2 3" xfId="7917" xr:uid="{00000000-0005-0000-0000-0000121D0000}"/>
    <cellStyle name="Input 13 2 3 2" xfId="7918" xr:uid="{00000000-0005-0000-0000-0000131D0000}"/>
    <cellStyle name="Input 13 2 4" xfId="7919" xr:uid="{00000000-0005-0000-0000-0000141D0000}"/>
    <cellStyle name="Input 13 2 4 2" xfId="7920" xr:uid="{00000000-0005-0000-0000-0000151D0000}"/>
    <cellStyle name="Input 13 2 5" xfId="7921" xr:uid="{00000000-0005-0000-0000-0000161D0000}"/>
    <cellStyle name="Input 13 2 5 2" xfId="7922" xr:uid="{00000000-0005-0000-0000-0000171D0000}"/>
    <cellStyle name="Input 13 2 6" xfId="7923" xr:uid="{00000000-0005-0000-0000-0000181D0000}"/>
    <cellStyle name="Input 13 2 6 2" xfId="7924" xr:uid="{00000000-0005-0000-0000-0000191D0000}"/>
    <cellStyle name="Input 13 2 7" xfId="7925" xr:uid="{00000000-0005-0000-0000-00001A1D0000}"/>
    <cellStyle name="Input 13 2 7 2" xfId="7926" xr:uid="{00000000-0005-0000-0000-00001B1D0000}"/>
    <cellStyle name="Input 13 2 8" xfId="7927" xr:uid="{00000000-0005-0000-0000-00001C1D0000}"/>
    <cellStyle name="Input 13 2 8 2" xfId="7928" xr:uid="{00000000-0005-0000-0000-00001D1D0000}"/>
    <cellStyle name="Input 13 2 9" xfId="7929" xr:uid="{00000000-0005-0000-0000-00001E1D0000}"/>
    <cellStyle name="Input 13 3" xfId="7930" xr:uid="{00000000-0005-0000-0000-00001F1D0000}"/>
    <cellStyle name="Input 13 3 2" xfId="7931" xr:uid="{00000000-0005-0000-0000-0000201D0000}"/>
    <cellStyle name="Input 13 4" xfId="7932" xr:uid="{00000000-0005-0000-0000-0000211D0000}"/>
    <cellStyle name="Input 13 4 2" xfId="7933" xr:uid="{00000000-0005-0000-0000-0000221D0000}"/>
    <cellStyle name="Input 13 5" xfId="7934" xr:uid="{00000000-0005-0000-0000-0000231D0000}"/>
    <cellStyle name="Input 13 5 2" xfId="7935" xr:uid="{00000000-0005-0000-0000-0000241D0000}"/>
    <cellStyle name="Input 13 6" xfId="7936" xr:uid="{00000000-0005-0000-0000-0000251D0000}"/>
    <cellStyle name="Input 13 6 2" xfId="7937" xr:uid="{00000000-0005-0000-0000-0000261D0000}"/>
    <cellStyle name="Input 13 7" xfId="7938" xr:uid="{00000000-0005-0000-0000-0000271D0000}"/>
    <cellStyle name="Input 13 7 2" xfId="7939" xr:uid="{00000000-0005-0000-0000-0000281D0000}"/>
    <cellStyle name="Input 13 8" xfId="7940" xr:uid="{00000000-0005-0000-0000-0000291D0000}"/>
    <cellStyle name="Input 13 8 2" xfId="7941" xr:uid="{00000000-0005-0000-0000-00002A1D0000}"/>
    <cellStyle name="Input 13 9" xfId="7942" xr:uid="{00000000-0005-0000-0000-00002B1D0000}"/>
    <cellStyle name="Input 13 9 2" xfId="7943" xr:uid="{00000000-0005-0000-0000-00002C1D0000}"/>
    <cellStyle name="Input 14" xfId="1697" xr:uid="{00000000-0005-0000-0000-00002D1D0000}"/>
    <cellStyle name="Input 14 10" xfId="7944" xr:uid="{00000000-0005-0000-0000-00002E1D0000}"/>
    <cellStyle name="Input 14 11" xfId="7945" xr:uid="{00000000-0005-0000-0000-00002F1D0000}"/>
    <cellStyle name="Input 14 12" xfId="7946" xr:uid="{00000000-0005-0000-0000-0000301D0000}"/>
    <cellStyle name="Input 14 2" xfId="7947" xr:uid="{00000000-0005-0000-0000-0000311D0000}"/>
    <cellStyle name="Input 14 2 2" xfId="7948" xr:uid="{00000000-0005-0000-0000-0000321D0000}"/>
    <cellStyle name="Input 14 2 2 2" xfId="7949" xr:uid="{00000000-0005-0000-0000-0000331D0000}"/>
    <cellStyle name="Input 14 2 3" xfId="7950" xr:uid="{00000000-0005-0000-0000-0000341D0000}"/>
    <cellStyle name="Input 14 2 3 2" xfId="7951" xr:uid="{00000000-0005-0000-0000-0000351D0000}"/>
    <cellStyle name="Input 14 2 4" xfId="7952" xr:uid="{00000000-0005-0000-0000-0000361D0000}"/>
    <cellStyle name="Input 14 2 4 2" xfId="7953" xr:uid="{00000000-0005-0000-0000-0000371D0000}"/>
    <cellStyle name="Input 14 2 5" xfId="7954" xr:uid="{00000000-0005-0000-0000-0000381D0000}"/>
    <cellStyle name="Input 14 2 5 2" xfId="7955" xr:uid="{00000000-0005-0000-0000-0000391D0000}"/>
    <cellStyle name="Input 14 2 6" xfId="7956" xr:uid="{00000000-0005-0000-0000-00003A1D0000}"/>
    <cellStyle name="Input 14 2 6 2" xfId="7957" xr:uid="{00000000-0005-0000-0000-00003B1D0000}"/>
    <cellStyle name="Input 14 2 7" xfId="7958" xr:uid="{00000000-0005-0000-0000-00003C1D0000}"/>
    <cellStyle name="Input 14 2 7 2" xfId="7959" xr:uid="{00000000-0005-0000-0000-00003D1D0000}"/>
    <cellStyle name="Input 14 2 8" xfId="7960" xr:uid="{00000000-0005-0000-0000-00003E1D0000}"/>
    <cellStyle name="Input 14 2 8 2" xfId="7961" xr:uid="{00000000-0005-0000-0000-00003F1D0000}"/>
    <cellStyle name="Input 14 2 9" xfId="7962" xr:uid="{00000000-0005-0000-0000-0000401D0000}"/>
    <cellStyle name="Input 14 3" xfId="7963" xr:uid="{00000000-0005-0000-0000-0000411D0000}"/>
    <cellStyle name="Input 14 3 2" xfId="7964" xr:uid="{00000000-0005-0000-0000-0000421D0000}"/>
    <cellStyle name="Input 14 4" xfId="7965" xr:uid="{00000000-0005-0000-0000-0000431D0000}"/>
    <cellStyle name="Input 14 4 2" xfId="7966" xr:uid="{00000000-0005-0000-0000-0000441D0000}"/>
    <cellStyle name="Input 14 5" xfId="7967" xr:uid="{00000000-0005-0000-0000-0000451D0000}"/>
    <cellStyle name="Input 14 5 2" xfId="7968" xr:uid="{00000000-0005-0000-0000-0000461D0000}"/>
    <cellStyle name="Input 14 6" xfId="7969" xr:uid="{00000000-0005-0000-0000-0000471D0000}"/>
    <cellStyle name="Input 14 6 2" xfId="7970" xr:uid="{00000000-0005-0000-0000-0000481D0000}"/>
    <cellStyle name="Input 14 7" xfId="7971" xr:uid="{00000000-0005-0000-0000-0000491D0000}"/>
    <cellStyle name="Input 14 7 2" xfId="7972" xr:uid="{00000000-0005-0000-0000-00004A1D0000}"/>
    <cellStyle name="Input 14 8" xfId="7973" xr:uid="{00000000-0005-0000-0000-00004B1D0000}"/>
    <cellStyle name="Input 14 8 2" xfId="7974" xr:uid="{00000000-0005-0000-0000-00004C1D0000}"/>
    <cellStyle name="Input 14 9" xfId="7975" xr:uid="{00000000-0005-0000-0000-00004D1D0000}"/>
    <cellStyle name="Input 14 9 2" xfId="7976" xr:uid="{00000000-0005-0000-0000-00004E1D0000}"/>
    <cellStyle name="Input 15" xfId="1698" xr:uid="{00000000-0005-0000-0000-00004F1D0000}"/>
    <cellStyle name="Input 15 10" xfId="7977" xr:uid="{00000000-0005-0000-0000-0000501D0000}"/>
    <cellStyle name="Input 15 11" xfId="7978" xr:uid="{00000000-0005-0000-0000-0000511D0000}"/>
    <cellStyle name="Input 15 12" xfId="7979" xr:uid="{00000000-0005-0000-0000-0000521D0000}"/>
    <cellStyle name="Input 15 2" xfId="7980" xr:uid="{00000000-0005-0000-0000-0000531D0000}"/>
    <cellStyle name="Input 15 2 2" xfId="7981" xr:uid="{00000000-0005-0000-0000-0000541D0000}"/>
    <cellStyle name="Input 15 2 2 2" xfId="7982" xr:uid="{00000000-0005-0000-0000-0000551D0000}"/>
    <cellStyle name="Input 15 2 3" xfId="7983" xr:uid="{00000000-0005-0000-0000-0000561D0000}"/>
    <cellStyle name="Input 15 2 3 2" xfId="7984" xr:uid="{00000000-0005-0000-0000-0000571D0000}"/>
    <cellStyle name="Input 15 2 4" xfId="7985" xr:uid="{00000000-0005-0000-0000-0000581D0000}"/>
    <cellStyle name="Input 15 2 4 2" xfId="7986" xr:uid="{00000000-0005-0000-0000-0000591D0000}"/>
    <cellStyle name="Input 15 2 5" xfId="7987" xr:uid="{00000000-0005-0000-0000-00005A1D0000}"/>
    <cellStyle name="Input 15 2 5 2" xfId="7988" xr:uid="{00000000-0005-0000-0000-00005B1D0000}"/>
    <cellStyle name="Input 15 2 6" xfId="7989" xr:uid="{00000000-0005-0000-0000-00005C1D0000}"/>
    <cellStyle name="Input 15 2 6 2" xfId="7990" xr:uid="{00000000-0005-0000-0000-00005D1D0000}"/>
    <cellStyle name="Input 15 2 7" xfId="7991" xr:uid="{00000000-0005-0000-0000-00005E1D0000}"/>
    <cellStyle name="Input 15 2 7 2" xfId="7992" xr:uid="{00000000-0005-0000-0000-00005F1D0000}"/>
    <cellStyle name="Input 15 2 8" xfId="7993" xr:uid="{00000000-0005-0000-0000-0000601D0000}"/>
    <cellStyle name="Input 15 2 8 2" xfId="7994" xr:uid="{00000000-0005-0000-0000-0000611D0000}"/>
    <cellStyle name="Input 15 2 9" xfId="7995" xr:uid="{00000000-0005-0000-0000-0000621D0000}"/>
    <cellStyle name="Input 15 3" xfId="7996" xr:uid="{00000000-0005-0000-0000-0000631D0000}"/>
    <cellStyle name="Input 15 3 2" xfId="7997" xr:uid="{00000000-0005-0000-0000-0000641D0000}"/>
    <cellStyle name="Input 15 4" xfId="7998" xr:uid="{00000000-0005-0000-0000-0000651D0000}"/>
    <cellStyle name="Input 15 4 2" xfId="7999" xr:uid="{00000000-0005-0000-0000-0000661D0000}"/>
    <cellStyle name="Input 15 5" xfId="8000" xr:uid="{00000000-0005-0000-0000-0000671D0000}"/>
    <cellStyle name="Input 15 5 2" xfId="8001" xr:uid="{00000000-0005-0000-0000-0000681D0000}"/>
    <cellStyle name="Input 15 6" xfId="8002" xr:uid="{00000000-0005-0000-0000-0000691D0000}"/>
    <cellStyle name="Input 15 6 2" xfId="8003" xr:uid="{00000000-0005-0000-0000-00006A1D0000}"/>
    <cellStyle name="Input 15 7" xfId="8004" xr:uid="{00000000-0005-0000-0000-00006B1D0000}"/>
    <cellStyle name="Input 15 7 2" xfId="8005" xr:uid="{00000000-0005-0000-0000-00006C1D0000}"/>
    <cellStyle name="Input 15 8" xfId="8006" xr:uid="{00000000-0005-0000-0000-00006D1D0000}"/>
    <cellStyle name="Input 15 8 2" xfId="8007" xr:uid="{00000000-0005-0000-0000-00006E1D0000}"/>
    <cellStyle name="Input 15 9" xfId="8008" xr:uid="{00000000-0005-0000-0000-00006F1D0000}"/>
    <cellStyle name="Input 15 9 2" xfId="8009" xr:uid="{00000000-0005-0000-0000-0000701D0000}"/>
    <cellStyle name="Input 16" xfId="1699" xr:uid="{00000000-0005-0000-0000-0000711D0000}"/>
    <cellStyle name="Input 16 10" xfId="8010" xr:uid="{00000000-0005-0000-0000-0000721D0000}"/>
    <cellStyle name="Input 16 11" xfId="8011" xr:uid="{00000000-0005-0000-0000-0000731D0000}"/>
    <cellStyle name="Input 16 12" xfId="8012" xr:uid="{00000000-0005-0000-0000-0000741D0000}"/>
    <cellStyle name="Input 16 2" xfId="8013" xr:uid="{00000000-0005-0000-0000-0000751D0000}"/>
    <cellStyle name="Input 16 2 2" xfId="8014" xr:uid="{00000000-0005-0000-0000-0000761D0000}"/>
    <cellStyle name="Input 16 2 2 2" xfId="8015" xr:uid="{00000000-0005-0000-0000-0000771D0000}"/>
    <cellStyle name="Input 16 2 3" xfId="8016" xr:uid="{00000000-0005-0000-0000-0000781D0000}"/>
    <cellStyle name="Input 16 2 3 2" xfId="8017" xr:uid="{00000000-0005-0000-0000-0000791D0000}"/>
    <cellStyle name="Input 16 2 4" xfId="8018" xr:uid="{00000000-0005-0000-0000-00007A1D0000}"/>
    <cellStyle name="Input 16 2 4 2" xfId="8019" xr:uid="{00000000-0005-0000-0000-00007B1D0000}"/>
    <cellStyle name="Input 16 2 5" xfId="8020" xr:uid="{00000000-0005-0000-0000-00007C1D0000}"/>
    <cellStyle name="Input 16 2 5 2" xfId="8021" xr:uid="{00000000-0005-0000-0000-00007D1D0000}"/>
    <cellStyle name="Input 16 2 6" xfId="8022" xr:uid="{00000000-0005-0000-0000-00007E1D0000}"/>
    <cellStyle name="Input 16 2 6 2" xfId="8023" xr:uid="{00000000-0005-0000-0000-00007F1D0000}"/>
    <cellStyle name="Input 16 2 7" xfId="8024" xr:uid="{00000000-0005-0000-0000-0000801D0000}"/>
    <cellStyle name="Input 16 2 7 2" xfId="8025" xr:uid="{00000000-0005-0000-0000-0000811D0000}"/>
    <cellStyle name="Input 16 2 8" xfId="8026" xr:uid="{00000000-0005-0000-0000-0000821D0000}"/>
    <cellStyle name="Input 16 2 8 2" xfId="8027" xr:uid="{00000000-0005-0000-0000-0000831D0000}"/>
    <cellStyle name="Input 16 2 9" xfId="8028" xr:uid="{00000000-0005-0000-0000-0000841D0000}"/>
    <cellStyle name="Input 16 3" xfId="8029" xr:uid="{00000000-0005-0000-0000-0000851D0000}"/>
    <cellStyle name="Input 16 3 2" xfId="8030" xr:uid="{00000000-0005-0000-0000-0000861D0000}"/>
    <cellStyle name="Input 16 4" xfId="8031" xr:uid="{00000000-0005-0000-0000-0000871D0000}"/>
    <cellStyle name="Input 16 4 2" xfId="8032" xr:uid="{00000000-0005-0000-0000-0000881D0000}"/>
    <cellStyle name="Input 16 5" xfId="8033" xr:uid="{00000000-0005-0000-0000-0000891D0000}"/>
    <cellStyle name="Input 16 5 2" xfId="8034" xr:uid="{00000000-0005-0000-0000-00008A1D0000}"/>
    <cellStyle name="Input 16 6" xfId="8035" xr:uid="{00000000-0005-0000-0000-00008B1D0000}"/>
    <cellStyle name="Input 16 6 2" xfId="8036" xr:uid="{00000000-0005-0000-0000-00008C1D0000}"/>
    <cellStyle name="Input 16 7" xfId="8037" xr:uid="{00000000-0005-0000-0000-00008D1D0000}"/>
    <cellStyle name="Input 16 7 2" xfId="8038" xr:uid="{00000000-0005-0000-0000-00008E1D0000}"/>
    <cellStyle name="Input 16 8" xfId="8039" xr:uid="{00000000-0005-0000-0000-00008F1D0000}"/>
    <cellStyle name="Input 16 8 2" xfId="8040" xr:uid="{00000000-0005-0000-0000-0000901D0000}"/>
    <cellStyle name="Input 16 9" xfId="8041" xr:uid="{00000000-0005-0000-0000-0000911D0000}"/>
    <cellStyle name="Input 16 9 2" xfId="8042" xr:uid="{00000000-0005-0000-0000-0000921D0000}"/>
    <cellStyle name="Input 17" xfId="1700" xr:uid="{00000000-0005-0000-0000-0000931D0000}"/>
    <cellStyle name="Input 17 10" xfId="8043" xr:uid="{00000000-0005-0000-0000-0000941D0000}"/>
    <cellStyle name="Input 17 11" xfId="8044" xr:uid="{00000000-0005-0000-0000-0000951D0000}"/>
    <cellStyle name="Input 17 2" xfId="8045" xr:uid="{00000000-0005-0000-0000-0000961D0000}"/>
    <cellStyle name="Input 17 2 2" xfId="8046" xr:uid="{00000000-0005-0000-0000-0000971D0000}"/>
    <cellStyle name="Input 17 2 2 2" xfId="8047" xr:uid="{00000000-0005-0000-0000-0000981D0000}"/>
    <cellStyle name="Input 17 2 3" xfId="8048" xr:uid="{00000000-0005-0000-0000-0000991D0000}"/>
    <cellStyle name="Input 17 2 3 2" xfId="8049" xr:uid="{00000000-0005-0000-0000-00009A1D0000}"/>
    <cellStyle name="Input 17 2 4" xfId="8050" xr:uid="{00000000-0005-0000-0000-00009B1D0000}"/>
    <cellStyle name="Input 17 2 4 2" xfId="8051" xr:uid="{00000000-0005-0000-0000-00009C1D0000}"/>
    <cellStyle name="Input 17 2 5" xfId="8052" xr:uid="{00000000-0005-0000-0000-00009D1D0000}"/>
    <cellStyle name="Input 17 2 5 2" xfId="8053" xr:uid="{00000000-0005-0000-0000-00009E1D0000}"/>
    <cellStyle name="Input 17 2 6" xfId="8054" xr:uid="{00000000-0005-0000-0000-00009F1D0000}"/>
    <cellStyle name="Input 17 2 6 2" xfId="8055" xr:uid="{00000000-0005-0000-0000-0000A01D0000}"/>
    <cellStyle name="Input 17 2 7" xfId="8056" xr:uid="{00000000-0005-0000-0000-0000A11D0000}"/>
    <cellStyle name="Input 17 2 7 2" xfId="8057" xr:uid="{00000000-0005-0000-0000-0000A21D0000}"/>
    <cellStyle name="Input 17 2 8" xfId="8058" xr:uid="{00000000-0005-0000-0000-0000A31D0000}"/>
    <cellStyle name="Input 17 2 8 2" xfId="8059" xr:uid="{00000000-0005-0000-0000-0000A41D0000}"/>
    <cellStyle name="Input 17 2 9" xfId="8060" xr:uid="{00000000-0005-0000-0000-0000A51D0000}"/>
    <cellStyle name="Input 17 3" xfId="8061" xr:uid="{00000000-0005-0000-0000-0000A61D0000}"/>
    <cellStyle name="Input 17 3 2" xfId="8062" xr:uid="{00000000-0005-0000-0000-0000A71D0000}"/>
    <cellStyle name="Input 17 4" xfId="8063" xr:uid="{00000000-0005-0000-0000-0000A81D0000}"/>
    <cellStyle name="Input 17 4 2" xfId="8064" xr:uid="{00000000-0005-0000-0000-0000A91D0000}"/>
    <cellStyle name="Input 17 5" xfId="8065" xr:uid="{00000000-0005-0000-0000-0000AA1D0000}"/>
    <cellStyle name="Input 17 5 2" xfId="8066" xr:uid="{00000000-0005-0000-0000-0000AB1D0000}"/>
    <cellStyle name="Input 17 6" xfId="8067" xr:uid="{00000000-0005-0000-0000-0000AC1D0000}"/>
    <cellStyle name="Input 17 6 2" xfId="8068" xr:uid="{00000000-0005-0000-0000-0000AD1D0000}"/>
    <cellStyle name="Input 17 7" xfId="8069" xr:uid="{00000000-0005-0000-0000-0000AE1D0000}"/>
    <cellStyle name="Input 17 7 2" xfId="8070" xr:uid="{00000000-0005-0000-0000-0000AF1D0000}"/>
    <cellStyle name="Input 17 8" xfId="8071" xr:uid="{00000000-0005-0000-0000-0000B01D0000}"/>
    <cellStyle name="Input 17 8 2" xfId="8072" xr:uid="{00000000-0005-0000-0000-0000B11D0000}"/>
    <cellStyle name="Input 17 9" xfId="8073" xr:uid="{00000000-0005-0000-0000-0000B21D0000}"/>
    <cellStyle name="Input 17 9 2" xfId="8074" xr:uid="{00000000-0005-0000-0000-0000B31D0000}"/>
    <cellStyle name="Input 18" xfId="1701" xr:uid="{00000000-0005-0000-0000-0000B41D0000}"/>
    <cellStyle name="Input 18 10" xfId="8075" xr:uid="{00000000-0005-0000-0000-0000B51D0000}"/>
    <cellStyle name="Input 18 2" xfId="8076" xr:uid="{00000000-0005-0000-0000-0000B61D0000}"/>
    <cellStyle name="Input 18 2 2" xfId="8077" xr:uid="{00000000-0005-0000-0000-0000B71D0000}"/>
    <cellStyle name="Input 18 2 2 2" xfId="8078" xr:uid="{00000000-0005-0000-0000-0000B81D0000}"/>
    <cellStyle name="Input 18 2 3" xfId="8079" xr:uid="{00000000-0005-0000-0000-0000B91D0000}"/>
    <cellStyle name="Input 18 2 3 2" xfId="8080" xr:uid="{00000000-0005-0000-0000-0000BA1D0000}"/>
    <cellStyle name="Input 18 2 4" xfId="8081" xr:uid="{00000000-0005-0000-0000-0000BB1D0000}"/>
    <cellStyle name="Input 18 2 4 2" xfId="8082" xr:uid="{00000000-0005-0000-0000-0000BC1D0000}"/>
    <cellStyle name="Input 18 2 5" xfId="8083" xr:uid="{00000000-0005-0000-0000-0000BD1D0000}"/>
    <cellStyle name="Input 18 2 5 2" xfId="8084" xr:uid="{00000000-0005-0000-0000-0000BE1D0000}"/>
    <cellStyle name="Input 18 2 6" xfId="8085" xr:uid="{00000000-0005-0000-0000-0000BF1D0000}"/>
    <cellStyle name="Input 18 2 6 2" xfId="8086" xr:uid="{00000000-0005-0000-0000-0000C01D0000}"/>
    <cellStyle name="Input 18 2 7" xfId="8087" xr:uid="{00000000-0005-0000-0000-0000C11D0000}"/>
    <cellStyle name="Input 18 2 7 2" xfId="8088" xr:uid="{00000000-0005-0000-0000-0000C21D0000}"/>
    <cellStyle name="Input 18 2 8" xfId="8089" xr:uid="{00000000-0005-0000-0000-0000C31D0000}"/>
    <cellStyle name="Input 18 2 8 2" xfId="8090" xr:uid="{00000000-0005-0000-0000-0000C41D0000}"/>
    <cellStyle name="Input 18 2 9" xfId="8091" xr:uid="{00000000-0005-0000-0000-0000C51D0000}"/>
    <cellStyle name="Input 18 3" xfId="8092" xr:uid="{00000000-0005-0000-0000-0000C61D0000}"/>
    <cellStyle name="Input 18 3 2" xfId="8093" xr:uid="{00000000-0005-0000-0000-0000C71D0000}"/>
    <cellStyle name="Input 18 4" xfId="8094" xr:uid="{00000000-0005-0000-0000-0000C81D0000}"/>
    <cellStyle name="Input 18 4 2" xfId="8095" xr:uid="{00000000-0005-0000-0000-0000C91D0000}"/>
    <cellStyle name="Input 18 5" xfId="8096" xr:uid="{00000000-0005-0000-0000-0000CA1D0000}"/>
    <cellStyle name="Input 18 5 2" xfId="8097" xr:uid="{00000000-0005-0000-0000-0000CB1D0000}"/>
    <cellStyle name="Input 18 6" xfId="8098" xr:uid="{00000000-0005-0000-0000-0000CC1D0000}"/>
    <cellStyle name="Input 18 6 2" xfId="8099" xr:uid="{00000000-0005-0000-0000-0000CD1D0000}"/>
    <cellStyle name="Input 18 7" xfId="8100" xr:uid="{00000000-0005-0000-0000-0000CE1D0000}"/>
    <cellStyle name="Input 18 7 2" xfId="8101" xr:uid="{00000000-0005-0000-0000-0000CF1D0000}"/>
    <cellStyle name="Input 18 8" xfId="8102" xr:uid="{00000000-0005-0000-0000-0000D01D0000}"/>
    <cellStyle name="Input 18 8 2" xfId="8103" xr:uid="{00000000-0005-0000-0000-0000D11D0000}"/>
    <cellStyle name="Input 18 9" xfId="8104" xr:uid="{00000000-0005-0000-0000-0000D21D0000}"/>
    <cellStyle name="Input 18 9 2" xfId="8105" xr:uid="{00000000-0005-0000-0000-0000D31D0000}"/>
    <cellStyle name="Input 19" xfId="1702" xr:uid="{00000000-0005-0000-0000-0000D41D0000}"/>
    <cellStyle name="Input 19 10" xfId="8106" xr:uid="{00000000-0005-0000-0000-0000D51D0000}"/>
    <cellStyle name="Input 19 2" xfId="8107" xr:uid="{00000000-0005-0000-0000-0000D61D0000}"/>
    <cellStyle name="Input 19 2 2" xfId="8108" xr:uid="{00000000-0005-0000-0000-0000D71D0000}"/>
    <cellStyle name="Input 19 2 2 2" xfId="8109" xr:uid="{00000000-0005-0000-0000-0000D81D0000}"/>
    <cellStyle name="Input 19 2 3" xfId="8110" xr:uid="{00000000-0005-0000-0000-0000D91D0000}"/>
    <cellStyle name="Input 19 2 3 2" xfId="8111" xr:uid="{00000000-0005-0000-0000-0000DA1D0000}"/>
    <cellStyle name="Input 19 2 4" xfId="8112" xr:uid="{00000000-0005-0000-0000-0000DB1D0000}"/>
    <cellStyle name="Input 19 2 4 2" xfId="8113" xr:uid="{00000000-0005-0000-0000-0000DC1D0000}"/>
    <cellStyle name="Input 19 2 5" xfId="8114" xr:uid="{00000000-0005-0000-0000-0000DD1D0000}"/>
    <cellStyle name="Input 19 2 5 2" xfId="8115" xr:uid="{00000000-0005-0000-0000-0000DE1D0000}"/>
    <cellStyle name="Input 19 2 6" xfId="8116" xr:uid="{00000000-0005-0000-0000-0000DF1D0000}"/>
    <cellStyle name="Input 19 2 6 2" xfId="8117" xr:uid="{00000000-0005-0000-0000-0000E01D0000}"/>
    <cellStyle name="Input 19 2 7" xfId="8118" xr:uid="{00000000-0005-0000-0000-0000E11D0000}"/>
    <cellStyle name="Input 19 2 7 2" xfId="8119" xr:uid="{00000000-0005-0000-0000-0000E21D0000}"/>
    <cellStyle name="Input 19 2 8" xfId="8120" xr:uid="{00000000-0005-0000-0000-0000E31D0000}"/>
    <cellStyle name="Input 19 2 8 2" xfId="8121" xr:uid="{00000000-0005-0000-0000-0000E41D0000}"/>
    <cellStyle name="Input 19 2 9" xfId="8122" xr:uid="{00000000-0005-0000-0000-0000E51D0000}"/>
    <cellStyle name="Input 19 3" xfId="8123" xr:uid="{00000000-0005-0000-0000-0000E61D0000}"/>
    <cellStyle name="Input 19 3 2" xfId="8124" xr:uid="{00000000-0005-0000-0000-0000E71D0000}"/>
    <cellStyle name="Input 19 4" xfId="8125" xr:uid="{00000000-0005-0000-0000-0000E81D0000}"/>
    <cellStyle name="Input 19 4 2" xfId="8126" xr:uid="{00000000-0005-0000-0000-0000E91D0000}"/>
    <cellStyle name="Input 19 5" xfId="8127" xr:uid="{00000000-0005-0000-0000-0000EA1D0000}"/>
    <cellStyle name="Input 19 5 2" xfId="8128" xr:uid="{00000000-0005-0000-0000-0000EB1D0000}"/>
    <cellStyle name="Input 19 6" xfId="8129" xr:uid="{00000000-0005-0000-0000-0000EC1D0000}"/>
    <cellStyle name="Input 19 6 2" xfId="8130" xr:uid="{00000000-0005-0000-0000-0000ED1D0000}"/>
    <cellStyle name="Input 19 7" xfId="8131" xr:uid="{00000000-0005-0000-0000-0000EE1D0000}"/>
    <cellStyle name="Input 19 7 2" xfId="8132" xr:uid="{00000000-0005-0000-0000-0000EF1D0000}"/>
    <cellStyle name="Input 19 8" xfId="8133" xr:uid="{00000000-0005-0000-0000-0000F01D0000}"/>
    <cellStyle name="Input 19 8 2" xfId="8134" xr:uid="{00000000-0005-0000-0000-0000F11D0000}"/>
    <cellStyle name="Input 19 9" xfId="8135" xr:uid="{00000000-0005-0000-0000-0000F21D0000}"/>
    <cellStyle name="Input 19 9 2" xfId="8136" xr:uid="{00000000-0005-0000-0000-0000F31D0000}"/>
    <cellStyle name="Input 2" xfId="1703" xr:uid="{00000000-0005-0000-0000-0000F41D0000}"/>
    <cellStyle name="Input 2 10" xfId="8137" xr:uid="{00000000-0005-0000-0000-0000F51D0000}"/>
    <cellStyle name="Input 2 2" xfId="1704" xr:uid="{00000000-0005-0000-0000-0000F61D0000}"/>
    <cellStyle name="Input 2 2 10" xfId="8138" xr:uid="{00000000-0005-0000-0000-0000F71D0000}"/>
    <cellStyle name="Input 2 2 11" xfId="8139" xr:uid="{00000000-0005-0000-0000-0000F81D0000}"/>
    <cellStyle name="Input 2 2 2" xfId="1705" xr:uid="{00000000-0005-0000-0000-0000F91D0000}"/>
    <cellStyle name="Input 2 2 2 2" xfId="1706" xr:uid="{00000000-0005-0000-0000-0000FA1D0000}"/>
    <cellStyle name="Input 2 2 2 3" xfId="1707" xr:uid="{00000000-0005-0000-0000-0000FB1D0000}"/>
    <cellStyle name="Input 2 2 2 4" xfId="1708" xr:uid="{00000000-0005-0000-0000-0000FC1D0000}"/>
    <cellStyle name="Input 2 2 2 5" xfId="1709" xr:uid="{00000000-0005-0000-0000-0000FD1D0000}"/>
    <cellStyle name="Input 2 2 3" xfId="1710" xr:uid="{00000000-0005-0000-0000-0000FE1D0000}"/>
    <cellStyle name="Input 2 2 3 2" xfId="8140" xr:uid="{00000000-0005-0000-0000-0000FF1D0000}"/>
    <cellStyle name="Input 2 2 4" xfId="1711" xr:uid="{00000000-0005-0000-0000-0000001E0000}"/>
    <cellStyle name="Input 2 2 4 2" xfId="8141" xr:uid="{00000000-0005-0000-0000-0000011E0000}"/>
    <cellStyle name="Input 2 2 5" xfId="1712" xr:uid="{00000000-0005-0000-0000-0000021E0000}"/>
    <cellStyle name="Input 2 2 5 2" xfId="8142" xr:uid="{00000000-0005-0000-0000-0000031E0000}"/>
    <cellStyle name="Input 2 2 6" xfId="8143" xr:uid="{00000000-0005-0000-0000-0000041E0000}"/>
    <cellStyle name="Input 2 2 6 2" xfId="8144" xr:uid="{00000000-0005-0000-0000-0000051E0000}"/>
    <cellStyle name="Input 2 2 7" xfId="8145" xr:uid="{00000000-0005-0000-0000-0000061E0000}"/>
    <cellStyle name="Input 2 2 7 2" xfId="8146" xr:uid="{00000000-0005-0000-0000-0000071E0000}"/>
    <cellStyle name="Input 2 2 8" xfId="8147" xr:uid="{00000000-0005-0000-0000-0000081E0000}"/>
    <cellStyle name="Input 2 2 8 2" xfId="8148" xr:uid="{00000000-0005-0000-0000-0000091E0000}"/>
    <cellStyle name="Input 2 2 9" xfId="8149" xr:uid="{00000000-0005-0000-0000-00000A1E0000}"/>
    <cellStyle name="Input 2 3" xfId="1713" xr:uid="{00000000-0005-0000-0000-00000B1E0000}"/>
    <cellStyle name="Input 2 3 2" xfId="8150" xr:uid="{00000000-0005-0000-0000-00000C1E0000}"/>
    <cellStyle name="Input 2 4" xfId="1714" xr:uid="{00000000-0005-0000-0000-00000D1E0000}"/>
    <cellStyle name="Input 2 4 2" xfId="8151" xr:uid="{00000000-0005-0000-0000-00000E1E0000}"/>
    <cellStyle name="Input 2 5" xfId="1715" xr:uid="{00000000-0005-0000-0000-00000F1E0000}"/>
    <cellStyle name="Input 2 5 2" xfId="8152" xr:uid="{00000000-0005-0000-0000-0000101E0000}"/>
    <cellStyle name="Input 2 6" xfId="1716" xr:uid="{00000000-0005-0000-0000-0000111E0000}"/>
    <cellStyle name="Input 2 6 2" xfId="8153" xr:uid="{00000000-0005-0000-0000-0000121E0000}"/>
    <cellStyle name="Input 2 7" xfId="1717" xr:uid="{00000000-0005-0000-0000-0000131E0000}"/>
    <cellStyle name="Input 2 7 2" xfId="8154" xr:uid="{00000000-0005-0000-0000-0000141E0000}"/>
    <cellStyle name="Input 2 8" xfId="1718" xr:uid="{00000000-0005-0000-0000-0000151E0000}"/>
    <cellStyle name="Input 2 8 2" xfId="8155" xr:uid="{00000000-0005-0000-0000-0000161E0000}"/>
    <cellStyle name="Input 2 9" xfId="1719" xr:uid="{00000000-0005-0000-0000-0000171E0000}"/>
    <cellStyle name="Input 20" xfId="1720" xr:uid="{00000000-0005-0000-0000-0000181E0000}"/>
    <cellStyle name="Input 20 10" xfId="8156" xr:uid="{00000000-0005-0000-0000-0000191E0000}"/>
    <cellStyle name="Input 20 2" xfId="8157" xr:uid="{00000000-0005-0000-0000-00001A1E0000}"/>
    <cellStyle name="Input 20 2 2" xfId="8158" xr:uid="{00000000-0005-0000-0000-00001B1E0000}"/>
    <cellStyle name="Input 20 2 2 2" xfId="8159" xr:uid="{00000000-0005-0000-0000-00001C1E0000}"/>
    <cellStyle name="Input 20 2 3" xfId="8160" xr:uid="{00000000-0005-0000-0000-00001D1E0000}"/>
    <cellStyle name="Input 20 2 3 2" xfId="8161" xr:uid="{00000000-0005-0000-0000-00001E1E0000}"/>
    <cellStyle name="Input 20 2 4" xfId="8162" xr:uid="{00000000-0005-0000-0000-00001F1E0000}"/>
    <cellStyle name="Input 20 2 4 2" xfId="8163" xr:uid="{00000000-0005-0000-0000-0000201E0000}"/>
    <cellStyle name="Input 20 2 5" xfId="8164" xr:uid="{00000000-0005-0000-0000-0000211E0000}"/>
    <cellStyle name="Input 20 2 5 2" xfId="8165" xr:uid="{00000000-0005-0000-0000-0000221E0000}"/>
    <cellStyle name="Input 20 2 6" xfId="8166" xr:uid="{00000000-0005-0000-0000-0000231E0000}"/>
    <cellStyle name="Input 20 2 6 2" xfId="8167" xr:uid="{00000000-0005-0000-0000-0000241E0000}"/>
    <cellStyle name="Input 20 2 7" xfId="8168" xr:uid="{00000000-0005-0000-0000-0000251E0000}"/>
    <cellStyle name="Input 20 2 7 2" xfId="8169" xr:uid="{00000000-0005-0000-0000-0000261E0000}"/>
    <cellStyle name="Input 20 2 8" xfId="8170" xr:uid="{00000000-0005-0000-0000-0000271E0000}"/>
    <cellStyle name="Input 20 2 8 2" xfId="8171" xr:uid="{00000000-0005-0000-0000-0000281E0000}"/>
    <cellStyle name="Input 20 2 9" xfId="8172" xr:uid="{00000000-0005-0000-0000-0000291E0000}"/>
    <cellStyle name="Input 20 3" xfId="8173" xr:uid="{00000000-0005-0000-0000-00002A1E0000}"/>
    <cellStyle name="Input 20 3 2" xfId="8174" xr:uid="{00000000-0005-0000-0000-00002B1E0000}"/>
    <cellStyle name="Input 20 4" xfId="8175" xr:uid="{00000000-0005-0000-0000-00002C1E0000}"/>
    <cellStyle name="Input 20 4 2" xfId="8176" xr:uid="{00000000-0005-0000-0000-00002D1E0000}"/>
    <cellStyle name="Input 20 5" xfId="8177" xr:uid="{00000000-0005-0000-0000-00002E1E0000}"/>
    <cellStyle name="Input 20 5 2" xfId="8178" xr:uid="{00000000-0005-0000-0000-00002F1E0000}"/>
    <cellStyle name="Input 20 6" xfId="8179" xr:uid="{00000000-0005-0000-0000-0000301E0000}"/>
    <cellStyle name="Input 20 6 2" xfId="8180" xr:uid="{00000000-0005-0000-0000-0000311E0000}"/>
    <cellStyle name="Input 20 7" xfId="8181" xr:uid="{00000000-0005-0000-0000-0000321E0000}"/>
    <cellStyle name="Input 20 7 2" xfId="8182" xr:uid="{00000000-0005-0000-0000-0000331E0000}"/>
    <cellStyle name="Input 20 8" xfId="8183" xr:uid="{00000000-0005-0000-0000-0000341E0000}"/>
    <cellStyle name="Input 20 8 2" xfId="8184" xr:uid="{00000000-0005-0000-0000-0000351E0000}"/>
    <cellStyle name="Input 20 9" xfId="8185" xr:uid="{00000000-0005-0000-0000-0000361E0000}"/>
    <cellStyle name="Input 20 9 2" xfId="8186" xr:uid="{00000000-0005-0000-0000-0000371E0000}"/>
    <cellStyle name="Input 21" xfId="1721" xr:uid="{00000000-0005-0000-0000-0000381E0000}"/>
    <cellStyle name="Input 21 10" xfId="8187" xr:uid="{00000000-0005-0000-0000-0000391E0000}"/>
    <cellStyle name="Input 21 2" xfId="8188" xr:uid="{00000000-0005-0000-0000-00003A1E0000}"/>
    <cellStyle name="Input 21 2 2" xfId="8189" xr:uid="{00000000-0005-0000-0000-00003B1E0000}"/>
    <cellStyle name="Input 21 2 2 2" xfId="8190" xr:uid="{00000000-0005-0000-0000-00003C1E0000}"/>
    <cellStyle name="Input 21 2 3" xfId="8191" xr:uid="{00000000-0005-0000-0000-00003D1E0000}"/>
    <cellStyle name="Input 21 2 3 2" xfId="8192" xr:uid="{00000000-0005-0000-0000-00003E1E0000}"/>
    <cellStyle name="Input 21 2 4" xfId="8193" xr:uid="{00000000-0005-0000-0000-00003F1E0000}"/>
    <cellStyle name="Input 21 2 4 2" xfId="8194" xr:uid="{00000000-0005-0000-0000-0000401E0000}"/>
    <cellStyle name="Input 21 2 5" xfId="8195" xr:uid="{00000000-0005-0000-0000-0000411E0000}"/>
    <cellStyle name="Input 21 2 5 2" xfId="8196" xr:uid="{00000000-0005-0000-0000-0000421E0000}"/>
    <cellStyle name="Input 21 2 6" xfId="8197" xr:uid="{00000000-0005-0000-0000-0000431E0000}"/>
    <cellStyle name="Input 21 2 6 2" xfId="8198" xr:uid="{00000000-0005-0000-0000-0000441E0000}"/>
    <cellStyle name="Input 21 2 7" xfId="8199" xr:uid="{00000000-0005-0000-0000-0000451E0000}"/>
    <cellStyle name="Input 21 2 7 2" xfId="8200" xr:uid="{00000000-0005-0000-0000-0000461E0000}"/>
    <cellStyle name="Input 21 2 8" xfId="8201" xr:uid="{00000000-0005-0000-0000-0000471E0000}"/>
    <cellStyle name="Input 21 2 8 2" xfId="8202" xr:uid="{00000000-0005-0000-0000-0000481E0000}"/>
    <cellStyle name="Input 21 2 9" xfId="8203" xr:uid="{00000000-0005-0000-0000-0000491E0000}"/>
    <cellStyle name="Input 21 3" xfId="8204" xr:uid="{00000000-0005-0000-0000-00004A1E0000}"/>
    <cellStyle name="Input 21 3 2" xfId="8205" xr:uid="{00000000-0005-0000-0000-00004B1E0000}"/>
    <cellStyle name="Input 21 4" xfId="8206" xr:uid="{00000000-0005-0000-0000-00004C1E0000}"/>
    <cellStyle name="Input 21 4 2" xfId="8207" xr:uid="{00000000-0005-0000-0000-00004D1E0000}"/>
    <cellStyle name="Input 21 5" xfId="8208" xr:uid="{00000000-0005-0000-0000-00004E1E0000}"/>
    <cellStyle name="Input 21 5 2" xfId="8209" xr:uid="{00000000-0005-0000-0000-00004F1E0000}"/>
    <cellStyle name="Input 21 6" xfId="8210" xr:uid="{00000000-0005-0000-0000-0000501E0000}"/>
    <cellStyle name="Input 21 6 2" xfId="8211" xr:uid="{00000000-0005-0000-0000-0000511E0000}"/>
    <cellStyle name="Input 21 7" xfId="8212" xr:uid="{00000000-0005-0000-0000-0000521E0000}"/>
    <cellStyle name="Input 21 7 2" xfId="8213" xr:uid="{00000000-0005-0000-0000-0000531E0000}"/>
    <cellStyle name="Input 21 8" xfId="8214" xr:uid="{00000000-0005-0000-0000-0000541E0000}"/>
    <cellStyle name="Input 21 8 2" xfId="8215" xr:uid="{00000000-0005-0000-0000-0000551E0000}"/>
    <cellStyle name="Input 21 9" xfId="8216" xr:uid="{00000000-0005-0000-0000-0000561E0000}"/>
    <cellStyle name="Input 21 9 2" xfId="8217" xr:uid="{00000000-0005-0000-0000-0000571E0000}"/>
    <cellStyle name="Input 22" xfId="1722" xr:uid="{00000000-0005-0000-0000-0000581E0000}"/>
    <cellStyle name="Input 22 2" xfId="8218" xr:uid="{00000000-0005-0000-0000-0000591E0000}"/>
    <cellStyle name="Input 22 2 2" xfId="8219" xr:uid="{00000000-0005-0000-0000-00005A1E0000}"/>
    <cellStyle name="Input 22 3" xfId="8220" xr:uid="{00000000-0005-0000-0000-00005B1E0000}"/>
    <cellStyle name="Input 22 3 2" xfId="8221" xr:uid="{00000000-0005-0000-0000-00005C1E0000}"/>
    <cellStyle name="Input 22 4" xfId="8222" xr:uid="{00000000-0005-0000-0000-00005D1E0000}"/>
    <cellStyle name="Input 22 4 2" xfId="8223" xr:uid="{00000000-0005-0000-0000-00005E1E0000}"/>
    <cellStyle name="Input 22 5" xfId="8224" xr:uid="{00000000-0005-0000-0000-00005F1E0000}"/>
    <cellStyle name="Input 22 5 2" xfId="8225" xr:uid="{00000000-0005-0000-0000-0000601E0000}"/>
    <cellStyle name="Input 22 6" xfId="8226" xr:uid="{00000000-0005-0000-0000-0000611E0000}"/>
    <cellStyle name="Input 22 6 2" xfId="8227" xr:uid="{00000000-0005-0000-0000-0000621E0000}"/>
    <cellStyle name="Input 22 7" xfId="8228" xr:uid="{00000000-0005-0000-0000-0000631E0000}"/>
    <cellStyle name="Input 22 7 2" xfId="8229" xr:uid="{00000000-0005-0000-0000-0000641E0000}"/>
    <cellStyle name="Input 22 8" xfId="8230" xr:uid="{00000000-0005-0000-0000-0000651E0000}"/>
    <cellStyle name="Input 22 8 2" xfId="8231" xr:uid="{00000000-0005-0000-0000-0000661E0000}"/>
    <cellStyle name="Input 22 9" xfId="8232" xr:uid="{00000000-0005-0000-0000-0000671E0000}"/>
    <cellStyle name="Input 3" xfId="1723" xr:uid="{00000000-0005-0000-0000-0000681E0000}"/>
    <cellStyle name="Input 3 10" xfId="8233" xr:uid="{00000000-0005-0000-0000-0000691E0000}"/>
    <cellStyle name="Input 3 11" xfId="8234" xr:uid="{00000000-0005-0000-0000-00006A1E0000}"/>
    <cellStyle name="Input 3 2" xfId="8235" xr:uid="{00000000-0005-0000-0000-00006B1E0000}"/>
    <cellStyle name="Input 3 2 10" xfId="8236" xr:uid="{00000000-0005-0000-0000-00006C1E0000}"/>
    <cellStyle name="Input 3 2 2" xfId="8237" xr:uid="{00000000-0005-0000-0000-00006D1E0000}"/>
    <cellStyle name="Input 3 2 2 2" xfId="8238" xr:uid="{00000000-0005-0000-0000-00006E1E0000}"/>
    <cellStyle name="Input 3 2 3" xfId="8239" xr:uid="{00000000-0005-0000-0000-00006F1E0000}"/>
    <cellStyle name="Input 3 2 3 2" xfId="8240" xr:uid="{00000000-0005-0000-0000-0000701E0000}"/>
    <cellStyle name="Input 3 2 4" xfId="8241" xr:uid="{00000000-0005-0000-0000-0000711E0000}"/>
    <cellStyle name="Input 3 2 4 2" xfId="8242" xr:uid="{00000000-0005-0000-0000-0000721E0000}"/>
    <cellStyle name="Input 3 2 5" xfId="8243" xr:uid="{00000000-0005-0000-0000-0000731E0000}"/>
    <cellStyle name="Input 3 2 5 2" xfId="8244" xr:uid="{00000000-0005-0000-0000-0000741E0000}"/>
    <cellStyle name="Input 3 2 6" xfId="8245" xr:uid="{00000000-0005-0000-0000-0000751E0000}"/>
    <cellStyle name="Input 3 2 6 2" xfId="8246" xr:uid="{00000000-0005-0000-0000-0000761E0000}"/>
    <cellStyle name="Input 3 2 7" xfId="8247" xr:uid="{00000000-0005-0000-0000-0000771E0000}"/>
    <cellStyle name="Input 3 2 7 2" xfId="8248" xr:uid="{00000000-0005-0000-0000-0000781E0000}"/>
    <cellStyle name="Input 3 2 8" xfId="8249" xr:uid="{00000000-0005-0000-0000-0000791E0000}"/>
    <cellStyle name="Input 3 2 8 2" xfId="8250" xr:uid="{00000000-0005-0000-0000-00007A1E0000}"/>
    <cellStyle name="Input 3 2 9" xfId="8251" xr:uid="{00000000-0005-0000-0000-00007B1E0000}"/>
    <cellStyle name="Input 3 3" xfId="8252" xr:uid="{00000000-0005-0000-0000-00007C1E0000}"/>
    <cellStyle name="Input 3 3 2" xfId="8253" xr:uid="{00000000-0005-0000-0000-00007D1E0000}"/>
    <cellStyle name="Input 3 4" xfId="8254" xr:uid="{00000000-0005-0000-0000-00007E1E0000}"/>
    <cellStyle name="Input 3 4 2" xfId="8255" xr:uid="{00000000-0005-0000-0000-00007F1E0000}"/>
    <cellStyle name="Input 3 5" xfId="8256" xr:uid="{00000000-0005-0000-0000-0000801E0000}"/>
    <cellStyle name="Input 3 5 2" xfId="8257" xr:uid="{00000000-0005-0000-0000-0000811E0000}"/>
    <cellStyle name="Input 3 6" xfId="8258" xr:uid="{00000000-0005-0000-0000-0000821E0000}"/>
    <cellStyle name="Input 3 6 2" xfId="8259" xr:uid="{00000000-0005-0000-0000-0000831E0000}"/>
    <cellStyle name="Input 3 7" xfId="8260" xr:uid="{00000000-0005-0000-0000-0000841E0000}"/>
    <cellStyle name="Input 3 7 2" xfId="8261" xr:uid="{00000000-0005-0000-0000-0000851E0000}"/>
    <cellStyle name="Input 3 8" xfId="8262" xr:uid="{00000000-0005-0000-0000-0000861E0000}"/>
    <cellStyle name="Input 3 8 2" xfId="8263" xr:uid="{00000000-0005-0000-0000-0000871E0000}"/>
    <cellStyle name="Input 3 9" xfId="8264" xr:uid="{00000000-0005-0000-0000-0000881E0000}"/>
    <cellStyle name="Input 3 9 2" xfId="8265" xr:uid="{00000000-0005-0000-0000-0000891E0000}"/>
    <cellStyle name="Input 4" xfId="1724" xr:uid="{00000000-0005-0000-0000-00008A1E0000}"/>
    <cellStyle name="Input 4 10" xfId="8266" xr:uid="{00000000-0005-0000-0000-00008B1E0000}"/>
    <cellStyle name="Input 4 11" xfId="8267" xr:uid="{00000000-0005-0000-0000-00008C1E0000}"/>
    <cellStyle name="Input 4 12" xfId="8268" xr:uid="{00000000-0005-0000-0000-00008D1E0000}"/>
    <cellStyle name="Input 4 2" xfId="8269" xr:uid="{00000000-0005-0000-0000-00008E1E0000}"/>
    <cellStyle name="Input 4 2 2" xfId="8270" xr:uid="{00000000-0005-0000-0000-00008F1E0000}"/>
    <cellStyle name="Input 4 2 2 2" xfId="8271" xr:uid="{00000000-0005-0000-0000-0000901E0000}"/>
    <cellStyle name="Input 4 2 3" xfId="8272" xr:uid="{00000000-0005-0000-0000-0000911E0000}"/>
    <cellStyle name="Input 4 2 3 2" xfId="8273" xr:uid="{00000000-0005-0000-0000-0000921E0000}"/>
    <cellStyle name="Input 4 2 4" xfId="8274" xr:uid="{00000000-0005-0000-0000-0000931E0000}"/>
    <cellStyle name="Input 4 2 4 2" xfId="8275" xr:uid="{00000000-0005-0000-0000-0000941E0000}"/>
    <cellStyle name="Input 4 2 5" xfId="8276" xr:uid="{00000000-0005-0000-0000-0000951E0000}"/>
    <cellStyle name="Input 4 2 5 2" xfId="8277" xr:uid="{00000000-0005-0000-0000-0000961E0000}"/>
    <cellStyle name="Input 4 2 6" xfId="8278" xr:uid="{00000000-0005-0000-0000-0000971E0000}"/>
    <cellStyle name="Input 4 2 6 2" xfId="8279" xr:uid="{00000000-0005-0000-0000-0000981E0000}"/>
    <cellStyle name="Input 4 2 7" xfId="8280" xr:uid="{00000000-0005-0000-0000-0000991E0000}"/>
    <cellStyle name="Input 4 2 7 2" xfId="8281" xr:uid="{00000000-0005-0000-0000-00009A1E0000}"/>
    <cellStyle name="Input 4 2 8" xfId="8282" xr:uid="{00000000-0005-0000-0000-00009B1E0000}"/>
    <cellStyle name="Input 4 2 8 2" xfId="8283" xr:uid="{00000000-0005-0000-0000-00009C1E0000}"/>
    <cellStyle name="Input 4 2 9" xfId="8284" xr:uid="{00000000-0005-0000-0000-00009D1E0000}"/>
    <cellStyle name="Input 4 3" xfId="8285" xr:uid="{00000000-0005-0000-0000-00009E1E0000}"/>
    <cellStyle name="Input 4 3 2" xfId="8286" xr:uid="{00000000-0005-0000-0000-00009F1E0000}"/>
    <cellStyle name="Input 4 4" xfId="8287" xr:uid="{00000000-0005-0000-0000-0000A01E0000}"/>
    <cellStyle name="Input 4 4 2" xfId="8288" xr:uid="{00000000-0005-0000-0000-0000A11E0000}"/>
    <cellStyle name="Input 4 5" xfId="8289" xr:uid="{00000000-0005-0000-0000-0000A21E0000}"/>
    <cellStyle name="Input 4 5 2" xfId="8290" xr:uid="{00000000-0005-0000-0000-0000A31E0000}"/>
    <cellStyle name="Input 4 6" xfId="8291" xr:uid="{00000000-0005-0000-0000-0000A41E0000}"/>
    <cellStyle name="Input 4 6 2" xfId="8292" xr:uid="{00000000-0005-0000-0000-0000A51E0000}"/>
    <cellStyle name="Input 4 7" xfId="8293" xr:uid="{00000000-0005-0000-0000-0000A61E0000}"/>
    <cellStyle name="Input 4 7 2" xfId="8294" xr:uid="{00000000-0005-0000-0000-0000A71E0000}"/>
    <cellStyle name="Input 4 8" xfId="8295" xr:uid="{00000000-0005-0000-0000-0000A81E0000}"/>
    <cellStyle name="Input 4 8 2" xfId="8296" xr:uid="{00000000-0005-0000-0000-0000A91E0000}"/>
    <cellStyle name="Input 4 9" xfId="8297" xr:uid="{00000000-0005-0000-0000-0000AA1E0000}"/>
    <cellStyle name="Input 4 9 2" xfId="8298" xr:uid="{00000000-0005-0000-0000-0000AB1E0000}"/>
    <cellStyle name="Input 5" xfId="1725" xr:uid="{00000000-0005-0000-0000-0000AC1E0000}"/>
    <cellStyle name="Input 5 10" xfId="8299" xr:uid="{00000000-0005-0000-0000-0000AD1E0000}"/>
    <cellStyle name="Input 5 11" xfId="8300" xr:uid="{00000000-0005-0000-0000-0000AE1E0000}"/>
    <cellStyle name="Input 5 12" xfId="8301" xr:uid="{00000000-0005-0000-0000-0000AF1E0000}"/>
    <cellStyle name="Input 5 2" xfId="8302" xr:uid="{00000000-0005-0000-0000-0000B01E0000}"/>
    <cellStyle name="Input 5 2 2" xfId="8303" xr:uid="{00000000-0005-0000-0000-0000B11E0000}"/>
    <cellStyle name="Input 5 2 2 2" xfId="8304" xr:uid="{00000000-0005-0000-0000-0000B21E0000}"/>
    <cellStyle name="Input 5 2 3" xfId="8305" xr:uid="{00000000-0005-0000-0000-0000B31E0000}"/>
    <cellStyle name="Input 5 2 3 2" xfId="8306" xr:uid="{00000000-0005-0000-0000-0000B41E0000}"/>
    <cellStyle name="Input 5 2 4" xfId="8307" xr:uid="{00000000-0005-0000-0000-0000B51E0000}"/>
    <cellStyle name="Input 5 2 4 2" xfId="8308" xr:uid="{00000000-0005-0000-0000-0000B61E0000}"/>
    <cellStyle name="Input 5 2 5" xfId="8309" xr:uid="{00000000-0005-0000-0000-0000B71E0000}"/>
    <cellStyle name="Input 5 2 5 2" xfId="8310" xr:uid="{00000000-0005-0000-0000-0000B81E0000}"/>
    <cellStyle name="Input 5 2 6" xfId="8311" xr:uid="{00000000-0005-0000-0000-0000B91E0000}"/>
    <cellStyle name="Input 5 2 6 2" xfId="8312" xr:uid="{00000000-0005-0000-0000-0000BA1E0000}"/>
    <cellStyle name="Input 5 2 7" xfId="8313" xr:uid="{00000000-0005-0000-0000-0000BB1E0000}"/>
    <cellStyle name="Input 5 2 7 2" xfId="8314" xr:uid="{00000000-0005-0000-0000-0000BC1E0000}"/>
    <cellStyle name="Input 5 2 8" xfId="8315" xr:uid="{00000000-0005-0000-0000-0000BD1E0000}"/>
    <cellStyle name="Input 5 2 8 2" xfId="8316" xr:uid="{00000000-0005-0000-0000-0000BE1E0000}"/>
    <cellStyle name="Input 5 2 9" xfId="8317" xr:uid="{00000000-0005-0000-0000-0000BF1E0000}"/>
    <cellStyle name="Input 5 3" xfId="8318" xr:uid="{00000000-0005-0000-0000-0000C01E0000}"/>
    <cellStyle name="Input 5 3 2" xfId="8319" xr:uid="{00000000-0005-0000-0000-0000C11E0000}"/>
    <cellStyle name="Input 5 4" xfId="8320" xr:uid="{00000000-0005-0000-0000-0000C21E0000}"/>
    <cellStyle name="Input 5 4 2" xfId="8321" xr:uid="{00000000-0005-0000-0000-0000C31E0000}"/>
    <cellStyle name="Input 5 5" xfId="8322" xr:uid="{00000000-0005-0000-0000-0000C41E0000}"/>
    <cellStyle name="Input 5 5 2" xfId="8323" xr:uid="{00000000-0005-0000-0000-0000C51E0000}"/>
    <cellStyle name="Input 5 6" xfId="8324" xr:uid="{00000000-0005-0000-0000-0000C61E0000}"/>
    <cellStyle name="Input 5 6 2" xfId="8325" xr:uid="{00000000-0005-0000-0000-0000C71E0000}"/>
    <cellStyle name="Input 5 7" xfId="8326" xr:uid="{00000000-0005-0000-0000-0000C81E0000}"/>
    <cellStyle name="Input 5 7 2" xfId="8327" xr:uid="{00000000-0005-0000-0000-0000C91E0000}"/>
    <cellStyle name="Input 5 8" xfId="8328" xr:uid="{00000000-0005-0000-0000-0000CA1E0000}"/>
    <cellStyle name="Input 5 8 2" xfId="8329" xr:uid="{00000000-0005-0000-0000-0000CB1E0000}"/>
    <cellStyle name="Input 5 9" xfId="8330" xr:uid="{00000000-0005-0000-0000-0000CC1E0000}"/>
    <cellStyle name="Input 5 9 2" xfId="8331" xr:uid="{00000000-0005-0000-0000-0000CD1E0000}"/>
    <cellStyle name="Input 6" xfId="1726" xr:uid="{00000000-0005-0000-0000-0000CE1E0000}"/>
    <cellStyle name="Input 6 10" xfId="8332" xr:uid="{00000000-0005-0000-0000-0000CF1E0000}"/>
    <cellStyle name="Input 6 11" xfId="8333" xr:uid="{00000000-0005-0000-0000-0000D01E0000}"/>
    <cellStyle name="Input 6 12" xfId="8334" xr:uid="{00000000-0005-0000-0000-0000D11E0000}"/>
    <cellStyle name="Input 6 2" xfId="8335" xr:uid="{00000000-0005-0000-0000-0000D21E0000}"/>
    <cellStyle name="Input 6 2 2" xfId="8336" xr:uid="{00000000-0005-0000-0000-0000D31E0000}"/>
    <cellStyle name="Input 6 2 2 2" xfId="8337" xr:uid="{00000000-0005-0000-0000-0000D41E0000}"/>
    <cellStyle name="Input 6 2 3" xfId="8338" xr:uid="{00000000-0005-0000-0000-0000D51E0000}"/>
    <cellStyle name="Input 6 2 3 2" xfId="8339" xr:uid="{00000000-0005-0000-0000-0000D61E0000}"/>
    <cellStyle name="Input 6 2 4" xfId="8340" xr:uid="{00000000-0005-0000-0000-0000D71E0000}"/>
    <cellStyle name="Input 6 2 4 2" xfId="8341" xr:uid="{00000000-0005-0000-0000-0000D81E0000}"/>
    <cellStyle name="Input 6 2 5" xfId="8342" xr:uid="{00000000-0005-0000-0000-0000D91E0000}"/>
    <cellStyle name="Input 6 2 5 2" xfId="8343" xr:uid="{00000000-0005-0000-0000-0000DA1E0000}"/>
    <cellStyle name="Input 6 2 6" xfId="8344" xr:uid="{00000000-0005-0000-0000-0000DB1E0000}"/>
    <cellStyle name="Input 6 2 6 2" xfId="8345" xr:uid="{00000000-0005-0000-0000-0000DC1E0000}"/>
    <cellStyle name="Input 6 2 7" xfId="8346" xr:uid="{00000000-0005-0000-0000-0000DD1E0000}"/>
    <cellStyle name="Input 6 2 7 2" xfId="8347" xr:uid="{00000000-0005-0000-0000-0000DE1E0000}"/>
    <cellStyle name="Input 6 2 8" xfId="8348" xr:uid="{00000000-0005-0000-0000-0000DF1E0000}"/>
    <cellStyle name="Input 6 2 8 2" xfId="8349" xr:uid="{00000000-0005-0000-0000-0000E01E0000}"/>
    <cellStyle name="Input 6 2 9" xfId="8350" xr:uid="{00000000-0005-0000-0000-0000E11E0000}"/>
    <cellStyle name="Input 6 3" xfId="8351" xr:uid="{00000000-0005-0000-0000-0000E21E0000}"/>
    <cellStyle name="Input 6 3 2" xfId="8352" xr:uid="{00000000-0005-0000-0000-0000E31E0000}"/>
    <cellStyle name="Input 6 4" xfId="8353" xr:uid="{00000000-0005-0000-0000-0000E41E0000}"/>
    <cellStyle name="Input 6 4 2" xfId="8354" xr:uid="{00000000-0005-0000-0000-0000E51E0000}"/>
    <cellStyle name="Input 6 5" xfId="8355" xr:uid="{00000000-0005-0000-0000-0000E61E0000}"/>
    <cellStyle name="Input 6 5 2" xfId="8356" xr:uid="{00000000-0005-0000-0000-0000E71E0000}"/>
    <cellStyle name="Input 6 6" xfId="8357" xr:uid="{00000000-0005-0000-0000-0000E81E0000}"/>
    <cellStyle name="Input 6 6 2" xfId="8358" xr:uid="{00000000-0005-0000-0000-0000E91E0000}"/>
    <cellStyle name="Input 6 7" xfId="8359" xr:uid="{00000000-0005-0000-0000-0000EA1E0000}"/>
    <cellStyle name="Input 6 7 2" xfId="8360" xr:uid="{00000000-0005-0000-0000-0000EB1E0000}"/>
    <cellStyle name="Input 6 8" xfId="8361" xr:uid="{00000000-0005-0000-0000-0000EC1E0000}"/>
    <cellStyle name="Input 6 8 2" xfId="8362" xr:uid="{00000000-0005-0000-0000-0000ED1E0000}"/>
    <cellStyle name="Input 6 9" xfId="8363" xr:uid="{00000000-0005-0000-0000-0000EE1E0000}"/>
    <cellStyle name="Input 6 9 2" xfId="8364" xr:uid="{00000000-0005-0000-0000-0000EF1E0000}"/>
    <cellStyle name="Input 7" xfId="1727" xr:uid="{00000000-0005-0000-0000-0000F01E0000}"/>
    <cellStyle name="Input 7 10" xfId="8365" xr:uid="{00000000-0005-0000-0000-0000F11E0000}"/>
    <cellStyle name="Input 7 11" xfId="8366" xr:uid="{00000000-0005-0000-0000-0000F21E0000}"/>
    <cellStyle name="Input 7 12" xfId="8367" xr:uid="{00000000-0005-0000-0000-0000F31E0000}"/>
    <cellStyle name="Input 7 2" xfId="8368" xr:uid="{00000000-0005-0000-0000-0000F41E0000}"/>
    <cellStyle name="Input 7 2 2" xfId="8369" xr:uid="{00000000-0005-0000-0000-0000F51E0000}"/>
    <cellStyle name="Input 7 2 2 2" xfId="8370" xr:uid="{00000000-0005-0000-0000-0000F61E0000}"/>
    <cellStyle name="Input 7 2 3" xfId="8371" xr:uid="{00000000-0005-0000-0000-0000F71E0000}"/>
    <cellStyle name="Input 7 2 3 2" xfId="8372" xr:uid="{00000000-0005-0000-0000-0000F81E0000}"/>
    <cellStyle name="Input 7 2 4" xfId="8373" xr:uid="{00000000-0005-0000-0000-0000F91E0000}"/>
    <cellStyle name="Input 7 2 4 2" xfId="8374" xr:uid="{00000000-0005-0000-0000-0000FA1E0000}"/>
    <cellStyle name="Input 7 2 5" xfId="8375" xr:uid="{00000000-0005-0000-0000-0000FB1E0000}"/>
    <cellStyle name="Input 7 2 5 2" xfId="8376" xr:uid="{00000000-0005-0000-0000-0000FC1E0000}"/>
    <cellStyle name="Input 7 2 6" xfId="8377" xr:uid="{00000000-0005-0000-0000-0000FD1E0000}"/>
    <cellStyle name="Input 7 2 6 2" xfId="8378" xr:uid="{00000000-0005-0000-0000-0000FE1E0000}"/>
    <cellStyle name="Input 7 2 7" xfId="8379" xr:uid="{00000000-0005-0000-0000-0000FF1E0000}"/>
    <cellStyle name="Input 7 2 7 2" xfId="8380" xr:uid="{00000000-0005-0000-0000-0000001F0000}"/>
    <cellStyle name="Input 7 2 8" xfId="8381" xr:uid="{00000000-0005-0000-0000-0000011F0000}"/>
    <cellStyle name="Input 7 2 8 2" xfId="8382" xr:uid="{00000000-0005-0000-0000-0000021F0000}"/>
    <cellStyle name="Input 7 2 9" xfId="8383" xr:uid="{00000000-0005-0000-0000-0000031F0000}"/>
    <cellStyle name="Input 7 3" xfId="8384" xr:uid="{00000000-0005-0000-0000-0000041F0000}"/>
    <cellStyle name="Input 7 3 2" xfId="8385" xr:uid="{00000000-0005-0000-0000-0000051F0000}"/>
    <cellStyle name="Input 7 4" xfId="8386" xr:uid="{00000000-0005-0000-0000-0000061F0000}"/>
    <cellStyle name="Input 7 4 2" xfId="8387" xr:uid="{00000000-0005-0000-0000-0000071F0000}"/>
    <cellStyle name="Input 7 5" xfId="8388" xr:uid="{00000000-0005-0000-0000-0000081F0000}"/>
    <cellStyle name="Input 7 5 2" xfId="8389" xr:uid="{00000000-0005-0000-0000-0000091F0000}"/>
    <cellStyle name="Input 7 6" xfId="8390" xr:uid="{00000000-0005-0000-0000-00000A1F0000}"/>
    <cellStyle name="Input 7 6 2" xfId="8391" xr:uid="{00000000-0005-0000-0000-00000B1F0000}"/>
    <cellStyle name="Input 7 7" xfId="8392" xr:uid="{00000000-0005-0000-0000-00000C1F0000}"/>
    <cellStyle name="Input 7 7 2" xfId="8393" xr:uid="{00000000-0005-0000-0000-00000D1F0000}"/>
    <cellStyle name="Input 7 8" xfId="8394" xr:uid="{00000000-0005-0000-0000-00000E1F0000}"/>
    <cellStyle name="Input 7 8 2" xfId="8395" xr:uid="{00000000-0005-0000-0000-00000F1F0000}"/>
    <cellStyle name="Input 7 9" xfId="8396" xr:uid="{00000000-0005-0000-0000-0000101F0000}"/>
    <cellStyle name="Input 7 9 2" xfId="8397" xr:uid="{00000000-0005-0000-0000-0000111F0000}"/>
    <cellStyle name="Input 8" xfId="1728" xr:uid="{00000000-0005-0000-0000-0000121F0000}"/>
    <cellStyle name="Input 8 10" xfId="8398" xr:uid="{00000000-0005-0000-0000-0000131F0000}"/>
    <cellStyle name="Input 8 11" xfId="8399" xr:uid="{00000000-0005-0000-0000-0000141F0000}"/>
    <cellStyle name="Input 8 12" xfId="8400" xr:uid="{00000000-0005-0000-0000-0000151F0000}"/>
    <cellStyle name="Input 8 2" xfId="8401" xr:uid="{00000000-0005-0000-0000-0000161F0000}"/>
    <cellStyle name="Input 8 2 2" xfId="8402" xr:uid="{00000000-0005-0000-0000-0000171F0000}"/>
    <cellStyle name="Input 8 2 2 2" xfId="8403" xr:uid="{00000000-0005-0000-0000-0000181F0000}"/>
    <cellStyle name="Input 8 2 3" xfId="8404" xr:uid="{00000000-0005-0000-0000-0000191F0000}"/>
    <cellStyle name="Input 8 2 3 2" xfId="8405" xr:uid="{00000000-0005-0000-0000-00001A1F0000}"/>
    <cellStyle name="Input 8 2 4" xfId="8406" xr:uid="{00000000-0005-0000-0000-00001B1F0000}"/>
    <cellStyle name="Input 8 2 4 2" xfId="8407" xr:uid="{00000000-0005-0000-0000-00001C1F0000}"/>
    <cellStyle name="Input 8 2 5" xfId="8408" xr:uid="{00000000-0005-0000-0000-00001D1F0000}"/>
    <cellStyle name="Input 8 2 5 2" xfId="8409" xr:uid="{00000000-0005-0000-0000-00001E1F0000}"/>
    <cellStyle name="Input 8 2 6" xfId="8410" xr:uid="{00000000-0005-0000-0000-00001F1F0000}"/>
    <cellStyle name="Input 8 2 6 2" xfId="8411" xr:uid="{00000000-0005-0000-0000-0000201F0000}"/>
    <cellStyle name="Input 8 2 7" xfId="8412" xr:uid="{00000000-0005-0000-0000-0000211F0000}"/>
    <cellStyle name="Input 8 2 7 2" xfId="8413" xr:uid="{00000000-0005-0000-0000-0000221F0000}"/>
    <cellStyle name="Input 8 2 8" xfId="8414" xr:uid="{00000000-0005-0000-0000-0000231F0000}"/>
    <cellStyle name="Input 8 2 8 2" xfId="8415" xr:uid="{00000000-0005-0000-0000-0000241F0000}"/>
    <cellStyle name="Input 8 2 9" xfId="8416" xr:uid="{00000000-0005-0000-0000-0000251F0000}"/>
    <cellStyle name="Input 8 3" xfId="8417" xr:uid="{00000000-0005-0000-0000-0000261F0000}"/>
    <cellStyle name="Input 8 3 2" xfId="8418" xr:uid="{00000000-0005-0000-0000-0000271F0000}"/>
    <cellStyle name="Input 8 4" xfId="8419" xr:uid="{00000000-0005-0000-0000-0000281F0000}"/>
    <cellStyle name="Input 8 4 2" xfId="8420" xr:uid="{00000000-0005-0000-0000-0000291F0000}"/>
    <cellStyle name="Input 8 5" xfId="8421" xr:uid="{00000000-0005-0000-0000-00002A1F0000}"/>
    <cellStyle name="Input 8 5 2" xfId="8422" xr:uid="{00000000-0005-0000-0000-00002B1F0000}"/>
    <cellStyle name="Input 8 6" xfId="8423" xr:uid="{00000000-0005-0000-0000-00002C1F0000}"/>
    <cellStyle name="Input 8 6 2" xfId="8424" xr:uid="{00000000-0005-0000-0000-00002D1F0000}"/>
    <cellStyle name="Input 8 7" xfId="8425" xr:uid="{00000000-0005-0000-0000-00002E1F0000}"/>
    <cellStyle name="Input 8 7 2" xfId="8426" xr:uid="{00000000-0005-0000-0000-00002F1F0000}"/>
    <cellStyle name="Input 8 8" xfId="8427" xr:uid="{00000000-0005-0000-0000-0000301F0000}"/>
    <cellStyle name="Input 8 8 2" xfId="8428" xr:uid="{00000000-0005-0000-0000-0000311F0000}"/>
    <cellStyle name="Input 8 9" xfId="8429" xr:uid="{00000000-0005-0000-0000-0000321F0000}"/>
    <cellStyle name="Input 8 9 2" xfId="8430" xr:uid="{00000000-0005-0000-0000-0000331F0000}"/>
    <cellStyle name="Input 9" xfId="1729" xr:uid="{00000000-0005-0000-0000-0000341F0000}"/>
    <cellStyle name="Input 9 10" xfId="8431" xr:uid="{00000000-0005-0000-0000-0000351F0000}"/>
    <cellStyle name="Input 9 11" xfId="8432" xr:uid="{00000000-0005-0000-0000-0000361F0000}"/>
    <cellStyle name="Input 9 12" xfId="8433" xr:uid="{00000000-0005-0000-0000-0000371F0000}"/>
    <cellStyle name="Input 9 2" xfId="8434" xr:uid="{00000000-0005-0000-0000-0000381F0000}"/>
    <cellStyle name="Input 9 2 2" xfId="8435" xr:uid="{00000000-0005-0000-0000-0000391F0000}"/>
    <cellStyle name="Input 9 2 2 2" xfId="8436" xr:uid="{00000000-0005-0000-0000-00003A1F0000}"/>
    <cellStyle name="Input 9 2 3" xfId="8437" xr:uid="{00000000-0005-0000-0000-00003B1F0000}"/>
    <cellStyle name="Input 9 2 3 2" xfId="8438" xr:uid="{00000000-0005-0000-0000-00003C1F0000}"/>
    <cellStyle name="Input 9 2 4" xfId="8439" xr:uid="{00000000-0005-0000-0000-00003D1F0000}"/>
    <cellStyle name="Input 9 2 4 2" xfId="8440" xr:uid="{00000000-0005-0000-0000-00003E1F0000}"/>
    <cellStyle name="Input 9 2 5" xfId="8441" xr:uid="{00000000-0005-0000-0000-00003F1F0000}"/>
    <cellStyle name="Input 9 2 5 2" xfId="8442" xr:uid="{00000000-0005-0000-0000-0000401F0000}"/>
    <cellStyle name="Input 9 2 6" xfId="8443" xr:uid="{00000000-0005-0000-0000-0000411F0000}"/>
    <cellStyle name="Input 9 2 6 2" xfId="8444" xr:uid="{00000000-0005-0000-0000-0000421F0000}"/>
    <cellStyle name="Input 9 2 7" xfId="8445" xr:uid="{00000000-0005-0000-0000-0000431F0000}"/>
    <cellStyle name="Input 9 2 7 2" xfId="8446" xr:uid="{00000000-0005-0000-0000-0000441F0000}"/>
    <cellStyle name="Input 9 2 8" xfId="8447" xr:uid="{00000000-0005-0000-0000-0000451F0000}"/>
    <cellStyle name="Input 9 2 8 2" xfId="8448" xr:uid="{00000000-0005-0000-0000-0000461F0000}"/>
    <cellStyle name="Input 9 2 9" xfId="8449" xr:uid="{00000000-0005-0000-0000-0000471F0000}"/>
    <cellStyle name="Input 9 3" xfId="8450" xr:uid="{00000000-0005-0000-0000-0000481F0000}"/>
    <cellStyle name="Input 9 3 2" xfId="8451" xr:uid="{00000000-0005-0000-0000-0000491F0000}"/>
    <cellStyle name="Input 9 4" xfId="8452" xr:uid="{00000000-0005-0000-0000-00004A1F0000}"/>
    <cellStyle name="Input 9 4 2" xfId="8453" xr:uid="{00000000-0005-0000-0000-00004B1F0000}"/>
    <cellStyle name="Input 9 5" xfId="8454" xr:uid="{00000000-0005-0000-0000-00004C1F0000}"/>
    <cellStyle name="Input 9 5 2" xfId="8455" xr:uid="{00000000-0005-0000-0000-00004D1F0000}"/>
    <cellStyle name="Input 9 6" xfId="8456" xr:uid="{00000000-0005-0000-0000-00004E1F0000}"/>
    <cellStyle name="Input 9 6 2" xfId="8457" xr:uid="{00000000-0005-0000-0000-00004F1F0000}"/>
    <cellStyle name="Input 9 7" xfId="8458" xr:uid="{00000000-0005-0000-0000-0000501F0000}"/>
    <cellStyle name="Input 9 7 2" xfId="8459" xr:uid="{00000000-0005-0000-0000-0000511F0000}"/>
    <cellStyle name="Input 9 8" xfId="8460" xr:uid="{00000000-0005-0000-0000-0000521F0000}"/>
    <cellStyle name="Input 9 8 2" xfId="8461" xr:uid="{00000000-0005-0000-0000-0000531F0000}"/>
    <cellStyle name="Input 9 9" xfId="8462" xr:uid="{00000000-0005-0000-0000-0000541F0000}"/>
    <cellStyle name="Input 9 9 2" xfId="8463" xr:uid="{00000000-0005-0000-0000-0000551F0000}"/>
    <cellStyle name="Labels - Style3" xfId="8464" xr:uid="{00000000-0005-0000-0000-0000561F0000}"/>
    <cellStyle name="LineItemPrompt" xfId="22" xr:uid="{00000000-0005-0000-0000-0000571F0000}"/>
    <cellStyle name="LineItemPrompt 2" xfId="8466" xr:uid="{00000000-0005-0000-0000-0000581F0000}"/>
    <cellStyle name="LineItemPrompt 2 2" xfId="8467" xr:uid="{00000000-0005-0000-0000-0000591F0000}"/>
    <cellStyle name="LineItemPrompt 2 3" xfId="8468" xr:uid="{00000000-0005-0000-0000-00005A1F0000}"/>
    <cellStyle name="LineItemPrompt 3" xfId="8469" xr:uid="{00000000-0005-0000-0000-00005B1F0000}"/>
    <cellStyle name="LineItemPrompt 4" xfId="8465" xr:uid="{00000000-0005-0000-0000-00005C1F0000}"/>
    <cellStyle name="LineItemValue" xfId="23" xr:uid="{00000000-0005-0000-0000-00005D1F0000}"/>
    <cellStyle name="LineItemValue 2" xfId="8471" xr:uid="{00000000-0005-0000-0000-00005E1F0000}"/>
    <cellStyle name="LineItemValue 2 2" xfId="8472" xr:uid="{00000000-0005-0000-0000-00005F1F0000}"/>
    <cellStyle name="LineItemValue 2 3" xfId="8473" xr:uid="{00000000-0005-0000-0000-0000601F0000}"/>
    <cellStyle name="LineItemValue 3" xfId="8474" xr:uid="{00000000-0005-0000-0000-0000611F0000}"/>
    <cellStyle name="LineItemValue 4" xfId="8475" xr:uid="{00000000-0005-0000-0000-0000621F0000}"/>
    <cellStyle name="LineItemValue 5" xfId="8470" xr:uid="{00000000-0005-0000-0000-0000631F0000}"/>
    <cellStyle name="Linked Cell" xfId="15172" builtinId="24" customBuiltin="1"/>
    <cellStyle name="Linked Cell 10" xfId="1730" xr:uid="{00000000-0005-0000-0000-0000651F0000}"/>
    <cellStyle name="Linked Cell 11" xfId="1731" xr:uid="{00000000-0005-0000-0000-0000661F0000}"/>
    <cellStyle name="Linked Cell 12" xfId="1732" xr:uid="{00000000-0005-0000-0000-0000671F0000}"/>
    <cellStyle name="Linked Cell 13" xfId="1733" xr:uid="{00000000-0005-0000-0000-0000681F0000}"/>
    <cellStyle name="Linked Cell 14" xfId="1734" xr:uid="{00000000-0005-0000-0000-0000691F0000}"/>
    <cellStyle name="Linked Cell 15" xfId="1735" xr:uid="{00000000-0005-0000-0000-00006A1F0000}"/>
    <cellStyle name="Linked Cell 16" xfId="1736" xr:uid="{00000000-0005-0000-0000-00006B1F0000}"/>
    <cellStyle name="Linked Cell 17" xfId="1737" xr:uid="{00000000-0005-0000-0000-00006C1F0000}"/>
    <cellStyle name="Linked Cell 17 2" xfId="8476" xr:uid="{00000000-0005-0000-0000-00006D1F0000}"/>
    <cellStyle name="Linked Cell 18" xfId="1738" xr:uid="{00000000-0005-0000-0000-00006E1F0000}"/>
    <cellStyle name="Linked Cell 19" xfId="1739" xr:uid="{00000000-0005-0000-0000-00006F1F0000}"/>
    <cellStyle name="Linked Cell 2" xfId="1740" xr:uid="{00000000-0005-0000-0000-0000701F0000}"/>
    <cellStyle name="Linked Cell 2 2" xfId="1741" xr:uid="{00000000-0005-0000-0000-0000711F0000}"/>
    <cellStyle name="Linked Cell 2 2 2" xfId="1742" xr:uid="{00000000-0005-0000-0000-0000721F0000}"/>
    <cellStyle name="Linked Cell 2 2 2 2" xfId="1743" xr:uid="{00000000-0005-0000-0000-0000731F0000}"/>
    <cellStyle name="Linked Cell 2 2 2 3" xfId="1744" xr:uid="{00000000-0005-0000-0000-0000741F0000}"/>
    <cellStyle name="Linked Cell 2 2 2 4" xfId="1745" xr:uid="{00000000-0005-0000-0000-0000751F0000}"/>
    <cellStyle name="Linked Cell 2 2 2 5" xfId="1746" xr:uid="{00000000-0005-0000-0000-0000761F0000}"/>
    <cellStyle name="Linked Cell 2 2 3" xfId="1747" xr:uid="{00000000-0005-0000-0000-0000771F0000}"/>
    <cellStyle name="Linked Cell 2 2 4" xfId="1748" xr:uid="{00000000-0005-0000-0000-0000781F0000}"/>
    <cellStyle name="Linked Cell 2 2 5" xfId="1749" xr:uid="{00000000-0005-0000-0000-0000791F0000}"/>
    <cellStyle name="Linked Cell 2 3" xfId="1750" xr:uid="{00000000-0005-0000-0000-00007A1F0000}"/>
    <cellStyle name="Linked Cell 2 4" xfId="1751" xr:uid="{00000000-0005-0000-0000-00007B1F0000}"/>
    <cellStyle name="Linked Cell 2 5" xfId="1752" xr:uid="{00000000-0005-0000-0000-00007C1F0000}"/>
    <cellStyle name="Linked Cell 2 6" xfId="1753" xr:uid="{00000000-0005-0000-0000-00007D1F0000}"/>
    <cellStyle name="Linked Cell 2 7" xfId="1754" xr:uid="{00000000-0005-0000-0000-00007E1F0000}"/>
    <cellStyle name="Linked Cell 2 8" xfId="1755" xr:uid="{00000000-0005-0000-0000-00007F1F0000}"/>
    <cellStyle name="Linked Cell 2 9" xfId="1756" xr:uid="{00000000-0005-0000-0000-0000801F0000}"/>
    <cellStyle name="Linked Cell 20" xfId="1757" xr:uid="{00000000-0005-0000-0000-0000811F0000}"/>
    <cellStyle name="Linked Cell 21" xfId="1758" xr:uid="{00000000-0005-0000-0000-0000821F0000}"/>
    <cellStyle name="Linked Cell 22" xfId="1759" xr:uid="{00000000-0005-0000-0000-0000831F0000}"/>
    <cellStyle name="Linked Cell 3" xfId="1760" xr:uid="{00000000-0005-0000-0000-0000841F0000}"/>
    <cellStyle name="Linked Cell 3 2" xfId="8477" xr:uid="{00000000-0005-0000-0000-0000851F0000}"/>
    <cellStyle name="Linked Cell 4" xfId="1761" xr:uid="{00000000-0005-0000-0000-0000861F0000}"/>
    <cellStyle name="Linked Cell 5" xfId="1762" xr:uid="{00000000-0005-0000-0000-0000871F0000}"/>
    <cellStyle name="Linked Cell 6" xfId="1763" xr:uid="{00000000-0005-0000-0000-0000881F0000}"/>
    <cellStyle name="Linked Cell 7" xfId="1764" xr:uid="{00000000-0005-0000-0000-0000891F0000}"/>
    <cellStyle name="Linked Cell 8" xfId="1765" xr:uid="{00000000-0005-0000-0000-00008A1F0000}"/>
    <cellStyle name="Linked Cell 9" xfId="1766" xr:uid="{00000000-0005-0000-0000-00008B1F0000}"/>
    <cellStyle name="Milliers [0]_EDYAN" xfId="8478" xr:uid="{00000000-0005-0000-0000-00008C1F0000}"/>
    <cellStyle name="Milliers_EDYAN" xfId="8479" xr:uid="{00000000-0005-0000-0000-00008D1F0000}"/>
    <cellStyle name="Monétaire [0]_EDYAN" xfId="8480" xr:uid="{00000000-0005-0000-0000-00008E1F0000}"/>
    <cellStyle name="Monétaire_EDYAN" xfId="8481" xr:uid="{00000000-0005-0000-0000-00008F1F0000}"/>
    <cellStyle name="Neutral 10" xfId="1767" xr:uid="{00000000-0005-0000-0000-0000901F0000}"/>
    <cellStyle name="Neutral 11" xfId="1768" xr:uid="{00000000-0005-0000-0000-0000911F0000}"/>
    <cellStyle name="Neutral 12" xfId="1769" xr:uid="{00000000-0005-0000-0000-0000921F0000}"/>
    <cellStyle name="Neutral 13" xfId="1770" xr:uid="{00000000-0005-0000-0000-0000931F0000}"/>
    <cellStyle name="Neutral 14" xfId="1771" xr:uid="{00000000-0005-0000-0000-0000941F0000}"/>
    <cellStyle name="Neutral 15" xfId="1772" xr:uid="{00000000-0005-0000-0000-0000951F0000}"/>
    <cellStyle name="Neutral 16" xfId="1773" xr:uid="{00000000-0005-0000-0000-0000961F0000}"/>
    <cellStyle name="Neutral 17" xfId="1774" xr:uid="{00000000-0005-0000-0000-0000971F0000}"/>
    <cellStyle name="Neutral 17 2" xfId="8482" xr:uid="{00000000-0005-0000-0000-0000981F0000}"/>
    <cellStyle name="Neutral 18" xfId="1775" xr:uid="{00000000-0005-0000-0000-0000991F0000}"/>
    <cellStyle name="Neutral 19" xfId="1776" xr:uid="{00000000-0005-0000-0000-00009A1F0000}"/>
    <cellStyle name="Neutral 2" xfId="1777" xr:uid="{00000000-0005-0000-0000-00009B1F0000}"/>
    <cellStyle name="Neutral 2 2" xfId="1778" xr:uid="{00000000-0005-0000-0000-00009C1F0000}"/>
    <cellStyle name="Neutral 2 2 2" xfId="1779" xr:uid="{00000000-0005-0000-0000-00009D1F0000}"/>
    <cellStyle name="Neutral 2 2 2 2" xfId="1780" xr:uid="{00000000-0005-0000-0000-00009E1F0000}"/>
    <cellStyle name="Neutral 2 2 2 3" xfId="1781" xr:uid="{00000000-0005-0000-0000-00009F1F0000}"/>
    <cellStyle name="Neutral 2 2 2 4" xfId="1782" xr:uid="{00000000-0005-0000-0000-0000A01F0000}"/>
    <cellStyle name="Neutral 2 2 2 5" xfId="1783" xr:uid="{00000000-0005-0000-0000-0000A11F0000}"/>
    <cellStyle name="Neutral 2 2 3" xfId="1784" xr:uid="{00000000-0005-0000-0000-0000A21F0000}"/>
    <cellStyle name="Neutral 2 2 4" xfId="1785" xr:uid="{00000000-0005-0000-0000-0000A31F0000}"/>
    <cellStyle name="Neutral 2 2 5" xfId="1786" xr:uid="{00000000-0005-0000-0000-0000A41F0000}"/>
    <cellStyle name="Neutral 2 3" xfId="1787" xr:uid="{00000000-0005-0000-0000-0000A51F0000}"/>
    <cellStyle name="Neutral 2 4" xfId="1788" xr:uid="{00000000-0005-0000-0000-0000A61F0000}"/>
    <cellStyle name="Neutral 2 5" xfId="1789" xr:uid="{00000000-0005-0000-0000-0000A71F0000}"/>
    <cellStyle name="Neutral 2 6" xfId="1790" xr:uid="{00000000-0005-0000-0000-0000A81F0000}"/>
    <cellStyle name="Neutral 2 7" xfId="1791" xr:uid="{00000000-0005-0000-0000-0000A91F0000}"/>
    <cellStyle name="Neutral 2 8" xfId="1792" xr:uid="{00000000-0005-0000-0000-0000AA1F0000}"/>
    <cellStyle name="Neutral 2 9" xfId="1793" xr:uid="{00000000-0005-0000-0000-0000AB1F0000}"/>
    <cellStyle name="Neutral 20" xfId="1794" xr:uid="{00000000-0005-0000-0000-0000AC1F0000}"/>
    <cellStyle name="Neutral 21" xfId="1795" xr:uid="{00000000-0005-0000-0000-0000AD1F0000}"/>
    <cellStyle name="Neutral 22" xfId="1796" xr:uid="{00000000-0005-0000-0000-0000AE1F0000}"/>
    <cellStyle name="Neutral 3" xfId="1797" xr:uid="{00000000-0005-0000-0000-0000AF1F0000}"/>
    <cellStyle name="Neutral 3 2" xfId="8483" xr:uid="{00000000-0005-0000-0000-0000B01F0000}"/>
    <cellStyle name="Neutral 4" xfId="1798" xr:uid="{00000000-0005-0000-0000-0000B11F0000}"/>
    <cellStyle name="Neutral 5" xfId="1799" xr:uid="{00000000-0005-0000-0000-0000B21F0000}"/>
    <cellStyle name="Neutral 6" xfId="1800" xr:uid="{00000000-0005-0000-0000-0000B31F0000}"/>
    <cellStyle name="Neutral 7" xfId="1801" xr:uid="{00000000-0005-0000-0000-0000B41F0000}"/>
    <cellStyle name="Neutral 8" xfId="1802" xr:uid="{00000000-0005-0000-0000-0000B51F0000}"/>
    <cellStyle name="Neutral 9" xfId="1803" xr:uid="{00000000-0005-0000-0000-0000B61F0000}"/>
    <cellStyle name="Normal" xfId="0" builtinId="0"/>
    <cellStyle name="Normal - Style1" xfId="8484" xr:uid="{00000000-0005-0000-0000-0000B81F0000}"/>
    <cellStyle name="Normal - Style1 2" xfId="8485" xr:uid="{00000000-0005-0000-0000-0000B91F0000}"/>
    <cellStyle name="Normal - Style2" xfId="8486" xr:uid="{00000000-0005-0000-0000-0000BA1F0000}"/>
    <cellStyle name="Normal - Style3" xfId="8487" xr:uid="{00000000-0005-0000-0000-0000BB1F0000}"/>
    <cellStyle name="Normal - Style4" xfId="8488" xr:uid="{00000000-0005-0000-0000-0000BC1F0000}"/>
    <cellStyle name="Normal - Style5" xfId="8489" xr:uid="{00000000-0005-0000-0000-0000BD1F0000}"/>
    <cellStyle name="Normal - Style6" xfId="8490" xr:uid="{00000000-0005-0000-0000-0000BE1F0000}"/>
    <cellStyle name="Normal - Style7" xfId="8491" xr:uid="{00000000-0005-0000-0000-0000BF1F0000}"/>
    <cellStyle name="Normal - Style8" xfId="8492" xr:uid="{00000000-0005-0000-0000-0000C01F0000}"/>
    <cellStyle name="Normal 10" xfId="1804" xr:uid="{00000000-0005-0000-0000-0000C11F0000}"/>
    <cellStyle name="Normal 10 2" xfId="2153" xr:uid="{00000000-0005-0000-0000-0000C21F0000}"/>
    <cellStyle name="Normal 10 2 2" xfId="8493" xr:uid="{00000000-0005-0000-0000-0000C31F0000}"/>
    <cellStyle name="Normal 10 3" xfId="8494" xr:uid="{00000000-0005-0000-0000-0000C41F0000}"/>
    <cellStyle name="Normal 11" xfId="1805" xr:uid="{00000000-0005-0000-0000-0000C51F0000}"/>
    <cellStyle name="Normal 11 2" xfId="1806" xr:uid="{00000000-0005-0000-0000-0000C61F0000}"/>
    <cellStyle name="Normal 11 2 2" xfId="8495" xr:uid="{00000000-0005-0000-0000-0000C71F0000}"/>
    <cellStyle name="Normal 11 3" xfId="1807" xr:uid="{00000000-0005-0000-0000-0000C81F0000}"/>
    <cellStyle name="Normal 11 4" xfId="1808" xr:uid="{00000000-0005-0000-0000-0000C91F0000}"/>
    <cellStyle name="Normal 11 5" xfId="1809" xr:uid="{00000000-0005-0000-0000-0000CA1F0000}"/>
    <cellStyle name="Normal 12" xfId="1810" xr:uid="{00000000-0005-0000-0000-0000CB1F0000}"/>
    <cellStyle name="Normal 12 2" xfId="8496" xr:uid="{00000000-0005-0000-0000-0000CC1F0000}"/>
    <cellStyle name="Normal 12 2 2" xfId="8497" xr:uid="{00000000-0005-0000-0000-0000CD1F0000}"/>
    <cellStyle name="Normal 12 2 2 2" xfId="8498" xr:uid="{00000000-0005-0000-0000-0000CE1F0000}"/>
    <cellStyle name="Normal 12 2 2 2 2" xfId="8499" xr:uid="{00000000-0005-0000-0000-0000CF1F0000}"/>
    <cellStyle name="Normal 12 2 2 2 2 2" xfId="8500" xr:uid="{00000000-0005-0000-0000-0000D01F0000}"/>
    <cellStyle name="Normal 12 2 2 2 2 2 2" xfId="8501" xr:uid="{00000000-0005-0000-0000-0000D11F0000}"/>
    <cellStyle name="Normal 12 2 2 2 2 3" xfId="8502" xr:uid="{00000000-0005-0000-0000-0000D21F0000}"/>
    <cellStyle name="Normal 12 2 2 2 3" xfId="8503" xr:uid="{00000000-0005-0000-0000-0000D31F0000}"/>
    <cellStyle name="Normal 12 2 2 2 3 2" xfId="8504" xr:uid="{00000000-0005-0000-0000-0000D41F0000}"/>
    <cellStyle name="Normal 12 2 2 2 4" xfId="8505" xr:uid="{00000000-0005-0000-0000-0000D51F0000}"/>
    <cellStyle name="Normal 12 2 2 2 5" xfId="8506" xr:uid="{00000000-0005-0000-0000-0000D61F0000}"/>
    <cellStyle name="Normal 12 2 2 3" xfId="8507" xr:uid="{00000000-0005-0000-0000-0000D71F0000}"/>
    <cellStyle name="Normal 12 2 2 3 2" xfId="8508" xr:uid="{00000000-0005-0000-0000-0000D81F0000}"/>
    <cellStyle name="Normal 12 2 2 3 2 2" xfId="8509" xr:uid="{00000000-0005-0000-0000-0000D91F0000}"/>
    <cellStyle name="Normal 12 2 2 3 3" xfId="8510" xr:uid="{00000000-0005-0000-0000-0000DA1F0000}"/>
    <cellStyle name="Normal 12 2 2 4" xfId="8511" xr:uid="{00000000-0005-0000-0000-0000DB1F0000}"/>
    <cellStyle name="Normal 12 2 2 4 2" xfId="8512" xr:uid="{00000000-0005-0000-0000-0000DC1F0000}"/>
    <cellStyle name="Normal 12 2 2 5" xfId="8513" xr:uid="{00000000-0005-0000-0000-0000DD1F0000}"/>
    <cellStyle name="Normal 12 2 2 6" xfId="8514" xr:uid="{00000000-0005-0000-0000-0000DE1F0000}"/>
    <cellStyle name="Normal 12 2 3" xfId="8515" xr:uid="{00000000-0005-0000-0000-0000DF1F0000}"/>
    <cellStyle name="Normal 12 2 3 2" xfId="8516" xr:uid="{00000000-0005-0000-0000-0000E01F0000}"/>
    <cellStyle name="Normal 12 2 3 2 2" xfId="8517" xr:uid="{00000000-0005-0000-0000-0000E11F0000}"/>
    <cellStyle name="Normal 12 2 3 2 2 2" xfId="8518" xr:uid="{00000000-0005-0000-0000-0000E21F0000}"/>
    <cellStyle name="Normal 12 2 3 2 3" xfId="8519" xr:uid="{00000000-0005-0000-0000-0000E31F0000}"/>
    <cellStyle name="Normal 12 2 3 3" xfId="8520" xr:uid="{00000000-0005-0000-0000-0000E41F0000}"/>
    <cellStyle name="Normal 12 2 3 3 2" xfId="8521" xr:uid="{00000000-0005-0000-0000-0000E51F0000}"/>
    <cellStyle name="Normal 12 2 3 4" xfId="8522" xr:uid="{00000000-0005-0000-0000-0000E61F0000}"/>
    <cellStyle name="Normal 12 2 3 5" xfId="8523" xr:uid="{00000000-0005-0000-0000-0000E71F0000}"/>
    <cellStyle name="Normal 12 2 4" xfId="8524" xr:uid="{00000000-0005-0000-0000-0000E81F0000}"/>
    <cellStyle name="Normal 12 2 4 2" xfId="8525" xr:uid="{00000000-0005-0000-0000-0000E91F0000}"/>
    <cellStyle name="Normal 12 2 4 2 2" xfId="8526" xr:uid="{00000000-0005-0000-0000-0000EA1F0000}"/>
    <cellStyle name="Normal 12 2 4 3" xfId="8527" xr:uid="{00000000-0005-0000-0000-0000EB1F0000}"/>
    <cellStyle name="Normal 12 2 5" xfId="8528" xr:uid="{00000000-0005-0000-0000-0000EC1F0000}"/>
    <cellStyle name="Normal 12 2 5 2" xfId="8529" xr:uid="{00000000-0005-0000-0000-0000ED1F0000}"/>
    <cellStyle name="Normal 12 2 6" xfId="8530" xr:uid="{00000000-0005-0000-0000-0000EE1F0000}"/>
    <cellStyle name="Normal 12 2 7" xfId="8531" xr:uid="{00000000-0005-0000-0000-0000EF1F0000}"/>
    <cellStyle name="Normal 12 3" xfId="8532" xr:uid="{00000000-0005-0000-0000-0000F01F0000}"/>
    <cellStyle name="Normal 12 3 2" xfId="8533" xr:uid="{00000000-0005-0000-0000-0000F11F0000}"/>
    <cellStyle name="Normal 12 3 2 2" xfId="8534" xr:uid="{00000000-0005-0000-0000-0000F21F0000}"/>
    <cellStyle name="Normal 12 3 2 2 2" xfId="8535" xr:uid="{00000000-0005-0000-0000-0000F31F0000}"/>
    <cellStyle name="Normal 12 3 2 2 2 2" xfId="8536" xr:uid="{00000000-0005-0000-0000-0000F41F0000}"/>
    <cellStyle name="Normal 12 3 2 2 3" xfId="8537" xr:uid="{00000000-0005-0000-0000-0000F51F0000}"/>
    <cellStyle name="Normal 12 3 2 3" xfId="8538" xr:uid="{00000000-0005-0000-0000-0000F61F0000}"/>
    <cellStyle name="Normal 12 3 2 3 2" xfId="8539" xr:uid="{00000000-0005-0000-0000-0000F71F0000}"/>
    <cellStyle name="Normal 12 3 2 4" xfId="8540" xr:uid="{00000000-0005-0000-0000-0000F81F0000}"/>
    <cellStyle name="Normal 12 3 3" xfId="8541" xr:uid="{00000000-0005-0000-0000-0000F91F0000}"/>
    <cellStyle name="Normal 12 3 3 2" xfId="8542" xr:uid="{00000000-0005-0000-0000-0000FA1F0000}"/>
    <cellStyle name="Normal 12 3 3 2 2" xfId="8543" xr:uid="{00000000-0005-0000-0000-0000FB1F0000}"/>
    <cellStyle name="Normal 12 3 3 3" xfId="8544" xr:uid="{00000000-0005-0000-0000-0000FC1F0000}"/>
    <cellStyle name="Normal 12 3 4" xfId="8545" xr:uid="{00000000-0005-0000-0000-0000FD1F0000}"/>
    <cellStyle name="Normal 12 3 4 2" xfId="8546" xr:uid="{00000000-0005-0000-0000-0000FE1F0000}"/>
    <cellStyle name="Normal 12 3 5" xfId="8547" xr:uid="{00000000-0005-0000-0000-0000FF1F0000}"/>
    <cellStyle name="Normal 12 3 6" xfId="8548" xr:uid="{00000000-0005-0000-0000-000000200000}"/>
    <cellStyle name="Normal 12 4" xfId="8549" xr:uid="{00000000-0005-0000-0000-000001200000}"/>
    <cellStyle name="Normal 12 4 2" xfId="8550" xr:uid="{00000000-0005-0000-0000-000002200000}"/>
    <cellStyle name="Normal 12 4 2 2" xfId="8551" xr:uid="{00000000-0005-0000-0000-000003200000}"/>
    <cellStyle name="Normal 12 4 2 2 2" xfId="8552" xr:uid="{00000000-0005-0000-0000-000004200000}"/>
    <cellStyle name="Normal 12 4 2 3" xfId="8553" xr:uid="{00000000-0005-0000-0000-000005200000}"/>
    <cellStyle name="Normal 12 4 3" xfId="8554" xr:uid="{00000000-0005-0000-0000-000006200000}"/>
    <cellStyle name="Normal 12 4 3 2" xfId="8555" xr:uid="{00000000-0005-0000-0000-000007200000}"/>
    <cellStyle name="Normal 12 4 4" xfId="8556" xr:uid="{00000000-0005-0000-0000-000008200000}"/>
    <cellStyle name="Normal 12 5" xfId="8557" xr:uid="{00000000-0005-0000-0000-000009200000}"/>
    <cellStyle name="Normal 12 5 2" xfId="8558" xr:uid="{00000000-0005-0000-0000-00000A200000}"/>
    <cellStyle name="Normal 12 5 2 2" xfId="8559" xr:uid="{00000000-0005-0000-0000-00000B200000}"/>
    <cellStyle name="Normal 12 5 3" xfId="8560" xr:uid="{00000000-0005-0000-0000-00000C200000}"/>
    <cellStyle name="Normal 12 6" xfId="8561" xr:uid="{00000000-0005-0000-0000-00000D200000}"/>
    <cellStyle name="Normal 12 6 2" xfId="8562" xr:uid="{00000000-0005-0000-0000-00000E200000}"/>
    <cellStyle name="Normal 12 7" xfId="8563" xr:uid="{00000000-0005-0000-0000-00000F200000}"/>
    <cellStyle name="Normal 12 8" xfId="8564" xr:uid="{00000000-0005-0000-0000-000010200000}"/>
    <cellStyle name="Normal 13" xfId="1811" xr:uid="{00000000-0005-0000-0000-000011200000}"/>
    <cellStyle name="Normal 13 2" xfId="1812" xr:uid="{00000000-0005-0000-0000-000012200000}"/>
    <cellStyle name="Normal 13 2 2" xfId="8565" xr:uid="{00000000-0005-0000-0000-000013200000}"/>
    <cellStyle name="Normal 13 2 3" xfId="8566" xr:uid="{00000000-0005-0000-0000-000014200000}"/>
    <cellStyle name="Normal 13 3" xfId="1813" xr:uid="{00000000-0005-0000-0000-000015200000}"/>
    <cellStyle name="Normal 13 4" xfId="1814" xr:uid="{00000000-0005-0000-0000-000016200000}"/>
    <cellStyle name="Normal 13 5" xfId="1815" xr:uid="{00000000-0005-0000-0000-000017200000}"/>
    <cellStyle name="Normal 14" xfId="1816" xr:uid="{00000000-0005-0000-0000-000018200000}"/>
    <cellStyle name="Normal 14 2" xfId="8567" xr:uid="{00000000-0005-0000-0000-000019200000}"/>
    <cellStyle name="Normal 14 2 2" xfId="8568" xr:uid="{00000000-0005-0000-0000-00001A200000}"/>
    <cellStyle name="Normal 14 2 2 2" xfId="8569" xr:uid="{00000000-0005-0000-0000-00001B200000}"/>
    <cellStyle name="Normal 14 2 2 2 2" xfId="8570" xr:uid="{00000000-0005-0000-0000-00001C200000}"/>
    <cellStyle name="Normal 14 2 2 3" xfId="8571" xr:uid="{00000000-0005-0000-0000-00001D200000}"/>
    <cellStyle name="Normal 14 2 2 4" xfId="8572" xr:uid="{00000000-0005-0000-0000-00001E200000}"/>
    <cellStyle name="Normal 14 2 3" xfId="8573" xr:uid="{00000000-0005-0000-0000-00001F200000}"/>
    <cellStyle name="Normal 14 2 3 2" xfId="8574" xr:uid="{00000000-0005-0000-0000-000020200000}"/>
    <cellStyle name="Normal 14 2 4" xfId="8575" xr:uid="{00000000-0005-0000-0000-000021200000}"/>
    <cellStyle name="Normal 14 2 4 2" xfId="8576" xr:uid="{00000000-0005-0000-0000-000022200000}"/>
    <cellStyle name="Normal 14 2 5" xfId="8577" xr:uid="{00000000-0005-0000-0000-000023200000}"/>
    <cellStyle name="Normal 14 2 6" xfId="8578" xr:uid="{00000000-0005-0000-0000-000024200000}"/>
    <cellStyle name="Normal 14 2 7" xfId="8579" xr:uid="{00000000-0005-0000-0000-000025200000}"/>
    <cellStyle name="Normal 14 3" xfId="8580" xr:uid="{00000000-0005-0000-0000-000026200000}"/>
    <cellStyle name="Normal 14 3 2" xfId="8581" xr:uid="{00000000-0005-0000-0000-000027200000}"/>
    <cellStyle name="Normal 14 3 2 2" xfId="8582" xr:uid="{00000000-0005-0000-0000-000028200000}"/>
    <cellStyle name="Normal 14 3 3" xfId="8583" xr:uid="{00000000-0005-0000-0000-000029200000}"/>
    <cellStyle name="Normal 14 3 4" xfId="8584" xr:uid="{00000000-0005-0000-0000-00002A200000}"/>
    <cellStyle name="Normal 14 4" xfId="8585" xr:uid="{00000000-0005-0000-0000-00002B200000}"/>
    <cellStyle name="Normal 14 4 2" xfId="8586" xr:uid="{00000000-0005-0000-0000-00002C200000}"/>
    <cellStyle name="Normal 14 4 3" xfId="8587" xr:uid="{00000000-0005-0000-0000-00002D200000}"/>
    <cellStyle name="Normal 14 4 4" xfId="8588" xr:uid="{00000000-0005-0000-0000-00002E200000}"/>
    <cellStyle name="Normal 14 5" xfId="8589" xr:uid="{00000000-0005-0000-0000-00002F200000}"/>
    <cellStyle name="Normal 15" xfId="1817" xr:uid="{00000000-0005-0000-0000-000030200000}"/>
    <cellStyle name="Normal 15 2" xfId="8590" xr:uid="{00000000-0005-0000-0000-000031200000}"/>
    <cellStyle name="Normal 15 2 10" xfId="8591" xr:uid="{00000000-0005-0000-0000-000032200000}"/>
    <cellStyle name="Normal 15 2 11" xfId="8592" xr:uid="{00000000-0005-0000-0000-000033200000}"/>
    <cellStyle name="Normal 15 2 2" xfId="8593" xr:uid="{00000000-0005-0000-0000-000034200000}"/>
    <cellStyle name="Normal 15 2 2 2" xfId="8594" xr:uid="{00000000-0005-0000-0000-000035200000}"/>
    <cellStyle name="Normal 15 2 2 2 2" xfId="8595" xr:uid="{00000000-0005-0000-0000-000036200000}"/>
    <cellStyle name="Normal 15 2 2 2 2 2" xfId="8596" xr:uid="{00000000-0005-0000-0000-000037200000}"/>
    <cellStyle name="Normal 15 2 2 2 2 3" xfId="8597" xr:uid="{00000000-0005-0000-0000-000038200000}"/>
    <cellStyle name="Normal 15 2 2 2 3" xfId="8598" xr:uid="{00000000-0005-0000-0000-000039200000}"/>
    <cellStyle name="Normal 15 2 2 2 3 2" xfId="8599" xr:uid="{00000000-0005-0000-0000-00003A200000}"/>
    <cellStyle name="Normal 15 2 2 2 4" xfId="8600" xr:uid="{00000000-0005-0000-0000-00003B200000}"/>
    <cellStyle name="Normal 15 2 2 2 5" xfId="8601" xr:uid="{00000000-0005-0000-0000-00003C200000}"/>
    <cellStyle name="Normal 15 2 2 2 6" xfId="8602" xr:uid="{00000000-0005-0000-0000-00003D200000}"/>
    <cellStyle name="Normal 15 2 2 3" xfId="8603" xr:uid="{00000000-0005-0000-0000-00003E200000}"/>
    <cellStyle name="Normal 15 2 2 3 2" xfId="8604" xr:uid="{00000000-0005-0000-0000-00003F200000}"/>
    <cellStyle name="Normal 15 2 2 3 3" xfId="8605" xr:uid="{00000000-0005-0000-0000-000040200000}"/>
    <cellStyle name="Normal 15 2 2 4" xfId="8606" xr:uid="{00000000-0005-0000-0000-000041200000}"/>
    <cellStyle name="Normal 15 2 2 4 2" xfId="8607" xr:uid="{00000000-0005-0000-0000-000042200000}"/>
    <cellStyle name="Normal 15 2 2 5" xfId="8608" xr:uid="{00000000-0005-0000-0000-000043200000}"/>
    <cellStyle name="Normal 15 2 2 6" xfId="8609" xr:uid="{00000000-0005-0000-0000-000044200000}"/>
    <cellStyle name="Normal 15 2 2 7" xfId="8610" xr:uid="{00000000-0005-0000-0000-000045200000}"/>
    <cellStyle name="Normal 15 2 3" xfId="8611" xr:uid="{00000000-0005-0000-0000-000046200000}"/>
    <cellStyle name="Normal 15 2 3 2" xfId="8612" xr:uid="{00000000-0005-0000-0000-000047200000}"/>
    <cellStyle name="Normal 15 2 3 2 2" xfId="8613" xr:uid="{00000000-0005-0000-0000-000048200000}"/>
    <cellStyle name="Normal 15 2 3 2 2 2" xfId="8614" xr:uid="{00000000-0005-0000-0000-000049200000}"/>
    <cellStyle name="Normal 15 2 3 2 3" xfId="8615" xr:uid="{00000000-0005-0000-0000-00004A200000}"/>
    <cellStyle name="Normal 15 2 3 2 4" xfId="8616" xr:uid="{00000000-0005-0000-0000-00004B200000}"/>
    <cellStyle name="Normal 15 2 3 2 5" xfId="8617" xr:uid="{00000000-0005-0000-0000-00004C200000}"/>
    <cellStyle name="Normal 15 2 3 2 6" xfId="8618" xr:uid="{00000000-0005-0000-0000-00004D200000}"/>
    <cellStyle name="Normal 15 2 3 3" xfId="8619" xr:uid="{00000000-0005-0000-0000-00004E200000}"/>
    <cellStyle name="Normal 15 2 3 3 2" xfId="8620" xr:uid="{00000000-0005-0000-0000-00004F200000}"/>
    <cellStyle name="Normal 15 2 3 4" xfId="8621" xr:uid="{00000000-0005-0000-0000-000050200000}"/>
    <cellStyle name="Normal 15 2 3 5" xfId="8622" xr:uid="{00000000-0005-0000-0000-000051200000}"/>
    <cellStyle name="Normal 15 2 3 6" xfId="8623" xr:uid="{00000000-0005-0000-0000-000052200000}"/>
    <cellStyle name="Normal 15 2 3 7" xfId="8624" xr:uid="{00000000-0005-0000-0000-000053200000}"/>
    <cellStyle name="Normal 15 2 4" xfId="8625" xr:uid="{00000000-0005-0000-0000-000054200000}"/>
    <cellStyle name="Normal 15 2 4 2" xfId="8626" xr:uid="{00000000-0005-0000-0000-000055200000}"/>
    <cellStyle name="Normal 15 2 4 2 2" xfId="8627" xr:uid="{00000000-0005-0000-0000-000056200000}"/>
    <cellStyle name="Normal 15 2 4 3" xfId="8628" xr:uid="{00000000-0005-0000-0000-000057200000}"/>
    <cellStyle name="Normal 15 2 4 4" xfId="8629" xr:uid="{00000000-0005-0000-0000-000058200000}"/>
    <cellStyle name="Normal 15 2 4 5" xfId="8630" xr:uid="{00000000-0005-0000-0000-000059200000}"/>
    <cellStyle name="Normal 15 2 4 6" xfId="8631" xr:uid="{00000000-0005-0000-0000-00005A200000}"/>
    <cellStyle name="Normal 15 2 5" xfId="8632" xr:uid="{00000000-0005-0000-0000-00005B200000}"/>
    <cellStyle name="Normal 15 2 5 2" xfId="8633" xr:uid="{00000000-0005-0000-0000-00005C200000}"/>
    <cellStyle name="Normal 15 2 5 2 2" xfId="8634" xr:uid="{00000000-0005-0000-0000-00005D200000}"/>
    <cellStyle name="Normal 15 2 5 3" xfId="8635" xr:uid="{00000000-0005-0000-0000-00005E200000}"/>
    <cellStyle name="Normal 15 2 5 4" xfId="8636" xr:uid="{00000000-0005-0000-0000-00005F200000}"/>
    <cellStyle name="Normal 15 2 5 5" xfId="8637" xr:uid="{00000000-0005-0000-0000-000060200000}"/>
    <cellStyle name="Normal 15 2 6" xfId="8638" xr:uid="{00000000-0005-0000-0000-000061200000}"/>
    <cellStyle name="Normal 15 2 6 2" xfId="8639" xr:uid="{00000000-0005-0000-0000-000062200000}"/>
    <cellStyle name="Normal 15 2 7" xfId="8640" xr:uid="{00000000-0005-0000-0000-000063200000}"/>
    <cellStyle name="Normal 15 2 8" xfId="8641" xr:uid="{00000000-0005-0000-0000-000064200000}"/>
    <cellStyle name="Normal 15 2 9" xfId="8642" xr:uid="{00000000-0005-0000-0000-000065200000}"/>
    <cellStyle name="Normal 15 3" xfId="8643" xr:uid="{00000000-0005-0000-0000-000066200000}"/>
    <cellStyle name="Normal 15 3 2" xfId="8644" xr:uid="{00000000-0005-0000-0000-000067200000}"/>
    <cellStyle name="Normal 15 3 2 2" xfId="8645" xr:uid="{00000000-0005-0000-0000-000068200000}"/>
    <cellStyle name="Normal 15 3 2 2 2" xfId="8646" xr:uid="{00000000-0005-0000-0000-000069200000}"/>
    <cellStyle name="Normal 15 3 2 2 3" xfId="8647" xr:uid="{00000000-0005-0000-0000-00006A200000}"/>
    <cellStyle name="Normal 15 3 2 3" xfId="8648" xr:uid="{00000000-0005-0000-0000-00006B200000}"/>
    <cellStyle name="Normal 15 3 2 3 2" xfId="8649" xr:uid="{00000000-0005-0000-0000-00006C200000}"/>
    <cellStyle name="Normal 15 3 2 4" xfId="8650" xr:uid="{00000000-0005-0000-0000-00006D200000}"/>
    <cellStyle name="Normal 15 3 2 5" xfId="8651" xr:uid="{00000000-0005-0000-0000-00006E200000}"/>
    <cellStyle name="Normal 15 3 2 6" xfId="8652" xr:uid="{00000000-0005-0000-0000-00006F200000}"/>
    <cellStyle name="Normal 15 3 3" xfId="8653" xr:uid="{00000000-0005-0000-0000-000070200000}"/>
    <cellStyle name="Normal 15 3 3 2" xfId="8654" xr:uid="{00000000-0005-0000-0000-000071200000}"/>
    <cellStyle name="Normal 15 3 3 3" xfId="8655" xr:uid="{00000000-0005-0000-0000-000072200000}"/>
    <cellStyle name="Normal 15 3 4" xfId="8656" xr:uid="{00000000-0005-0000-0000-000073200000}"/>
    <cellStyle name="Normal 15 3 4 2" xfId="8657" xr:uid="{00000000-0005-0000-0000-000074200000}"/>
    <cellStyle name="Normal 15 3 5" xfId="8658" xr:uid="{00000000-0005-0000-0000-000075200000}"/>
    <cellStyle name="Normal 15 3 6" xfId="8659" xr:uid="{00000000-0005-0000-0000-000076200000}"/>
    <cellStyle name="Normal 15 3 7" xfId="8660" xr:uid="{00000000-0005-0000-0000-000077200000}"/>
    <cellStyle name="Normal 15 4" xfId="8661" xr:uid="{00000000-0005-0000-0000-000078200000}"/>
    <cellStyle name="Normal 15 4 2" xfId="8662" xr:uid="{00000000-0005-0000-0000-000079200000}"/>
    <cellStyle name="Normal 15 4 2 2" xfId="8663" xr:uid="{00000000-0005-0000-0000-00007A200000}"/>
    <cellStyle name="Normal 15 4 2 2 2" xfId="8664" xr:uid="{00000000-0005-0000-0000-00007B200000}"/>
    <cellStyle name="Normal 15 4 2 3" xfId="8665" xr:uid="{00000000-0005-0000-0000-00007C200000}"/>
    <cellStyle name="Normal 15 4 2 4" xfId="8666" xr:uid="{00000000-0005-0000-0000-00007D200000}"/>
    <cellStyle name="Normal 15 4 2 5" xfId="8667" xr:uid="{00000000-0005-0000-0000-00007E200000}"/>
    <cellStyle name="Normal 15 4 2 6" xfId="8668" xr:uid="{00000000-0005-0000-0000-00007F200000}"/>
    <cellStyle name="Normal 15 4 3" xfId="8669" xr:uid="{00000000-0005-0000-0000-000080200000}"/>
    <cellStyle name="Normal 15 4 3 2" xfId="8670" xr:uid="{00000000-0005-0000-0000-000081200000}"/>
    <cellStyle name="Normal 15 4 4" xfId="8671" xr:uid="{00000000-0005-0000-0000-000082200000}"/>
    <cellStyle name="Normal 15 4 5" xfId="8672" xr:uid="{00000000-0005-0000-0000-000083200000}"/>
    <cellStyle name="Normal 15 4 6" xfId="8673" xr:uid="{00000000-0005-0000-0000-000084200000}"/>
    <cellStyle name="Normal 15 4 7" xfId="8674" xr:uid="{00000000-0005-0000-0000-000085200000}"/>
    <cellStyle name="Normal 15 5" xfId="8675" xr:uid="{00000000-0005-0000-0000-000086200000}"/>
    <cellStyle name="Normal 15 5 2" xfId="8676" xr:uid="{00000000-0005-0000-0000-000087200000}"/>
    <cellStyle name="Normal 15 5 2 2" xfId="8677" xr:uid="{00000000-0005-0000-0000-000088200000}"/>
    <cellStyle name="Normal 15 5 2 3" xfId="8678" xr:uid="{00000000-0005-0000-0000-000089200000}"/>
    <cellStyle name="Normal 15 5 3" xfId="8679" xr:uid="{00000000-0005-0000-0000-00008A200000}"/>
    <cellStyle name="Normal 15 5 4" xfId="8680" xr:uid="{00000000-0005-0000-0000-00008B200000}"/>
    <cellStyle name="Normal 15 5 5" xfId="8681" xr:uid="{00000000-0005-0000-0000-00008C200000}"/>
    <cellStyle name="Normal 15 6" xfId="8682" xr:uid="{00000000-0005-0000-0000-00008D200000}"/>
    <cellStyle name="Normal 15 6 2" xfId="8683" xr:uid="{00000000-0005-0000-0000-00008E200000}"/>
    <cellStyle name="Normal 15 6 2 2" xfId="8684" xr:uid="{00000000-0005-0000-0000-00008F200000}"/>
    <cellStyle name="Normal 15 6 3" xfId="8685" xr:uid="{00000000-0005-0000-0000-000090200000}"/>
    <cellStyle name="Normal 15 6 4" xfId="8686" xr:uid="{00000000-0005-0000-0000-000091200000}"/>
    <cellStyle name="Normal 15 6 5" xfId="8687" xr:uid="{00000000-0005-0000-0000-000092200000}"/>
    <cellStyle name="Normal 15 7" xfId="8688" xr:uid="{00000000-0005-0000-0000-000093200000}"/>
    <cellStyle name="Normal 15 7 2" xfId="8689" xr:uid="{00000000-0005-0000-0000-000094200000}"/>
    <cellStyle name="Normal 15 7 2 2" xfId="8690" xr:uid="{00000000-0005-0000-0000-000095200000}"/>
    <cellStyle name="Normal 15 7 3" xfId="8691" xr:uid="{00000000-0005-0000-0000-000096200000}"/>
    <cellStyle name="Normal 15 7 4" xfId="8692" xr:uid="{00000000-0005-0000-0000-000097200000}"/>
    <cellStyle name="Normal 15 7 5" xfId="8693" xr:uid="{00000000-0005-0000-0000-000098200000}"/>
    <cellStyle name="Normal 16" xfId="1818" xr:uid="{00000000-0005-0000-0000-000099200000}"/>
    <cellStyle name="Normal 16 2" xfId="8694" xr:uid="{00000000-0005-0000-0000-00009A200000}"/>
    <cellStyle name="Normal 16 2 2" xfId="8695" xr:uid="{00000000-0005-0000-0000-00009B200000}"/>
    <cellStyle name="Normal 17" xfId="1819" xr:uid="{00000000-0005-0000-0000-00009C200000}"/>
    <cellStyle name="Normal 17 2" xfId="8696" xr:uid="{00000000-0005-0000-0000-00009D200000}"/>
    <cellStyle name="Normal 17 2 2" xfId="8697" xr:uid="{00000000-0005-0000-0000-00009E200000}"/>
    <cellStyle name="Normal 17 2 2 2" xfId="8698" xr:uid="{00000000-0005-0000-0000-00009F200000}"/>
    <cellStyle name="Normal 17 2 2 2 2" xfId="8699" xr:uid="{00000000-0005-0000-0000-0000A0200000}"/>
    <cellStyle name="Normal 17 2 2 2 3" xfId="8700" xr:uid="{00000000-0005-0000-0000-0000A1200000}"/>
    <cellStyle name="Normal 17 2 2 3" xfId="8701" xr:uid="{00000000-0005-0000-0000-0000A2200000}"/>
    <cellStyle name="Normal 17 2 2 3 2" xfId="8702" xr:uid="{00000000-0005-0000-0000-0000A3200000}"/>
    <cellStyle name="Normal 17 2 2 4" xfId="8703" xr:uid="{00000000-0005-0000-0000-0000A4200000}"/>
    <cellStyle name="Normal 17 2 2 5" xfId="8704" xr:uid="{00000000-0005-0000-0000-0000A5200000}"/>
    <cellStyle name="Normal 17 2 2 6" xfId="8705" xr:uid="{00000000-0005-0000-0000-0000A6200000}"/>
    <cellStyle name="Normal 17 2 3" xfId="8706" xr:uid="{00000000-0005-0000-0000-0000A7200000}"/>
    <cellStyle name="Normal 17 2 3 2" xfId="8707" xr:uid="{00000000-0005-0000-0000-0000A8200000}"/>
    <cellStyle name="Normal 17 2 3 3" xfId="8708" xr:uid="{00000000-0005-0000-0000-0000A9200000}"/>
    <cellStyle name="Normal 17 2 4" xfId="8709" xr:uid="{00000000-0005-0000-0000-0000AA200000}"/>
    <cellStyle name="Normal 17 2 4 2" xfId="8710" xr:uid="{00000000-0005-0000-0000-0000AB200000}"/>
    <cellStyle name="Normal 17 2 5" xfId="8711" xr:uid="{00000000-0005-0000-0000-0000AC200000}"/>
    <cellStyle name="Normal 17 2 6" xfId="8712" xr:uid="{00000000-0005-0000-0000-0000AD200000}"/>
    <cellStyle name="Normal 17 2 7" xfId="8713" xr:uid="{00000000-0005-0000-0000-0000AE200000}"/>
    <cellStyle name="Normal 17 2 8" xfId="8714" xr:uid="{00000000-0005-0000-0000-0000AF200000}"/>
    <cellStyle name="Normal 17 3" xfId="8715" xr:uid="{00000000-0005-0000-0000-0000B0200000}"/>
    <cellStyle name="Normal 17 3 2" xfId="8716" xr:uid="{00000000-0005-0000-0000-0000B1200000}"/>
    <cellStyle name="Normal 17 3 2 2" xfId="8717" xr:uid="{00000000-0005-0000-0000-0000B2200000}"/>
    <cellStyle name="Normal 17 3 2 2 2" xfId="8718" xr:uid="{00000000-0005-0000-0000-0000B3200000}"/>
    <cellStyle name="Normal 17 3 2 3" xfId="8719" xr:uid="{00000000-0005-0000-0000-0000B4200000}"/>
    <cellStyle name="Normal 17 3 2 4" xfId="8720" xr:uid="{00000000-0005-0000-0000-0000B5200000}"/>
    <cellStyle name="Normal 17 3 2 5" xfId="8721" xr:uid="{00000000-0005-0000-0000-0000B6200000}"/>
    <cellStyle name="Normal 17 3 3" xfId="8722" xr:uid="{00000000-0005-0000-0000-0000B7200000}"/>
    <cellStyle name="Normal 17 3 3 2" xfId="8723" xr:uid="{00000000-0005-0000-0000-0000B8200000}"/>
    <cellStyle name="Normal 17 3 4" xfId="8724" xr:uid="{00000000-0005-0000-0000-0000B9200000}"/>
    <cellStyle name="Normal 17 3 5" xfId="8725" xr:uid="{00000000-0005-0000-0000-0000BA200000}"/>
    <cellStyle name="Normal 17 3 6" xfId="8726" xr:uid="{00000000-0005-0000-0000-0000BB200000}"/>
    <cellStyle name="Normal 17 3 7" xfId="8727" xr:uid="{00000000-0005-0000-0000-0000BC200000}"/>
    <cellStyle name="Normal 17 4" xfId="8728" xr:uid="{00000000-0005-0000-0000-0000BD200000}"/>
    <cellStyle name="Normal 17 4 2" xfId="8729" xr:uid="{00000000-0005-0000-0000-0000BE200000}"/>
    <cellStyle name="Normal 17 4 2 2" xfId="8730" xr:uid="{00000000-0005-0000-0000-0000BF200000}"/>
    <cellStyle name="Normal 17 4 3" xfId="8731" xr:uid="{00000000-0005-0000-0000-0000C0200000}"/>
    <cellStyle name="Normal 17 4 4" xfId="8732" xr:uid="{00000000-0005-0000-0000-0000C1200000}"/>
    <cellStyle name="Normal 17 4 5" xfId="8733" xr:uid="{00000000-0005-0000-0000-0000C2200000}"/>
    <cellStyle name="Normal 17 5" xfId="8734" xr:uid="{00000000-0005-0000-0000-0000C3200000}"/>
    <cellStyle name="Normal 17 5 2" xfId="8735" xr:uid="{00000000-0005-0000-0000-0000C4200000}"/>
    <cellStyle name="Normal 17 5 2 2" xfId="8736" xr:uid="{00000000-0005-0000-0000-0000C5200000}"/>
    <cellStyle name="Normal 17 5 3" xfId="8737" xr:uid="{00000000-0005-0000-0000-0000C6200000}"/>
    <cellStyle name="Normal 17 5 4" xfId="8738" xr:uid="{00000000-0005-0000-0000-0000C7200000}"/>
    <cellStyle name="Normal 17 5 5" xfId="8739" xr:uid="{00000000-0005-0000-0000-0000C8200000}"/>
    <cellStyle name="Normal 17 6" xfId="8740" xr:uid="{00000000-0005-0000-0000-0000C9200000}"/>
    <cellStyle name="Normal 17 6 2" xfId="8741" xr:uid="{00000000-0005-0000-0000-0000CA200000}"/>
    <cellStyle name="Normal 17 6 2 2" xfId="8742" xr:uid="{00000000-0005-0000-0000-0000CB200000}"/>
    <cellStyle name="Normal 17 6 3" xfId="8743" xr:uid="{00000000-0005-0000-0000-0000CC200000}"/>
    <cellStyle name="Normal 17 6 4" xfId="8744" xr:uid="{00000000-0005-0000-0000-0000CD200000}"/>
    <cellStyle name="Normal 17 6 5" xfId="8745" xr:uid="{00000000-0005-0000-0000-0000CE200000}"/>
    <cellStyle name="Normal 17 7" xfId="8746" xr:uid="{00000000-0005-0000-0000-0000CF200000}"/>
    <cellStyle name="Normal 18" xfId="1820" xr:uid="{00000000-0005-0000-0000-0000D0200000}"/>
    <cellStyle name="Normal 18 2" xfId="8747" xr:uid="{00000000-0005-0000-0000-0000D1200000}"/>
    <cellStyle name="Normal 18 2 2" xfId="8748" xr:uid="{00000000-0005-0000-0000-0000D2200000}"/>
    <cellStyle name="Normal 18 2 2 2" xfId="8749" xr:uid="{00000000-0005-0000-0000-0000D3200000}"/>
    <cellStyle name="Normal 18 2 2 3" xfId="8750" xr:uid="{00000000-0005-0000-0000-0000D4200000}"/>
    <cellStyle name="Normal 18 2 3" xfId="8751" xr:uid="{00000000-0005-0000-0000-0000D5200000}"/>
    <cellStyle name="Normal 18 2 4" xfId="8752" xr:uid="{00000000-0005-0000-0000-0000D6200000}"/>
    <cellStyle name="Normal 18 2 5" xfId="8753" xr:uid="{00000000-0005-0000-0000-0000D7200000}"/>
    <cellStyle name="Normal 18 2 6" xfId="8754" xr:uid="{00000000-0005-0000-0000-0000D8200000}"/>
    <cellStyle name="Normal 18 2 7" xfId="8755" xr:uid="{00000000-0005-0000-0000-0000D9200000}"/>
    <cellStyle name="Normal 18 3" xfId="8756" xr:uid="{00000000-0005-0000-0000-0000DA200000}"/>
    <cellStyle name="Normal 18 3 2" xfId="8757" xr:uid="{00000000-0005-0000-0000-0000DB200000}"/>
    <cellStyle name="Normal 18 3 2 2" xfId="8758" xr:uid="{00000000-0005-0000-0000-0000DC200000}"/>
    <cellStyle name="Normal 18 3 3" xfId="8759" xr:uid="{00000000-0005-0000-0000-0000DD200000}"/>
    <cellStyle name="Normal 18 3 4" xfId="8760" xr:uid="{00000000-0005-0000-0000-0000DE200000}"/>
    <cellStyle name="Normal 18 3 5" xfId="8761" xr:uid="{00000000-0005-0000-0000-0000DF200000}"/>
    <cellStyle name="Normal 18 3 6" xfId="8762" xr:uid="{00000000-0005-0000-0000-0000E0200000}"/>
    <cellStyle name="Normal 18 4" xfId="8763" xr:uid="{00000000-0005-0000-0000-0000E1200000}"/>
    <cellStyle name="Normal 19" xfId="1821" xr:uid="{00000000-0005-0000-0000-0000E2200000}"/>
    <cellStyle name="Normal 19 2" xfId="8764" xr:uid="{00000000-0005-0000-0000-0000E3200000}"/>
    <cellStyle name="Normal 19 2 2" xfId="8765" xr:uid="{00000000-0005-0000-0000-0000E4200000}"/>
    <cellStyle name="Normal 19 3" xfId="2157" xr:uid="{00000000-0005-0000-0000-0000E5200000}"/>
    <cellStyle name="Normal 2" xfId="57" xr:uid="{00000000-0005-0000-0000-0000E6200000}"/>
    <cellStyle name="Normal 2 10" xfId="1822" xr:uid="{00000000-0005-0000-0000-0000E7200000}"/>
    <cellStyle name="Normal 2 10 2" xfId="8766" xr:uid="{00000000-0005-0000-0000-0000E8200000}"/>
    <cellStyle name="Normal 2 10 2 2" xfId="8767" xr:uid="{00000000-0005-0000-0000-0000E9200000}"/>
    <cellStyle name="Normal 2 10 3" xfId="8768" xr:uid="{00000000-0005-0000-0000-0000EA200000}"/>
    <cellStyle name="Normal 2 11" xfId="1823" xr:uid="{00000000-0005-0000-0000-0000EB200000}"/>
    <cellStyle name="Normal 2 11 2" xfId="8769" xr:uid="{00000000-0005-0000-0000-0000EC200000}"/>
    <cellStyle name="Normal 2 11 2 2" xfId="8770" xr:uid="{00000000-0005-0000-0000-0000ED200000}"/>
    <cellStyle name="Normal 2 11 3" xfId="8771" xr:uid="{00000000-0005-0000-0000-0000EE200000}"/>
    <cellStyle name="Normal 2 12" xfId="1824" xr:uid="{00000000-0005-0000-0000-0000EF200000}"/>
    <cellStyle name="Normal 2 12 2" xfId="8772" xr:uid="{00000000-0005-0000-0000-0000F0200000}"/>
    <cellStyle name="Normal 2 13" xfId="1825" xr:uid="{00000000-0005-0000-0000-0000F1200000}"/>
    <cellStyle name="Normal 2 14" xfId="1826" xr:uid="{00000000-0005-0000-0000-0000F2200000}"/>
    <cellStyle name="Normal 2 15" xfId="1827" xr:uid="{00000000-0005-0000-0000-0000F3200000}"/>
    <cellStyle name="Normal 2 16" xfId="1828" xr:uid="{00000000-0005-0000-0000-0000F4200000}"/>
    <cellStyle name="Normal 2 17" xfId="1829" xr:uid="{00000000-0005-0000-0000-0000F5200000}"/>
    <cellStyle name="Normal 2 18" xfId="1830" xr:uid="{00000000-0005-0000-0000-0000F6200000}"/>
    <cellStyle name="Normal 2 18 2" xfId="8773" xr:uid="{00000000-0005-0000-0000-0000F7200000}"/>
    <cellStyle name="Normal 2 18 2 2" xfId="8774" xr:uid="{00000000-0005-0000-0000-0000F8200000}"/>
    <cellStyle name="Normal 2 18 3" xfId="8775" xr:uid="{00000000-0005-0000-0000-0000F9200000}"/>
    <cellStyle name="Normal 2 18 4" xfId="8776" xr:uid="{00000000-0005-0000-0000-0000FA200000}"/>
    <cellStyle name="Normal 2 19" xfId="24" xr:uid="{00000000-0005-0000-0000-0000FB200000}"/>
    <cellStyle name="Normal 2 19 2" xfId="1831" xr:uid="{00000000-0005-0000-0000-0000FC200000}"/>
    <cellStyle name="Normal 2 19 3" xfId="1832" xr:uid="{00000000-0005-0000-0000-0000FD200000}"/>
    <cellStyle name="Normal 2 19 4" xfId="1833" xr:uid="{00000000-0005-0000-0000-0000FE200000}"/>
    <cellStyle name="Normal 2 19 5" xfId="1834" xr:uid="{00000000-0005-0000-0000-0000FF200000}"/>
    <cellStyle name="Normal 2 2" xfId="58" xr:uid="{00000000-0005-0000-0000-000000210000}"/>
    <cellStyle name="Normal 2 2 2" xfId="1835" xr:uid="{00000000-0005-0000-0000-000001210000}"/>
    <cellStyle name="Normal 2 2 2 2" xfId="8777" xr:uid="{00000000-0005-0000-0000-000002210000}"/>
    <cellStyle name="Normal 2 2 2 2 2" xfId="8778" xr:uid="{00000000-0005-0000-0000-000003210000}"/>
    <cellStyle name="Normal 2 2 2 3" xfId="8779" xr:uid="{00000000-0005-0000-0000-000004210000}"/>
    <cellStyle name="Normal 2 2 2 3 2" xfId="8780" xr:uid="{00000000-0005-0000-0000-000005210000}"/>
    <cellStyle name="Normal 2 2 2 4" xfId="8781" xr:uid="{00000000-0005-0000-0000-000006210000}"/>
    <cellStyle name="Normal 2 2 2 4 2" xfId="8782" xr:uid="{00000000-0005-0000-0000-000007210000}"/>
    <cellStyle name="Normal 2 2 2 5" xfId="8783" xr:uid="{00000000-0005-0000-0000-000008210000}"/>
    <cellStyle name="Normal 2 2 3" xfId="8784" xr:uid="{00000000-0005-0000-0000-000009210000}"/>
    <cellStyle name="Normal 2 2 3 2" xfId="8785" xr:uid="{00000000-0005-0000-0000-00000A210000}"/>
    <cellStyle name="Normal 2 2 3 3" xfId="8786" xr:uid="{00000000-0005-0000-0000-00000B210000}"/>
    <cellStyle name="Normal 2 2 4" xfId="8787" xr:uid="{00000000-0005-0000-0000-00000C210000}"/>
    <cellStyle name="Normal 2 2 4 2" xfId="8788" xr:uid="{00000000-0005-0000-0000-00000D210000}"/>
    <cellStyle name="Normal 2 2 4 2 2" xfId="8789" xr:uid="{00000000-0005-0000-0000-00000E210000}"/>
    <cellStyle name="Normal 2 2 4 2 2 2" xfId="8790" xr:uid="{00000000-0005-0000-0000-00000F210000}"/>
    <cellStyle name="Normal 2 2 4 2 2 2 2" xfId="8791" xr:uid="{00000000-0005-0000-0000-000010210000}"/>
    <cellStyle name="Normal 2 2 4 2 2 3" xfId="8792" xr:uid="{00000000-0005-0000-0000-000011210000}"/>
    <cellStyle name="Normal 2 2 4 2 2 4" xfId="8793" xr:uid="{00000000-0005-0000-0000-000012210000}"/>
    <cellStyle name="Normal 2 2 4 2 3" xfId="8794" xr:uid="{00000000-0005-0000-0000-000013210000}"/>
    <cellStyle name="Normal 2 2 4 2 3 2" xfId="8795" xr:uid="{00000000-0005-0000-0000-000014210000}"/>
    <cellStyle name="Normal 2 2 4 2 4" xfId="8796" xr:uid="{00000000-0005-0000-0000-000015210000}"/>
    <cellStyle name="Normal 2 2 4 2 5" xfId="8797" xr:uid="{00000000-0005-0000-0000-000016210000}"/>
    <cellStyle name="Normal 2 2 4 3" xfId="8798" xr:uid="{00000000-0005-0000-0000-000017210000}"/>
    <cellStyle name="Normal 2 2 4 3 2" xfId="8799" xr:uid="{00000000-0005-0000-0000-000018210000}"/>
    <cellStyle name="Normal 2 2 4 3 2 2" xfId="8800" xr:uid="{00000000-0005-0000-0000-000019210000}"/>
    <cellStyle name="Normal 2 2 4 3 3" xfId="8801" xr:uid="{00000000-0005-0000-0000-00001A210000}"/>
    <cellStyle name="Normal 2 2 4 3 4" xfId="8802" xr:uid="{00000000-0005-0000-0000-00001B210000}"/>
    <cellStyle name="Normal 2 2 4 4" xfId="8803" xr:uid="{00000000-0005-0000-0000-00001C210000}"/>
    <cellStyle name="Normal 2 2 4 4 2" xfId="8804" xr:uid="{00000000-0005-0000-0000-00001D210000}"/>
    <cellStyle name="Normal 2 2 4 5" xfId="8805" xr:uid="{00000000-0005-0000-0000-00001E210000}"/>
    <cellStyle name="Normal 2 2 4 5 2" xfId="8806" xr:uid="{00000000-0005-0000-0000-00001F210000}"/>
    <cellStyle name="Normal 2 2 4 6" xfId="8807" xr:uid="{00000000-0005-0000-0000-000020210000}"/>
    <cellStyle name="Normal 2 2 4 7" xfId="8808" xr:uid="{00000000-0005-0000-0000-000021210000}"/>
    <cellStyle name="Normal 2 2 5" xfId="8809" xr:uid="{00000000-0005-0000-0000-000022210000}"/>
    <cellStyle name="Normal 2 2 5 2" xfId="8810" xr:uid="{00000000-0005-0000-0000-000023210000}"/>
    <cellStyle name="Normal 2 2 5 2 2" xfId="8811" xr:uid="{00000000-0005-0000-0000-000024210000}"/>
    <cellStyle name="Normal 2 2 5 2 3" xfId="8812" xr:uid="{00000000-0005-0000-0000-000025210000}"/>
    <cellStyle name="Normal 2 2 5 3" xfId="8813" xr:uid="{00000000-0005-0000-0000-000026210000}"/>
    <cellStyle name="Normal 2 2 5 4" xfId="8814" xr:uid="{00000000-0005-0000-0000-000027210000}"/>
    <cellStyle name="Normal 2 2 5 5" xfId="8815" xr:uid="{00000000-0005-0000-0000-000028210000}"/>
    <cellStyle name="Normal 2 2 5 6" xfId="8816" xr:uid="{00000000-0005-0000-0000-000029210000}"/>
    <cellStyle name="Normal 2 2 6" xfId="8817" xr:uid="{00000000-0005-0000-0000-00002A210000}"/>
    <cellStyle name="Normal 2 2 6 2" xfId="8818" xr:uid="{00000000-0005-0000-0000-00002B210000}"/>
    <cellStyle name="Normal 2 2 6 2 2" xfId="8819" xr:uid="{00000000-0005-0000-0000-00002C210000}"/>
    <cellStyle name="Normal 2 2 6 3" xfId="8820" xr:uid="{00000000-0005-0000-0000-00002D210000}"/>
    <cellStyle name="Normal 2 2 6 4" xfId="8821" xr:uid="{00000000-0005-0000-0000-00002E210000}"/>
    <cellStyle name="Normal 2 2 6 5" xfId="8822" xr:uid="{00000000-0005-0000-0000-00002F210000}"/>
    <cellStyle name="Normal 2 2 7" xfId="8823" xr:uid="{00000000-0005-0000-0000-000030210000}"/>
    <cellStyle name="Normal 2 2 8" xfId="8824" xr:uid="{00000000-0005-0000-0000-000031210000}"/>
    <cellStyle name="Normal 2 2 8 2" xfId="8825" xr:uid="{00000000-0005-0000-0000-000032210000}"/>
    <cellStyle name="Normal 2 2 8 3" xfId="8826" xr:uid="{00000000-0005-0000-0000-000033210000}"/>
    <cellStyle name="Normal 2 20" xfId="1836" xr:uid="{00000000-0005-0000-0000-000034210000}"/>
    <cellStyle name="Normal 2 20 2" xfId="8827" xr:uid="{00000000-0005-0000-0000-000035210000}"/>
    <cellStyle name="Normal 2 20 3" xfId="8828" xr:uid="{00000000-0005-0000-0000-000036210000}"/>
    <cellStyle name="Normal 2 21" xfId="1837" xr:uid="{00000000-0005-0000-0000-000037210000}"/>
    <cellStyle name="Normal 2 21 2" xfId="8829" xr:uid="{00000000-0005-0000-0000-000038210000}"/>
    <cellStyle name="Normal 2 22" xfId="1838" xr:uid="{00000000-0005-0000-0000-000039210000}"/>
    <cellStyle name="Normal 2 23" xfId="1839" xr:uid="{00000000-0005-0000-0000-00003A210000}"/>
    <cellStyle name="Normal 2 24" xfId="1840" xr:uid="{00000000-0005-0000-0000-00003B210000}"/>
    <cellStyle name="Normal 2 25" xfId="1841" xr:uid="{00000000-0005-0000-0000-00003C210000}"/>
    <cellStyle name="Normal 2 3" xfId="1842" xr:uid="{00000000-0005-0000-0000-00003D210000}"/>
    <cellStyle name="Normal 2 3 2" xfId="8830" xr:uid="{00000000-0005-0000-0000-00003E210000}"/>
    <cellStyle name="Normal 2 3 2 2" xfId="8831" xr:uid="{00000000-0005-0000-0000-00003F210000}"/>
    <cellStyle name="Normal 2 3 2 3" xfId="8832" xr:uid="{00000000-0005-0000-0000-000040210000}"/>
    <cellStyle name="Normal 2 3 3" xfId="8833" xr:uid="{00000000-0005-0000-0000-000041210000}"/>
    <cellStyle name="Normal 2 3 4" xfId="8834" xr:uid="{00000000-0005-0000-0000-000042210000}"/>
    <cellStyle name="Normal 2 3 4 2" xfId="8835" xr:uid="{00000000-0005-0000-0000-000043210000}"/>
    <cellStyle name="Normal 2 3 4 2 2" xfId="8836" xr:uid="{00000000-0005-0000-0000-000044210000}"/>
    <cellStyle name="Normal 2 3 4 3" xfId="8837" xr:uid="{00000000-0005-0000-0000-000045210000}"/>
    <cellStyle name="Normal 2 3 4 4" xfId="8838" xr:uid="{00000000-0005-0000-0000-000046210000}"/>
    <cellStyle name="Normal 2 3 4 5" xfId="8839" xr:uid="{00000000-0005-0000-0000-000047210000}"/>
    <cellStyle name="Normal 2 3 5" xfId="8840" xr:uid="{00000000-0005-0000-0000-000048210000}"/>
    <cellStyle name="Normal 2 3 5 2" xfId="8841" xr:uid="{00000000-0005-0000-0000-000049210000}"/>
    <cellStyle name="Normal 2 3 5 2 2" xfId="8842" xr:uid="{00000000-0005-0000-0000-00004A210000}"/>
    <cellStyle name="Normal 2 3 5 3" xfId="8843" xr:uid="{00000000-0005-0000-0000-00004B210000}"/>
    <cellStyle name="Normal 2 3 5 4" xfId="8844" xr:uid="{00000000-0005-0000-0000-00004C210000}"/>
    <cellStyle name="Normal 2 3 5 5" xfId="8845" xr:uid="{00000000-0005-0000-0000-00004D210000}"/>
    <cellStyle name="Normal 2 3 6" xfId="8846" xr:uid="{00000000-0005-0000-0000-00004E210000}"/>
    <cellStyle name="Normal 2 3 6 2" xfId="8847" xr:uid="{00000000-0005-0000-0000-00004F210000}"/>
    <cellStyle name="Normal 2 4" xfId="1843" xr:uid="{00000000-0005-0000-0000-000050210000}"/>
    <cellStyle name="Normal 2 4 2" xfId="8848" xr:uid="{00000000-0005-0000-0000-000051210000}"/>
    <cellStyle name="Normal 2 4 2 2" xfId="8849" xr:uid="{00000000-0005-0000-0000-000052210000}"/>
    <cellStyle name="Normal 2 4 2 3" xfId="8850" xr:uid="{00000000-0005-0000-0000-000053210000}"/>
    <cellStyle name="Normal 2 4 3" xfId="8851" xr:uid="{00000000-0005-0000-0000-000054210000}"/>
    <cellStyle name="Normal 2 4 3 2" xfId="8852" xr:uid="{00000000-0005-0000-0000-000055210000}"/>
    <cellStyle name="Normal 2 4 4" xfId="8853" xr:uid="{00000000-0005-0000-0000-000056210000}"/>
    <cellStyle name="Normal 2 4 4 2" xfId="8854" xr:uid="{00000000-0005-0000-0000-000057210000}"/>
    <cellStyle name="Normal 2 4 5" xfId="8855" xr:uid="{00000000-0005-0000-0000-000058210000}"/>
    <cellStyle name="Normal 2 41" xfId="8856" xr:uid="{00000000-0005-0000-0000-000059210000}"/>
    <cellStyle name="Normal 2 43" xfId="8857" xr:uid="{00000000-0005-0000-0000-00005A210000}"/>
    <cellStyle name="Normal 2 5" xfId="1844" xr:uid="{00000000-0005-0000-0000-00005B210000}"/>
    <cellStyle name="Normal 2 5 2" xfId="8858" xr:uid="{00000000-0005-0000-0000-00005C210000}"/>
    <cellStyle name="Normal 2 5 2 2" xfId="8859" xr:uid="{00000000-0005-0000-0000-00005D210000}"/>
    <cellStyle name="Normal 2 5 2 2 2" xfId="8860" xr:uid="{00000000-0005-0000-0000-00005E210000}"/>
    <cellStyle name="Normal 2 5 2 2 2 2" xfId="8861" xr:uid="{00000000-0005-0000-0000-00005F210000}"/>
    <cellStyle name="Normal 2 5 2 2 3" xfId="8862" xr:uid="{00000000-0005-0000-0000-000060210000}"/>
    <cellStyle name="Normal 2 5 2 2 4" xfId="8863" xr:uid="{00000000-0005-0000-0000-000061210000}"/>
    <cellStyle name="Normal 2 5 2 3" xfId="8864" xr:uid="{00000000-0005-0000-0000-000062210000}"/>
    <cellStyle name="Normal 2 5 2 3 2" xfId="8865" xr:uid="{00000000-0005-0000-0000-000063210000}"/>
    <cellStyle name="Normal 2 5 2 3 2 2" xfId="8866" xr:uid="{00000000-0005-0000-0000-000064210000}"/>
    <cellStyle name="Normal 2 5 2 3 3" xfId="8867" xr:uid="{00000000-0005-0000-0000-000065210000}"/>
    <cellStyle name="Normal 2 5 2 3 4" xfId="8868" xr:uid="{00000000-0005-0000-0000-000066210000}"/>
    <cellStyle name="Normal 2 5 2 4" xfId="8869" xr:uid="{00000000-0005-0000-0000-000067210000}"/>
    <cellStyle name="Normal 2 5 2 4 2" xfId="8870" xr:uid="{00000000-0005-0000-0000-000068210000}"/>
    <cellStyle name="Normal 2 5 2 5" xfId="8871" xr:uid="{00000000-0005-0000-0000-000069210000}"/>
    <cellStyle name="Normal 2 5 2 6" xfId="8872" xr:uid="{00000000-0005-0000-0000-00006A210000}"/>
    <cellStyle name="Normal 2 5 2 7" xfId="8873" xr:uid="{00000000-0005-0000-0000-00006B210000}"/>
    <cellStyle name="Normal 2 5 3" xfId="8874" xr:uid="{00000000-0005-0000-0000-00006C210000}"/>
    <cellStyle name="Normal 2 5 3 2" xfId="8875" xr:uid="{00000000-0005-0000-0000-00006D210000}"/>
    <cellStyle name="Normal 2 5 3 2 2" xfId="8876" xr:uid="{00000000-0005-0000-0000-00006E210000}"/>
    <cellStyle name="Normal 2 5 3 3" xfId="8877" xr:uid="{00000000-0005-0000-0000-00006F210000}"/>
    <cellStyle name="Normal 2 5 3 4" xfId="8878" xr:uid="{00000000-0005-0000-0000-000070210000}"/>
    <cellStyle name="Normal 2 5 4" xfId="8879" xr:uid="{00000000-0005-0000-0000-000071210000}"/>
    <cellStyle name="Normal 2 5 4 2" xfId="8880" xr:uid="{00000000-0005-0000-0000-000072210000}"/>
    <cellStyle name="Normal 2 5 4 2 2" xfId="8881" xr:uid="{00000000-0005-0000-0000-000073210000}"/>
    <cellStyle name="Normal 2 5 4 3" xfId="8882" xr:uid="{00000000-0005-0000-0000-000074210000}"/>
    <cellStyle name="Normal 2 5 4 4" xfId="8883" xr:uid="{00000000-0005-0000-0000-000075210000}"/>
    <cellStyle name="Normal 2 5 5" xfId="8884" xr:uid="{00000000-0005-0000-0000-000076210000}"/>
    <cellStyle name="Normal 2 5 6" xfId="8885" xr:uid="{00000000-0005-0000-0000-000077210000}"/>
    <cellStyle name="Normal 2 6" xfId="1845" xr:uid="{00000000-0005-0000-0000-000078210000}"/>
    <cellStyle name="Normal 2 6 2" xfId="8886" xr:uid="{00000000-0005-0000-0000-000079210000}"/>
    <cellStyle name="Normal 2 6 3" xfId="8887" xr:uid="{00000000-0005-0000-0000-00007A210000}"/>
    <cellStyle name="Normal 2 7" xfId="1846" xr:uid="{00000000-0005-0000-0000-00007B210000}"/>
    <cellStyle name="Normal 2 7 2" xfId="8888" xr:uid="{00000000-0005-0000-0000-00007C210000}"/>
    <cellStyle name="Normal 2 7 2 2" xfId="8889" xr:uid="{00000000-0005-0000-0000-00007D210000}"/>
    <cellStyle name="Normal 2 7 2 2 2" xfId="8890" xr:uid="{00000000-0005-0000-0000-00007E210000}"/>
    <cellStyle name="Normal 2 7 2 2 3" xfId="8891" xr:uid="{00000000-0005-0000-0000-00007F210000}"/>
    <cellStyle name="Normal 2 7 2 3" xfId="8892" xr:uid="{00000000-0005-0000-0000-000080210000}"/>
    <cellStyle name="Normal 2 7 2 3 2" xfId="8893" xr:uid="{00000000-0005-0000-0000-000081210000}"/>
    <cellStyle name="Normal 2 7 2 4" xfId="8894" xr:uid="{00000000-0005-0000-0000-000082210000}"/>
    <cellStyle name="Normal 2 7 2 5" xfId="8895" xr:uid="{00000000-0005-0000-0000-000083210000}"/>
    <cellStyle name="Normal 2 7 3" xfId="8896" xr:uid="{00000000-0005-0000-0000-000084210000}"/>
    <cellStyle name="Normal 2 7 3 2" xfId="8897" xr:uid="{00000000-0005-0000-0000-000085210000}"/>
    <cellStyle name="Normal 2 7 3 2 2" xfId="8898" xr:uid="{00000000-0005-0000-0000-000086210000}"/>
    <cellStyle name="Normal 2 7 3 3" xfId="8899" xr:uid="{00000000-0005-0000-0000-000087210000}"/>
    <cellStyle name="Normal 2 7 3 4" xfId="8900" xr:uid="{00000000-0005-0000-0000-000088210000}"/>
    <cellStyle name="Normal 2 7 3 5" xfId="8901" xr:uid="{00000000-0005-0000-0000-000089210000}"/>
    <cellStyle name="Normal 2 7 4" xfId="8902" xr:uid="{00000000-0005-0000-0000-00008A210000}"/>
    <cellStyle name="Normal 2 7 4 2" xfId="8903" xr:uid="{00000000-0005-0000-0000-00008B210000}"/>
    <cellStyle name="Normal 2 7 4 2 2" xfId="8904" xr:uid="{00000000-0005-0000-0000-00008C210000}"/>
    <cellStyle name="Normal 2 7 4 3" xfId="8905" xr:uid="{00000000-0005-0000-0000-00008D210000}"/>
    <cellStyle name="Normal 2 7 4 4" xfId="8906" xr:uid="{00000000-0005-0000-0000-00008E210000}"/>
    <cellStyle name="Normal 2 7 4 5" xfId="8907" xr:uid="{00000000-0005-0000-0000-00008F210000}"/>
    <cellStyle name="Normal 2 7 5" xfId="8908" xr:uid="{00000000-0005-0000-0000-000090210000}"/>
    <cellStyle name="Normal 2 8" xfId="1847" xr:uid="{00000000-0005-0000-0000-000091210000}"/>
    <cellStyle name="Normal 2 8 2" xfId="8909" xr:uid="{00000000-0005-0000-0000-000092210000}"/>
    <cellStyle name="Normal 2 8 2 2" xfId="8910" xr:uid="{00000000-0005-0000-0000-000093210000}"/>
    <cellStyle name="Normal 2 8 2 2 2" xfId="8911" xr:uid="{00000000-0005-0000-0000-000094210000}"/>
    <cellStyle name="Normal 2 8 2 3" xfId="8912" xr:uid="{00000000-0005-0000-0000-000095210000}"/>
    <cellStyle name="Normal 2 8 2 4" xfId="8913" xr:uid="{00000000-0005-0000-0000-000096210000}"/>
    <cellStyle name="Normal 2 8 2 5" xfId="8914" xr:uid="{00000000-0005-0000-0000-000097210000}"/>
    <cellStyle name="Normal 2 8 3" xfId="8915" xr:uid="{00000000-0005-0000-0000-000098210000}"/>
    <cellStyle name="Normal 2 8 3 2" xfId="8916" xr:uid="{00000000-0005-0000-0000-000099210000}"/>
    <cellStyle name="Normal 2 8 3 2 2" xfId="8917" xr:uid="{00000000-0005-0000-0000-00009A210000}"/>
    <cellStyle name="Normal 2 8 3 3" xfId="8918" xr:uid="{00000000-0005-0000-0000-00009B210000}"/>
    <cellStyle name="Normal 2 8 3 4" xfId="8919" xr:uid="{00000000-0005-0000-0000-00009C210000}"/>
    <cellStyle name="Normal 2 8 3 5" xfId="8920" xr:uid="{00000000-0005-0000-0000-00009D210000}"/>
    <cellStyle name="Normal 2 8 4" xfId="8921" xr:uid="{00000000-0005-0000-0000-00009E210000}"/>
    <cellStyle name="Normal 2 9" xfId="1848" xr:uid="{00000000-0005-0000-0000-00009F210000}"/>
    <cellStyle name="Normal 2 9 2" xfId="8922" xr:uid="{00000000-0005-0000-0000-0000A0210000}"/>
    <cellStyle name="Normal 2 9 2 2" xfId="8923" xr:uid="{00000000-0005-0000-0000-0000A1210000}"/>
    <cellStyle name="Normal 2 9 2 2 2" xfId="8924" xr:uid="{00000000-0005-0000-0000-0000A2210000}"/>
    <cellStyle name="Normal 2 9 2 3" xfId="8925" xr:uid="{00000000-0005-0000-0000-0000A3210000}"/>
    <cellStyle name="Normal 2 9 2 4" xfId="8926" xr:uid="{00000000-0005-0000-0000-0000A4210000}"/>
    <cellStyle name="Normal 2 9 2 5" xfId="8927" xr:uid="{00000000-0005-0000-0000-0000A5210000}"/>
    <cellStyle name="Normal 2 9 3" xfId="8928" xr:uid="{00000000-0005-0000-0000-0000A6210000}"/>
    <cellStyle name="Normal 2_LGEElecBillingDeterminants2009-10" xfId="8929" xr:uid="{00000000-0005-0000-0000-0000A7210000}"/>
    <cellStyle name="Normal 20" xfId="1849" xr:uid="{00000000-0005-0000-0000-0000A8210000}"/>
    <cellStyle name="Normal 20 2" xfId="1850" xr:uid="{00000000-0005-0000-0000-0000A9210000}"/>
    <cellStyle name="Normal 20 2 2" xfId="8930" xr:uid="{00000000-0005-0000-0000-0000AA210000}"/>
    <cellStyle name="Normal 20 2 2 2" xfId="8931" xr:uid="{00000000-0005-0000-0000-0000AB210000}"/>
    <cellStyle name="Normal 20 2 3" xfId="8932" xr:uid="{00000000-0005-0000-0000-0000AC210000}"/>
    <cellStyle name="Normal 20 2 4" xfId="8933" xr:uid="{00000000-0005-0000-0000-0000AD210000}"/>
    <cellStyle name="Normal 20 2 5" xfId="8934" xr:uid="{00000000-0005-0000-0000-0000AE210000}"/>
    <cellStyle name="Normal 20 3" xfId="1851" xr:uid="{00000000-0005-0000-0000-0000AF210000}"/>
    <cellStyle name="Normal 20 3 2" xfId="8935" xr:uid="{00000000-0005-0000-0000-0000B0210000}"/>
    <cellStyle name="Normal 20 3 3" xfId="8936" xr:uid="{00000000-0005-0000-0000-0000B1210000}"/>
    <cellStyle name="Normal 20 3 4" xfId="8937" xr:uid="{00000000-0005-0000-0000-0000B2210000}"/>
    <cellStyle name="Normal 20 4" xfId="1852" xr:uid="{00000000-0005-0000-0000-0000B3210000}"/>
    <cellStyle name="Normal 20 5" xfId="1853" xr:uid="{00000000-0005-0000-0000-0000B4210000}"/>
    <cellStyle name="Normal 21" xfId="1854" xr:uid="{00000000-0005-0000-0000-0000B5210000}"/>
    <cellStyle name="Normal 21 2" xfId="8938" xr:uid="{00000000-0005-0000-0000-0000B6210000}"/>
    <cellStyle name="Normal 22" xfId="1855" xr:uid="{00000000-0005-0000-0000-0000B7210000}"/>
    <cellStyle name="Normal 22 2" xfId="8939" xr:uid="{00000000-0005-0000-0000-0000B8210000}"/>
    <cellStyle name="Normal 22 2 2" xfId="8940" xr:uid="{00000000-0005-0000-0000-0000B9210000}"/>
    <cellStyle name="Normal 22 2 3" xfId="8941" xr:uid="{00000000-0005-0000-0000-0000BA210000}"/>
    <cellStyle name="Normal 22 2 4" xfId="8942" xr:uid="{00000000-0005-0000-0000-0000BB210000}"/>
    <cellStyle name="Normal 22 2 5" xfId="8943" xr:uid="{00000000-0005-0000-0000-0000BC210000}"/>
    <cellStyle name="Normal 22 3" xfId="8944" xr:uid="{00000000-0005-0000-0000-0000BD210000}"/>
    <cellStyle name="Normal 23" xfId="1856" xr:uid="{00000000-0005-0000-0000-0000BE210000}"/>
    <cellStyle name="Normal 23 2" xfId="8945" xr:uid="{00000000-0005-0000-0000-0000BF210000}"/>
    <cellStyle name="Normal 23 2 2" xfId="8946" xr:uid="{00000000-0005-0000-0000-0000C0210000}"/>
    <cellStyle name="Normal 23 2 3" xfId="8947" xr:uid="{00000000-0005-0000-0000-0000C1210000}"/>
    <cellStyle name="Normal 23 2 4" xfId="8948" xr:uid="{00000000-0005-0000-0000-0000C2210000}"/>
    <cellStyle name="Normal 23 2 5" xfId="8949" xr:uid="{00000000-0005-0000-0000-0000C3210000}"/>
    <cellStyle name="Normal 23 3" xfId="8950" xr:uid="{00000000-0005-0000-0000-0000C4210000}"/>
    <cellStyle name="Normal 24" xfId="1857" xr:uid="{00000000-0005-0000-0000-0000C5210000}"/>
    <cellStyle name="Normal 24 2" xfId="8951" xr:uid="{00000000-0005-0000-0000-0000C6210000}"/>
    <cellStyle name="Normal 24 3" xfId="8952" xr:uid="{00000000-0005-0000-0000-0000C7210000}"/>
    <cellStyle name="Normal 25" xfId="1858" xr:uid="{00000000-0005-0000-0000-0000C8210000}"/>
    <cellStyle name="Normal 25 2" xfId="8953" xr:uid="{00000000-0005-0000-0000-0000C9210000}"/>
    <cellStyle name="Normal 26" xfId="1859" xr:uid="{00000000-0005-0000-0000-0000CA210000}"/>
    <cellStyle name="Normal 26 2" xfId="8954" xr:uid="{00000000-0005-0000-0000-0000CB210000}"/>
    <cellStyle name="Normal 26 2 2" xfId="8955" xr:uid="{00000000-0005-0000-0000-0000CC210000}"/>
    <cellStyle name="Normal 26 3" xfId="8956" xr:uid="{00000000-0005-0000-0000-0000CD210000}"/>
    <cellStyle name="Normal 26 3 2" xfId="8957" xr:uid="{00000000-0005-0000-0000-0000CE210000}"/>
    <cellStyle name="Normal 26 3 3" xfId="8958" xr:uid="{00000000-0005-0000-0000-0000CF210000}"/>
    <cellStyle name="Normal 26 4" xfId="8959" xr:uid="{00000000-0005-0000-0000-0000D0210000}"/>
    <cellStyle name="Normal 26 4 2" xfId="8960" xr:uid="{00000000-0005-0000-0000-0000D1210000}"/>
    <cellStyle name="Normal 26 4 3" xfId="8961" xr:uid="{00000000-0005-0000-0000-0000D2210000}"/>
    <cellStyle name="Normal 26 5" xfId="8962" xr:uid="{00000000-0005-0000-0000-0000D3210000}"/>
    <cellStyle name="Normal 26 5 2" xfId="8963" xr:uid="{00000000-0005-0000-0000-0000D4210000}"/>
    <cellStyle name="Normal 26 6" xfId="8964" xr:uid="{00000000-0005-0000-0000-0000D5210000}"/>
    <cellStyle name="Normal 26 7" xfId="8965" xr:uid="{00000000-0005-0000-0000-0000D6210000}"/>
    <cellStyle name="Normal 26 8" xfId="8966" xr:uid="{00000000-0005-0000-0000-0000D7210000}"/>
    <cellStyle name="Normal 27" xfId="1860" xr:uid="{00000000-0005-0000-0000-0000D8210000}"/>
    <cellStyle name="Normal 27 2" xfId="8967" xr:uid="{00000000-0005-0000-0000-0000D9210000}"/>
    <cellStyle name="Normal 27 2 2" xfId="8968" xr:uid="{00000000-0005-0000-0000-0000DA210000}"/>
    <cellStyle name="Normal 27 2 2 2" xfId="8969" xr:uid="{00000000-0005-0000-0000-0000DB210000}"/>
    <cellStyle name="Normal 27 2 2 3" xfId="8970" xr:uid="{00000000-0005-0000-0000-0000DC210000}"/>
    <cellStyle name="Normal 27 2 3" xfId="8971" xr:uid="{00000000-0005-0000-0000-0000DD210000}"/>
    <cellStyle name="Normal 27 2 4" xfId="8972" xr:uid="{00000000-0005-0000-0000-0000DE210000}"/>
    <cellStyle name="Normal 27 3" xfId="8973" xr:uid="{00000000-0005-0000-0000-0000DF210000}"/>
    <cellStyle name="Normal 27 3 2" xfId="8974" xr:uid="{00000000-0005-0000-0000-0000E0210000}"/>
    <cellStyle name="Normal 27 3 3" xfId="8975" xr:uid="{00000000-0005-0000-0000-0000E1210000}"/>
    <cellStyle name="Normal 27 4" xfId="8976" xr:uid="{00000000-0005-0000-0000-0000E2210000}"/>
    <cellStyle name="Normal 27 5" xfId="8977" xr:uid="{00000000-0005-0000-0000-0000E3210000}"/>
    <cellStyle name="Normal 28" xfId="1861" xr:uid="{00000000-0005-0000-0000-0000E4210000}"/>
    <cellStyle name="Normal 28 2" xfId="8978" xr:uid="{00000000-0005-0000-0000-0000E5210000}"/>
    <cellStyle name="Normal 28 2 2" xfId="8979" xr:uid="{00000000-0005-0000-0000-0000E6210000}"/>
    <cellStyle name="Normal 28 2 2 2" xfId="8980" xr:uid="{00000000-0005-0000-0000-0000E7210000}"/>
    <cellStyle name="Normal 28 2 3" xfId="8981" xr:uid="{00000000-0005-0000-0000-0000E8210000}"/>
    <cellStyle name="Normal 28 2 3 2" xfId="8982" xr:uid="{00000000-0005-0000-0000-0000E9210000}"/>
    <cellStyle name="Normal 28 2 4" xfId="8983" xr:uid="{00000000-0005-0000-0000-0000EA210000}"/>
    <cellStyle name="Normal 28 3" xfId="8984" xr:uid="{00000000-0005-0000-0000-0000EB210000}"/>
    <cellStyle name="Normal 28 3 2" xfId="8985" xr:uid="{00000000-0005-0000-0000-0000EC210000}"/>
    <cellStyle name="Normal 28 4" xfId="8986" xr:uid="{00000000-0005-0000-0000-0000ED210000}"/>
    <cellStyle name="Normal 28 4 2" xfId="8987" xr:uid="{00000000-0005-0000-0000-0000EE210000}"/>
    <cellStyle name="Normal 28 4 3" xfId="8988" xr:uid="{00000000-0005-0000-0000-0000EF210000}"/>
    <cellStyle name="Normal 28 5" xfId="8989" xr:uid="{00000000-0005-0000-0000-0000F0210000}"/>
    <cellStyle name="Normal 28 5 2" xfId="8990" xr:uid="{00000000-0005-0000-0000-0000F1210000}"/>
    <cellStyle name="Normal 28 6" xfId="8991" xr:uid="{00000000-0005-0000-0000-0000F2210000}"/>
    <cellStyle name="Normal 28 7" xfId="8992" xr:uid="{00000000-0005-0000-0000-0000F3210000}"/>
    <cellStyle name="Normal 28 8" xfId="8993" xr:uid="{00000000-0005-0000-0000-0000F4210000}"/>
    <cellStyle name="Normal 29" xfId="1862" xr:uid="{00000000-0005-0000-0000-0000F5210000}"/>
    <cellStyle name="Normal 29 2" xfId="8994" xr:uid="{00000000-0005-0000-0000-0000F6210000}"/>
    <cellStyle name="Normal 29 2 2" xfId="8995" xr:uid="{00000000-0005-0000-0000-0000F7210000}"/>
    <cellStyle name="Normal 29 2 3" xfId="8996" xr:uid="{00000000-0005-0000-0000-0000F8210000}"/>
    <cellStyle name="Normal 29 2 4" xfId="8997" xr:uid="{00000000-0005-0000-0000-0000F9210000}"/>
    <cellStyle name="Normal 29 3" xfId="8998" xr:uid="{00000000-0005-0000-0000-0000FA210000}"/>
    <cellStyle name="Normal 29 3 2" xfId="8999" xr:uid="{00000000-0005-0000-0000-0000FB210000}"/>
    <cellStyle name="Normal 29 4" xfId="9000" xr:uid="{00000000-0005-0000-0000-0000FC210000}"/>
    <cellStyle name="Normal 29 5" xfId="9001" xr:uid="{00000000-0005-0000-0000-0000FD210000}"/>
    <cellStyle name="Normal 29 6" xfId="9002" xr:uid="{00000000-0005-0000-0000-0000FE210000}"/>
    <cellStyle name="Normal 3" xfId="60" xr:uid="{00000000-0005-0000-0000-0000FF210000}"/>
    <cellStyle name="Normal 3 10" xfId="1863" xr:uid="{00000000-0005-0000-0000-000000220000}"/>
    <cellStyle name="Normal 3 11" xfId="1864" xr:uid="{00000000-0005-0000-0000-000001220000}"/>
    <cellStyle name="Normal 3 12" xfId="1865" xr:uid="{00000000-0005-0000-0000-000002220000}"/>
    <cellStyle name="Normal 3 13" xfId="1866" xr:uid="{00000000-0005-0000-0000-000003220000}"/>
    <cellStyle name="Normal 3 14" xfId="1867" xr:uid="{00000000-0005-0000-0000-000004220000}"/>
    <cellStyle name="Normal 3 15" xfId="1868" xr:uid="{00000000-0005-0000-0000-000005220000}"/>
    <cellStyle name="Normal 3 16" xfId="1869" xr:uid="{00000000-0005-0000-0000-000006220000}"/>
    <cellStyle name="Normal 3 17" xfId="1870" xr:uid="{00000000-0005-0000-0000-000007220000}"/>
    <cellStyle name="Normal 3 17 2" xfId="9003" xr:uid="{00000000-0005-0000-0000-000008220000}"/>
    <cellStyle name="Normal 3 17 2 2" xfId="9004" xr:uid="{00000000-0005-0000-0000-000009220000}"/>
    <cellStyle name="Normal 3 17 3" xfId="9005" xr:uid="{00000000-0005-0000-0000-00000A220000}"/>
    <cellStyle name="Normal 3 18" xfId="1871" xr:uid="{00000000-0005-0000-0000-00000B220000}"/>
    <cellStyle name="Normal 3 18 2" xfId="9006" xr:uid="{00000000-0005-0000-0000-00000C220000}"/>
    <cellStyle name="Normal 3 18 2 2" xfId="9007" xr:uid="{00000000-0005-0000-0000-00000D220000}"/>
    <cellStyle name="Normal 3 18 2 3" xfId="9008" xr:uid="{00000000-0005-0000-0000-00000E220000}"/>
    <cellStyle name="Normal 3 18 3" xfId="9009" xr:uid="{00000000-0005-0000-0000-00000F220000}"/>
    <cellStyle name="Normal 3 18 3 2" xfId="9010" xr:uid="{00000000-0005-0000-0000-000010220000}"/>
    <cellStyle name="Normal 3 18 4" xfId="9011" xr:uid="{00000000-0005-0000-0000-000011220000}"/>
    <cellStyle name="Normal 3 18 5" xfId="9012" xr:uid="{00000000-0005-0000-0000-000012220000}"/>
    <cellStyle name="Normal 3 18 6" xfId="9013" xr:uid="{00000000-0005-0000-0000-000013220000}"/>
    <cellStyle name="Normal 3 19" xfId="9014" xr:uid="{00000000-0005-0000-0000-000014220000}"/>
    <cellStyle name="Normal 3 19 2" xfId="9015" xr:uid="{00000000-0005-0000-0000-000015220000}"/>
    <cellStyle name="Normal 3 19 3" xfId="9016" xr:uid="{00000000-0005-0000-0000-000016220000}"/>
    <cellStyle name="Normal 3 2" xfId="1872" xr:uid="{00000000-0005-0000-0000-000017220000}"/>
    <cellStyle name="Normal 3 2 2" xfId="9017" xr:uid="{00000000-0005-0000-0000-000018220000}"/>
    <cellStyle name="Normal 3 2 2 2" xfId="9018" xr:uid="{00000000-0005-0000-0000-000019220000}"/>
    <cellStyle name="Normal 3 2 2 3" xfId="9019" xr:uid="{00000000-0005-0000-0000-00001A220000}"/>
    <cellStyle name="Normal 3 2 3" xfId="9020" xr:uid="{00000000-0005-0000-0000-00001B220000}"/>
    <cellStyle name="Normal 3 2 3 2" xfId="9021" xr:uid="{00000000-0005-0000-0000-00001C220000}"/>
    <cellStyle name="Normal 3 2 4" xfId="9022" xr:uid="{00000000-0005-0000-0000-00001D220000}"/>
    <cellStyle name="Normal 3 2 4 2" xfId="9023" xr:uid="{00000000-0005-0000-0000-00001E220000}"/>
    <cellStyle name="Normal 3 2 4 3" xfId="9024" xr:uid="{00000000-0005-0000-0000-00001F220000}"/>
    <cellStyle name="Normal 3 2 4 4" xfId="9025" xr:uid="{00000000-0005-0000-0000-000020220000}"/>
    <cellStyle name="Normal 3 20" xfId="9026" xr:uid="{00000000-0005-0000-0000-000021220000}"/>
    <cellStyle name="Normal 3 20 2" xfId="9027" xr:uid="{00000000-0005-0000-0000-000022220000}"/>
    <cellStyle name="Normal 3 20 3" xfId="9028" xr:uid="{00000000-0005-0000-0000-000023220000}"/>
    <cellStyle name="Normal 3 21" xfId="9029" xr:uid="{00000000-0005-0000-0000-000024220000}"/>
    <cellStyle name="Normal 3 22" xfId="9030" xr:uid="{00000000-0005-0000-0000-000025220000}"/>
    <cellStyle name="Normal 3 23" xfId="9031" xr:uid="{00000000-0005-0000-0000-000026220000}"/>
    <cellStyle name="Normal 3 3" xfId="1873" xr:uid="{00000000-0005-0000-0000-000027220000}"/>
    <cellStyle name="Normal 3 3 2" xfId="9032" xr:uid="{00000000-0005-0000-0000-000028220000}"/>
    <cellStyle name="Normal 3 3 2 2" xfId="9033" xr:uid="{00000000-0005-0000-0000-000029220000}"/>
    <cellStyle name="Normal 3 3 2 3" xfId="9034" xr:uid="{00000000-0005-0000-0000-00002A220000}"/>
    <cellStyle name="Normal 3 3 3" xfId="9035" xr:uid="{00000000-0005-0000-0000-00002B220000}"/>
    <cellStyle name="Normal 3 3 3 2" xfId="9036" xr:uid="{00000000-0005-0000-0000-00002C220000}"/>
    <cellStyle name="Normal 3 3 4" xfId="9037" xr:uid="{00000000-0005-0000-0000-00002D220000}"/>
    <cellStyle name="Normal 3 3 5" xfId="9038" xr:uid="{00000000-0005-0000-0000-00002E220000}"/>
    <cellStyle name="Normal 3 4" xfId="1874" xr:uid="{00000000-0005-0000-0000-00002F220000}"/>
    <cellStyle name="Normal 3 4 2" xfId="9039" xr:uid="{00000000-0005-0000-0000-000030220000}"/>
    <cellStyle name="Normal 3 4 3" xfId="9040" xr:uid="{00000000-0005-0000-0000-000031220000}"/>
    <cellStyle name="Normal 3 4 3 2" xfId="9041" xr:uid="{00000000-0005-0000-0000-000032220000}"/>
    <cellStyle name="Normal 3 4 4" xfId="9042" xr:uid="{00000000-0005-0000-0000-000033220000}"/>
    <cellStyle name="Normal 3 4 5" xfId="9043" xr:uid="{00000000-0005-0000-0000-000034220000}"/>
    <cellStyle name="Normal 3 5" xfId="1875" xr:uid="{00000000-0005-0000-0000-000035220000}"/>
    <cellStyle name="Normal 3 5 2" xfId="9044" xr:uid="{00000000-0005-0000-0000-000036220000}"/>
    <cellStyle name="Normal 3 6" xfId="1876" xr:uid="{00000000-0005-0000-0000-000037220000}"/>
    <cellStyle name="Normal 3 7" xfId="1877" xr:uid="{00000000-0005-0000-0000-000038220000}"/>
    <cellStyle name="Normal 3 8" xfId="1878" xr:uid="{00000000-0005-0000-0000-000039220000}"/>
    <cellStyle name="Normal 3 9" xfId="1879" xr:uid="{00000000-0005-0000-0000-00003A220000}"/>
    <cellStyle name="Normal 3_LGEElecBillingDeterminants2009-10" xfId="9045" xr:uid="{00000000-0005-0000-0000-00003B220000}"/>
    <cellStyle name="Normal 30" xfId="1880" xr:uid="{00000000-0005-0000-0000-00003C220000}"/>
    <cellStyle name="Normal 30 2" xfId="9046" xr:uid="{00000000-0005-0000-0000-00003D220000}"/>
    <cellStyle name="Normal 30 2 2" xfId="9047" xr:uid="{00000000-0005-0000-0000-00003E220000}"/>
    <cellStyle name="Normal 30 2 3" xfId="9048" xr:uid="{00000000-0005-0000-0000-00003F220000}"/>
    <cellStyle name="Normal 30 2 4" xfId="9049" xr:uid="{00000000-0005-0000-0000-000040220000}"/>
    <cellStyle name="Normal 30 3" xfId="9050" xr:uid="{00000000-0005-0000-0000-000041220000}"/>
    <cellStyle name="Normal 30 3 2" xfId="9051" xr:uid="{00000000-0005-0000-0000-000042220000}"/>
    <cellStyle name="Normal 30 4" xfId="9052" xr:uid="{00000000-0005-0000-0000-000043220000}"/>
    <cellStyle name="Normal 30 5" xfId="9053" xr:uid="{00000000-0005-0000-0000-000044220000}"/>
    <cellStyle name="Normal 30 6" xfId="9054" xr:uid="{00000000-0005-0000-0000-000045220000}"/>
    <cellStyle name="Normal 30 7" xfId="9055" xr:uid="{00000000-0005-0000-0000-000046220000}"/>
    <cellStyle name="Normal 31" xfId="1881" xr:uid="{00000000-0005-0000-0000-000047220000}"/>
    <cellStyle name="Normal 31 2" xfId="1882" xr:uid="{00000000-0005-0000-0000-000048220000}"/>
    <cellStyle name="Normal 31 2 2" xfId="9056" xr:uid="{00000000-0005-0000-0000-000049220000}"/>
    <cellStyle name="Normal 31 2 3" xfId="9057" xr:uid="{00000000-0005-0000-0000-00004A220000}"/>
    <cellStyle name="Normal 31 2 4" xfId="9058" xr:uid="{00000000-0005-0000-0000-00004B220000}"/>
    <cellStyle name="Normal 31 3" xfId="1883" xr:uid="{00000000-0005-0000-0000-00004C220000}"/>
    <cellStyle name="Normal 31 3 2" xfId="9059" xr:uid="{00000000-0005-0000-0000-00004D220000}"/>
    <cellStyle name="Normal 31 4" xfId="1884" xr:uid="{00000000-0005-0000-0000-00004E220000}"/>
    <cellStyle name="Normal 31 5" xfId="1885" xr:uid="{00000000-0005-0000-0000-00004F220000}"/>
    <cellStyle name="Normal 31 6" xfId="9060" xr:uid="{00000000-0005-0000-0000-000050220000}"/>
    <cellStyle name="Normal 31 7" xfId="9061" xr:uid="{00000000-0005-0000-0000-000051220000}"/>
    <cellStyle name="Normal 32" xfId="1886" xr:uid="{00000000-0005-0000-0000-000052220000}"/>
    <cellStyle name="Normal 32 2" xfId="9062" xr:uid="{00000000-0005-0000-0000-000053220000}"/>
    <cellStyle name="Normal 32 2 2" xfId="9063" xr:uid="{00000000-0005-0000-0000-000054220000}"/>
    <cellStyle name="Normal 32 2 3" xfId="9064" xr:uid="{00000000-0005-0000-0000-000055220000}"/>
    <cellStyle name="Normal 32 2 4" xfId="9065" xr:uid="{00000000-0005-0000-0000-000056220000}"/>
    <cellStyle name="Normal 32 3" xfId="9066" xr:uid="{00000000-0005-0000-0000-000057220000}"/>
    <cellStyle name="Normal 32 3 2" xfId="9067" xr:uid="{00000000-0005-0000-0000-000058220000}"/>
    <cellStyle name="Normal 32 4" xfId="9068" xr:uid="{00000000-0005-0000-0000-000059220000}"/>
    <cellStyle name="Normal 32 5" xfId="9069" xr:uid="{00000000-0005-0000-0000-00005A220000}"/>
    <cellStyle name="Normal 32 6" xfId="9070" xr:uid="{00000000-0005-0000-0000-00005B220000}"/>
    <cellStyle name="Normal 32 7" xfId="9071" xr:uid="{00000000-0005-0000-0000-00005C220000}"/>
    <cellStyle name="Normal 33" xfId="1887" xr:uid="{00000000-0005-0000-0000-00005D220000}"/>
    <cellStyle name="Normal 33 2" xfId="9072" xr:uid="{00000000-0005-0000-0000-00005E220000}"/>
    <cellStyle name="Normal 33 2 2" xfId="9073" xr:uid="{00000000-0005-0000-0000-00005F220000}"/>
    <cellStyle name="Normal 33 2 3" xfId="9074" xr:uid="{00000000-0005-0000-0000-000060220000}"/>
    <cellStyle name="Normal 33 2 4" xfId="9075" xr:uid="{00000000-0005-0000-0000-000061220000}"/>
    <cellStyle name="Normal 33 3" xfId="9076" xr:uid="{00000000-0005-0000-0000-000062220000}"/>
    <cellStyle name="Normal 33 4" xfId="9077" xr:uid="{00000000-0005-0000-0000-000063220000}"/>
    <cellStyle name="Normal 33 5" xfId="9078" xr:uid="{00000000-0005-0000-0000-000064220000}"/>
    <cellStyle name="Normal 33 6" xfId="9079" xr:uid="{00000000-0005-0000-0000-000065220000}"/>
    <cellStyle name="Normal 34" xfId="1888" xr:uid="{00000000-0005-0000-0000-000066220000}"/>
    <cellStyle name="Normal 34 2" xfId="9080" xr:uid="{00000000-0005-0000-0000-000067220000}"/>
    <cellStyle name="Normal 34 2 2" xfId="9081" xr:uid="{00000000-0005-0000-0000-000068220000}"/>
    <cellStyle name="Normal 34 3" xfId="9082" xr:uid="{00000000-0005-0000-0000-000069220000}"/>
    <cellStyle name="Normal 34 4" xfId="9083" xr:uid="{00000000-0005-0000-0000-00006A220000}"/>
    <cellStyle name="Normal 34 4 2" xfId="9084" xr:uid="{00000000-0005-0000-0000-00006B220000}"/>
    <cellStyle name="Normal 34 4 3" xfId="9085" xr:uid="{00000000-0005-0000-0000-00006C220000}"/>
    <cellStyle name="Normal 34 5" xfId="9086" xr:uid="{00000000-0005-0000-0000-00006D220000}"/>
    <cellStyle name="Normal 34 6" xfId="9087" xr:uid="{00000000-0005-0000-0000-00006E220000}"/>
    <cellStyle name="Normal 34 7" xfId="9088" xr:uid="{00000000-0005-0000-0000-00006F220000}"/>
    <cellStyle name="Normal 35" xfId="63" xr:uid="{00000000-0005-0000-0000-000070220000}"/>
    <cellStyle name="Normal 35 2" xfId="9089" xr:uid="{00000000-0005-0000-0000-000071220000}"/>
    <cellStyle name="Normal 35 2 2" xfId="9090" xr:uid="{00000000-0005-0000-0000-000072220000}"/>
    <cellStyle name="Normal 35 2 3" xfId="9091" xr:uid="{00000000-0005-0000-0000-000073220000}"/>
    <cellStyle name="Normal 35 3" xfId="9092" xr:uid="{00000000-0005-0000-0000-000074220000}"/>
    <cellStyle name="Normal 35 4" xfId="9093" xr:uid="{00000000-0005-0000-0000-000075220000}"/>
    <cellStyle name="Normal 35 5" xfId="9094" xr:uid="{00000000-0005-0000-0000-000076220000}"/>
    <cellStyle name="Normal 36" xfId="2154" xr:uid="{00000000-0005-0000-0000-000077220000}"/>
    <cellStyle name="Normal 36 2" xfId="1889" xr:uid="{00000000-0005-0000-0000-000078220000}"/>
    <cellStyle name="Normal 36 2 2" xfId="9095" xr:uid="{00000000-0005-0000-0000-000079220000}"/>
    <cellStyle name="Normal 36 2 3" xfId="9096" xr:uid="{00000000-0005-0000-0000-00007A220000}"/>
    <cellStyle name="Normal 36 3" xfId="1890" xr:uid="{00000000-0005-0000-0000-00007B220000}"/>
    <cellStyle name="Normal 36 4" xfId="1891" xr:uid="{00000000-0005-0000-0000-00007C220000}"/>
    <cellStyle name="Normal 36 5" xfId="1892" xr:uid="{00000000-0005-0000-0000-00007D220000}"/>
    <cellStyle name="Normal 37" xfId="1893" xr:uid="{00000000-0005-0000-0000-00007E220000}"/>
    <cellStyle name="Normal 37 2" xfId="9097" xr:uid="{00000000-0005-0000-0000-00007F220000}"/>
    <cellStyle name="Normal 37 2 2" xfId="9098" xr:uid="{00000000-0005-0000-0000-000080220000}"/>
    <cellStyle name="Normal 37 3" xfId="9099" xr:uid="{00000000-0005-0000-0000-000081220000}"/>
    <cellStyle name="Normal 37 4" xfId="9100" xr:uid="{00000000-0005-0000-0000-000082220000}"/>
    <cellStyle name="Normal 37 5" xfId="9101" xr:uid="{00000000-0005-0000-0000-000083220000}"/>
    <cellStyle name="Normal 38" xfId="1894" xr:uid="{00000000-0005-0000-0000-000084220000}"/>
    <cellStyle name="Normal 38 2" xfId="9102" xr:uid="{00000000-0005-0000-0000-000085220000}"/>
    <cellStyle name="Normal 38 2 2" xfId="9103" xr:uid="{00000000-0005-0000-0000-000086220000}"/>
    <cellStyle name="Normal 38 3" xfId="9104" xr:uid="{00000000-0005-0000-0000-000087220000}"/>
    <cellStyle name="Normal 38 4" xfId="9105" xr:uid="{00000000-0005-0000-0000-000088220000}"/>
    <cellStyle name="Normal 38 5" xfId="9106" xr:uid="{00000000-0005-0000-0000-000089220000}"/>
    <cellStyle name="Normal 39" xfId="9107" xr:uid="{00000000-0005-0000-0000-00008A220000}"/>
    <cellStyle name="Normal 39 2" xfId="9108" xr:uid="{00000000-0005-0000-0000-00008B220000}"/>
    <cellStyle name="Normal 39 3" xfId="9109" xr:uid="{00000000-0005-0000-0000-00008C220000}"/>
    <cellStyle name="Normal 4" xfId="61" xr:uid="{00000000-0005-0000-0000-00008D220000}"/>
    <cellStyle name="Normal 4 10" xfId="9110" xr:uid="{00000000-0005-0000-0000-00008E220000}"/>
    <cellStyle name="Normal 4 11" xfId="9111" xr:uid="{00000000-0005-0000-0000-00008F220000}"/>
    <cellStyle name="Normal 4 2" xfId="62" xr:uid="{00000000-0005-0000-0000-000090220000}"/>
    <cellStyle name="Normal 4 2 10" xfId="9112" xr:uid="{00000000-0005-0000-0000-000091220000}"/>
    <cellStyle name="Normal 4 2 10 2" xfId="9113" xr:uid="{00000000-0005-0000-0000-000092220000}"/>
    <cellStyle name="Normal 4 2 10 2 2" xfId="9114" xr:uid="{00000000-0005-0000-0000-000093220000}"/>
    <cellStyle name="Normal 4 2 10 3" xfId="9115" xr:uid="{00000000-0005-0000-0000-000094220000}"/>
    <cellStyle name="Normal 4 2 10 4" xfId="9116" xr:uid="{00000000-0005-0000-0000-000095220000}"/>
    <cellStyle name="Normal 4 2 10 5" xfId="9117" xr:uid="{00000000-0005-0000-0000-000096220000}"/>
    <cellStyle name="Normal 4 2 11" xfId="9118" xr:uid="{00000000-0005-0000-0000-000097220000}"/>
    <cellStyle name="Normal 4 2 2" xfId="9119" xr:uid="{00000000-0005-0000-0000-000098220000}"/>
    <cellStyle name="Normal 4 2 2 10" xfId="9120" xr:uid="{00000000-0005-0000-0000-000099220000}"/>
    <cellStyle name="Normal 4 2 2 11" xfId="9121" xr:uid="{00000000-0005-0000-0000-00009A220000}"/>
    <cellStyle name="Normal 4 2 2 2" xfId="9122" xr:uid="{00000000-0005-0000-0000-00009B220000}"/>
    <cellStyle name="Normal 4 2 2 2 10" xfId="9123" xr:uid="{00000000-0005-0000-0000-00009C220000}"/>
    <cellStyle name="Normal 4 2 2 2 2" xfId="9124" xr:uid="{00000000-0005-0000-0000-00009D220000}"/>
    <cellStyle name="Normal 4 2 2 2 2 2" xfId="9125" xr:uid="{00000000-0005-0000-0000-00009E220000}"/>
    <cellStyle name="Normal 4 2 2 2 2 2 2" xfId="9126" xr:uid="{00000000-0005-0000-0000-00009F220000}"/>
    <cellStyle name="Normal 4 2 2 2 2 2 2 2" xfId="9127" xr:uid="{00000000-0005-0000-0000-0000A0220000}"/>
    <cellStyle name="Normal 4 2 2 2 2 2 2 2 2" xfId="9128" xr:uid="{00000000-0005-0000-0000-0000A1220000}"/>
    <cellStyle name="Normal 4 2 2 2 2 2 2 2 3" xfId="9129" xr:uid="{00000000-0005-0000-0000-0000A2220000}"/>
    <cellStyle name="Normal 4 2 2 2 2 2 2 3" xfId="9130" xr:uid="{00000000-0005-0000-0000-0000A3220000}"/>
    <cellStyle name="Normal 4 2 2 2 2 2 2 3 2" xfId="9131" xr:uid="{00000000-0005-0000-0000-0000A4220000}"/>
    <cellStyle name="Normal 4 2 2 2 2 2 2 4" xfId="9132" xr:uid="{00000000-0005-0000-0000-0000A5220000}"/>
    <cellStyle name="Normal 4 2 2 2 2 2 2 5" xfId="9133" xr:uid="{00000000-0005-0000-0000-0000A6220000}"/>
    <cellStyle name="Normal 4 2 2 2 2 2 3" xfId="9134" xr:uid="{00000000-0005-0000-0000-0000A7220000}"/>
    <cellStyle name="Normal 4 2 2 2 2 2 3 2" xfId="9135" xr:uid="{00000000-0005-0000-0000-0000A8220000}"/>
    <cellStyle name="Normal 4 2 2 2 2 2 3 3" xfId="9136" xr:uid="{00000000-0005-0000-0000-0000A9220000}"/>
    <cellStyle name="Normal 4 2 2 2 2 2 4" xfId="9137" xr:uid="{00000000-0005-0000-0000-0000AA220000}"/>
    <cellStyle name="Normal 4 2 2 2 2 2 4 2" xfId="9138" xr:uid="{00000000-0005-0000-0000-0000AB220000}"/>
    <cellStyle name="Normal 4 2 2 2 2 2 5" xfId="9139" xr:uid="{00000000-0005-0000-0000-0000AC220000}"/>
    <cellStyle name="Normal 4 2 2 2 2 2 6" xfId="9140" xr:uid="{00000000-0005-0000-0000-0000AD220000}"/>
    <cellStyle name="Normal 4 2 2 2 2 3" xfId="9141" xr:uid="{00000000-0005-0000-0000-0000AE220000}"/>
    <cellStyle name="Normal 4 2 2 2 2 3 2" xfId="9142" xr:uid="{00000000-0005-0000-0000-0000AF220000}"/>
    <cellStyle name="Normal 4 2 2 2 2 3 2 2" xfId="9143" xr:uid="{00000000-0005-0000-0000-0000B0220000}"/>
    <cellStyle name="Normal 4 2 2 2 2 3 2 2 2" xfId="9144" xr:uid="{00000000-0005-0000-0000-0000B1220000}"/>
    <cellStyle name="Normal 4 2 2 2 2 3 2 3" xfId="9145" xr:uid="{00000000-0005-0000-0000-0000B2220000}"/>
    <cellStyle name="Normal 4 2 2 2 2 3 2 4" xfId="9146" xr:uid="{00000000-0005-0000-0000-0000B3220000}"/>
    <cellStyle name="Normal 4 2 2 2 2 3 2 5" xfId="9147" xr:uid="{00000000-0005-0000-0000-0000B4220000}"/>
    <cellStyle name="Normal 4 2 2 2 2 3 3" xfId="9148" xr:uid="{00000000-0005-0000-0000-0000B5220000}"/>
    <cellStyle name="Normal 4 2 2 2 2 3 3 2" xfId="9149" xr:uid="{00000000-0005-0000-0000-0000B6220000}"/>
    <cellStyle name="Normal 4 2 2 2 2 3 4" xfId="9150" xr:uid="{00000000-0005-0000-0000-0000B7220000}"/>
    <cellStyle name="Normal 4 2 2 2 2 3 5" xfId="9151" xr:uid="{00000000-0005-0000-0000-0000B8220000}"/>
    <cellStyle name="Normal 4 2 2 2 2 3 6" xfId="9152" xr:uid="{00000000-0005-0000-0000-0000B9220000}"/>
    <cellStyle name="Normal 4 2 2 2 2 4" xfId="9153" xr:uid="{00000000-0005-0000-0000-0000BA220000}"/>
    <cellStyle name="Normal 4 2 2 2 2 4 2" xfId="9154" xr:uid="{00000000-0005-0000-0000-0000BB220000}"/>
    <cellStyle name="Normal 4 2 2 2 2 4 2 2" xfId="9155" xr:uid="{00000000-0005-0000-0000-0000BC220000}"/>
    <cellStyle name="Normal 4 2 2 2 2 4 3" xfId="9156" xr:uid="{00000000-0005-0000-0000-0000BD220000}"/>
    <cellStyle name="Normal 4 2 2 2 2 4 4" xfId="9157" xr:uid="{00000000-0005-0000-0000-0000BE220000}"/>
    <cellStyle name="Normal 4 2 2 2 2 4 5" xfId="9158" xr:uid="{00000000-0005-0000-0000-0000BF220000}"/>
    <cellStyle name="Normal 4 2 2 2 2 5" xfId="9159" xr:uid="{00000000-0005-0000-0000-0000C0220000}"/>
    <cellStyle name="Normal 4 2 2 2 2 5 2" xfId="9160" xr:uid="{00000000-0005-0000-0000-0000C1220000}"/>
    <cellStyle name="Normal 4 2 2 2 2 5 2 2" xfId="9161" xr:uid="{00000000-0005-0000-0000-0000C2220000}"/>
    <cellStyle name="Normal 4 2 2 2 2 5 3" xfId="9162" xr:uid="{00000000-0005-0000-0000-0000C3220000}"/>
    <cellStyle name="Normal 4 2 2 2 2 5 4" xfId="9163" xr:uid="{00000000-0005-0000-0000-0000C4220000}"/>
    <cellStyle name="Normal 4 2 2 2 2 5 5" xfId="9164" xr:uid="{00000000-0005-0000-0000-0000C5220000}"/>
    <cellStyle name="Normal 4 2 2 2 2 6" xfId="9165" xr:uid="{00000000-0005-0000-0000-0000C6220000}"/>
    <cellStyle name="Normal 4 2 2 2 2 6 2" xfId="9166" xr:uid="{00000000-0005-0000-0000-0000C7220000}"/>
    <cellStyle name="Normal 4 2 2 2 2 7" xfId="9167" xr:uid="{00000000-0005-0000-0000-0000C8220000}"/>
    <cellStyle name="Normal 4 2 2 2 2 8" xfId="9168" xr:uid="{00000000-0005-0000-0000-0000C9220000}"/>
    <cellStyle name="Normal 4 2 2 2 2 9" xfId="9169" xr:uid="{00000000-0005-0000-0000-0000CA220000}"/>
    <cellStyle name="Normal 4 2 2 2 3" xfId="9170" xr:uid="{00000000-0005-0000-0000-0000CB220000}"/>
    <cellStyle name="Normal 4 2 2 2 3 2" xfId="9171" xr:uid="{00000000-0005-0000-0000-0000CC220000}"/>
    <cellStyle name="Normal 4 2 2 2 3 2 2" xfId="9172" xr:uid="{00000000-0005-0000-0000-0000CD220000}"/>
    <cellStyle name="Normal 4 2 2 2 3 2 2 2" xfId="9173" xr:uid="{00000000-0005-0000-0000-0000CE220000}"/>
    <cellStyle name="Normal 4 2 2 2 3 2 2 3" xfId="9174" xr:uid="{00000000-0005-0000-0000-0000CF220000}"/>
    <cellStyle name="Normal 4 2 2 2 3 2 3" xfId="9175" xr:uid="{00000000-0005-0000-0000-0000D0220000}"/>
    <cellStyle name="Normal 4 2 2 2 3 2 3 2" xfId="9176" xr:uid="{00000000-0005-0000-0000-0000D1220000}"/>
    <cellStyle name="Normal 4 2 2 2 3 2 4" xfId="9177" xr:uid="{00000000-0005-0000-0000-0000D2220000}"/>
    <cellStyle name="Normal 4 2 2 2 3 2 5" xfId="9178" xr:uid="{00000000-0005-0000-0000-0000D3220000}"/>
    <cellStyle name="Normal 4 2 2 2 3 3" xfId="9179" xr:uid="{00000000-0005-0000-0000-0000D4220000}"/>
    <cellStyle name="Normal 4 2 2 2 3 3 2" xfId="9180" xr:uid="{00000000-0005-0000-0000-0000D5220000}"/>
    <cellStyle name="Normal 4 2 2 2 3 3 3" xfId="9181" xr:uid="{00000000-0005-0000-0000-0000D6220000}"/>
    <cellStyle name="Normal 4 2 2 2 3 4" xfId="9182" xr:uid="{00000000-0005-0000-0000-0000D7220000}"/>
    <cellStyle name="Normal 4 2 2 2 3 4 2" xfId="9183" xr:uid="{00000000-0005-0000-0000-0000D8220000}"/>
    <cellStyle name="Normal 4 2 2 2 3 5" xfId="9184" xr:uid="{00000000-0005-0000-0000-0000D9220000}"/>
    <cellStyle name="Normal 4 2 2 2 3 6" xfId="9185" xr:uid="{00000000-0005-0000-0000-0000DA220000}"/>
    <cellStyle name="Normal 4 2 2 2 4" xfId="9186" xr:uid="{00000000-0005-0000-0000-0000DB220000}"/>
    <cellStyle name="Normal 4 2 2 2 4 2" xfId="9187" xr:uid="{00000000-0005-0000-0000-0000DC220000}"/>
    <cellStyle name="Normal 4 2 2 2 4 2 2" xfId="9188" xr:uid="{00000000-0005-0000-0000-0000DD220000}"/>
    <cellStyle name="Normal 4 2 2 2 4 2 2 2" xfId="9189" xr:uid="{00000000-0005-0000-0000-0000DE220000}"/>
    <cellStyle name="Normal 4 2 2 2 4 2 3" xfId="9190" xr:uid="{00000000-0005-0000-0000-0000DF220000}"/>
    <cellStyle name="Normal 4 2 2 2 4 2 4" xfId="9191" xr:uid="{00000000-0005-0000-0000-0000E0220000}"/>
    <cellStyle name="Normal 4 2 2 2 4 2 5" xfId="9192" xr:uid="{00000000-0005-0000-0000-0000E1220000}"/>
    <cellStyle name="Normal 4 2 2 2 4 3" xfId="9193" xr:uid="{00000000-0005-0000-0000-0000E2220000}"/>
    <cellStyle name="Normal 4 2 2 2 4 3 2" xfId="9194" xr:uid="{00000000-0005-0000-0000-0000E3220000}"/>
    <cellStyle name="Normal 4 2 2 2 4 4" xfId="9195" xr:uid="{00000000-0005-0000-0000-0000E4220000}"/>
    <cellStyle name="Normal 4 2 2 2 4 5" xfId="9196" xr:uid="{00000000-0005-0000-0000-0000E5220000}"/>
    <cellStyle name="Normal 4 2 2 2 4 6" xfId="9197" xr:uid="{00000000-0005-0000-0000-0000E6220000}"/>
    <cellStyle name="Normal 4 2 2 2 5" xfId="9198" xr:uid="{00000000-0005-0000-0000-0000E7220000}"/>
    <cellStyle name="Normal 4 2 2 2 5 2" xfId="9199" xr:uid="{00000000-0005-0000-0000-0000E8220000}"/>
    <cellStyle name="Normal 4 2 2 2 5 2 2" xfId="9200" xr:uid="{00000000-0005-0000-0000-0000E9220000}"/>
    <cellStyle name="Normal 4 2 2 2 5 3" xfId="9201" xr:uid="{00000000-0005-0000-0000-0000EA220000}"/>
    <cellStyle name="Normal 4 2 2 2 5 4" xfId="9202" xr:uid="{00000000-0005-0000-0000-0000EB220000}"/>
    <cellStyle name="Normal 4 2 2 2 5 5" xfId="9203" xr:uid="{00000000-0005-0000-0000-0000EC220000}"/>
    <cellStyle name="Normal 4 2 2 2 6" xfId="9204" xr:uid="{00000000-0005-0000-0000-0000ED220000}"/>
    <cellStyle name="Normal 4 2 2 2 6 2" xfId="9205" xr:uid="{00000000-0005-0000-0000-0000EE220000}"/>
    <cellStyle name="Normal 4 2 2 2 6 2 2" xfId="9206" xr:uid="{00000000-0005-0000-0000-0000EF220000}"/>
    <cellStyle name="Normal 4 2 2 2 6 3" xfId="9207" xr:uid="{00000000-0005-0000-0000-0000F0220000}"/>
    <cellStyle name="Normal 4 2 2 2 6 4" xfId="9208" xr:uid="{00000000-0005-0000-0000-0000F1220000}"/>
    <cellStyle name="Normal 4 2 2 2 6 5" xfId="9209" xr:uid="{00000000-0005-0000-0000-0000F2220000}"/>
    <cellStyle name="Normal 4 2 2 2 7" xfId="9210" xr:uid="{00000000-0005-0000-0000-0000F3220000}"/>
    <cellStyle name="Normal 4 2 2 2 7 2" xfId="9211" xr:uid="{00000000-0005-0000-0000-0000F4220000}"/>
    <cellStyle name="Normal 4 2 2 2 8" xfId="9212" xr:uid="{00000000-0005-0000-0000-0000F5220000}"/>
    <cellStyle name="Normal 4 2 2 2 9" xfId="9213" xr:uid="{00000000-0005-0000-0000-0000F6220000}"/>
    <cellStyle name="Normal 4 2 2 3" xfId="9214" xr:uid="{00000000-0005-0000-0000-0000F7220000}"/>
    <cellStyle name="Normal 4 2 2 3 2" xfId="9215" xr:uid="{00000000-0005-0000-0000-0000F8220000}"/>
    <cellStyle name="Normal 4 2 2 3 2 2" xfId="9216" xr:uid="{00000000-0005-0000-0000-0000F9220000}"/>
    <cellStyle name="Normal 4 2 2 3 2 2 2" xfId="9217" xr:uid="{00000000-0005-0000-0000-0000FA220000}"/>
    <cellStyle name="Normal 4 2 2 3 2 2 2 2" xfId="9218" xr:uid="{00000000-0005-0000-0000-0000FB220000}"/>
    <cellStyle name="Normal 4 2 2 3 2 2 2 3" xfId="9219" xr:uid="{00000000-0005-0000-0000-0000FC220000}"/>
    <cellStyle name="Normal 4 2 2 3 2 2 3" xfId="9220" xr:uid="{00000000-0005-0000-0000-0000FD220000}"/>
    <cellStyle name="Normal 4 2 2 3 2 2 3 2" xfId="9221" xr:uid="{00000000-0005-0000-0000-0000FE220000}"/>
    <cellStyle name="Normal 4 2 2 3 2 2 4" xfId="9222" xr:uid="{00000000-0005-0000-0000-0000FF220000}"/>
    <cellStyle name="Normal 4 2 2 3 2 2 5" xfId="9223" xr:uid="{00000000-0005-0000-0000-000000230000}"/>
    <cellStyle name="Normal 4 2 2 3 2 3" xfId="9224" xr:uid="{00000000-0005-0000-0000-000001230000}"/>
    <cellStyle name="Normal 4 2 2 3 2 3 2" xfId="9225" xr:uid="{00000000-0005-0000-0000-000002230000}"/>
    <cellStyle name="Normal 4 2 2 3 2 3 3" xfId="9226" xr:uid="{00000000-0005-0000-0000-000003230000}"/>
    <cellStyle name="Normal 4 2 2 3 2 4" xfId="9227" xr:uid="{00000000-0005-0000-0000-000004230000}"/>
    <cellStyle name="Normal 4 2 2 3 2 4 2" xfId="9228" xr:uid="{00000000-0005-0000-0000-000005230000}"/>
    <cellStyle name="Normal 4 2 2 3 2 5" xfId="9229" xr:uid="{00000000-0005-0000-0000-000006230000}"/>
    <cellStyle name="Normal 4 2 2 3 2 6" xfId="9230" xr:uid="{00000000-0005-0000-0000-000007230000}"/>
    <cellStyle name="Normal 4 2 2 3 3" xfId="9231" xr:uid="{00000000-0005-0000-0000-000008230000}"/>
    <cellStyle name="Normal 4 2 2 3 3 2" xfId="9232" xr:uid="{00000000-0005-0000-0000-000009230000}"/>
    <cellStyle name="Normal 4 2 2 3 3 2 2" xfId="9233" xr:uid="{00000000-0005-0000-0000-00000A230000}"/>
    <cellStyle name="Normal 4 2 2 3 3 2 2 2" xfId="9234" xr:uid="{00000000-0005-0000-0000-00000B230000}"/>
    <cellStyle name="Normal 4 2 2 3 3 2 3" xfId="9235" xr:uid="{00000000-0005-0000-0000-00000C230000}"/>
    <cellStyle name="Normal 4 2 2 3 3 2 4" xfId="9236" xr:uid="{00000000-0005-0000-0000-00000D230000}"/>
    <cellStyle name="Normal 4 2 2 3 3 2 5" xfId="9237" xr:uid="{00000000-0005-0000-0000-00000E230000}"/>
    <cellStyle name="Normal 4 2 2 3 3 3" xfId="9238" xr:uid="{00000000-0005-0000-0000-00000F230000}"/>
    <cellStyle name="Normal 4 2 2 3 3 3 2" xfId="9239" xr:uid="{00000000-0005-0000-0000-000010230000}"/>
    <cellStyle name="Normal 4 2 2 3 3 4" xfId="9240" xr:uid="{00000000-0005-0000-0000-000011230000}"/>
    <cellStyle name="Normal 4 2 2 3 3 5" xfId="9241" xr:uid="{00000000-0005-0000-0000-000012230000}"/>
    <cellStyle name="Normal 4 2 2 3 3 6" xfId="9242" xr:uid="{00000000-0005-0000-0000-000013230000}"/>
    <cellStyle name="Normal 4 2 2 3 4" xfId="9243" xr:uid="{00000000-0005-0000-0000-000014230000}"/>
    <cellStyle name="Normal 4 2 2 3 4 2" xfId="9244" xr:uid="{00000000-0005-0000-0000-000015230000}"/>
    <cellStyle name="Normal 4 2 2 3 4 2 2" xfId="9245" xr:uid="{00000000-0005-0000-0000-000016230000}"/>
    <cellStyle name="Normal 4 2 2 3 4 3" xfId="9246" xr:uid="{00000000-0005-0000-0000-000017230000}"/>
    <cellStyle name="Normal 4 2 2 3 4 4" xfId="9247" xr:uid="{00000000-0005-0000-0000-000018230000}"/>
    <cellStyle name="Normal 4 2 2 3 4 5" xfId="9248" xr:uid="{00000000-0005-0000-0000-000019230000}"/>
    <cellStyle name="Normal 4 2 2 3 5" xfId="9249" xr:uid="{00000000-0005-0000-0000-00001A230000}"/>
    <cellStyle name="Normal 4 2 2 3 5 2" xfId="9250" xr:uid="{00000000-0005-0000-0000-00001B230000}"/>
    <cellStyle name="Normal 4 2 2 3 5 2 2" xfId="9251" xr:uid="{00000000-0005-0000-0000-00001C230000}"/>
    <cellStyle name="Normal 4 2 2 3 5 3" xfId="9252" xr:uid="{00000000-0005-0000-0000-00001D230000}"/>
    <cellStyle name="Normal 4 2 2 3 5 4" xfId="9253" xr:uid="{00000000-0005-0000-0000-00001E230000}"/>
    <cellStyle name="Normal 4 2 2 3 5 5" xfId="9254" xr:uid="{00000000-0005-0000-0000-00001F230000}"/>
    <cellStyle name="Normal 4 2 2 3 6" xfId="9255" xr:uid="{00000000-0005-0000-0000-000020230000}"/>
    <cellStyle name="Normal 4 2 2 3 6 2" xfId="9256" xr:uid="{00000000-0005-0000-0000-000021230000}"/>
    <cellStyle name="Normal 4 2 2 3 7" xfId="9257" xr:uid="{00000000-0005-0000-0000-000022230000}"/>
    <cellStyle name="Normal 4 2 2 3 8" xfId="9258" xr:uid="{00000000-0005-0000-0000-000023230000}"/>
    <cellStyle name="Normal 4 2 2 3 9" xfId="9259" xr:uid="{00000000-0005-0000-0000-000024230000}"/>
    <cellStyle name="Normal 4 2 2 4" xfId="9260" xr:uid="{00000000-0005-0000-0000-000025230000}"/>
    <cellStyle name="Normal 4 2 2 4 2" xfId="9261" xr:uid="{00000000-0005-0000-0000-000026230000}"/>
    <cellStyle name="Normal 4 2 2 4 2 2" xfId="9262" xr:uid="{00000000-0005-0000-0000-000027230000}"/>
    <cellStyle name="Normal 4 2 2 4 2 2 2" xfId="9263" xr:uid="{00000000-0005-0000-0000-000028230000}"/>
    <cellStyle name="Normal 4 2 2 4 2 2 3" xfId="9264" xr:uid="{00000000-0005-0000-0000-000029230000}"/>
    <cellStyle name="Normal 4 2 2 4 2 3" xfId="9265" xr:uid="{00000000-0005-0000-0000-00002A230000}"/>
    <cellStyle name="Normal 4 2 2 4 2 3 2" xfId="9266" xr:uid="{00000000-0005-0000-0000-00002B230000}"/>
    <cellStyle name="Normal 4 2 2 4 2 4" xfId="9267" xr:uid="{00000000-0005-0000-0000-00002C230000}"/>
    <cellStyle name="Normal 4 2 2 4 2 5" xfId="9268" xr:uid="{00000000-0005-0000-0000-00002D230000}"/>
    <cellStyle name="Normal 4 2 2 4 3" xfId="9269" xr:uid="{00000000-0005-0000-0000-00002E230000}"/>
    <cellStyle name="Normal 4 2 2 4 3 2" xfId="9270" xr:uid="{00000000-0005-0000-0000-00002F230000}"/>
    <cellStyle name="Normal 4 2 2 4 3 3" xfId="9271" xr:uid="{00000000-0005-0000-0000-000030230000}"/>
    <cellStyle name="Normal 4 2 2 4 4" xfId="9272" xr:uid="{00000000-0005-0000-0000-000031230000}"/>
    <cellStyle name="Normal 4 2 2 4 4 2" xfId="9273" xr:uid="{00000000-0005-0000-0000-000032230000}"/>
    <cellStyle name="Normal 4 2 2 4 5" xfId="9274" xr:uid="{00000000-0005-0000-0000-000033230000}"/>
    <cellStyle name="Normal 4 2 2 4 6" xfId="9275" xr:uid="{00000000-0005-0000-0000-000034230000}"/>
    <cellStyle name="Normal 4 2 2 5" xfId="9276" xr:uid="{00000000-0005-0000-0000-000035230000}"/>
    <cellStyle name="Normal 4 2 2 5 2" xfId="9277" xr:uid="{00000000-0005-0000-0000-000036230000}"/>
    <cellStyle name="Normal 4 2 2 5 2 2" xfId="9278" xr:uid="{00000000-0005-0000-0000-000037230000}"/>
    <cellStyle name="Normal 4 2 2 5 2 2 2" xfId="9279" xr:uid="{00000000-0005-0000-0000-000038230000}"/>
    <cellStyle name="Normal 4 2 2 5 2 3" xfId="9280" xr:uid="{00000000-0005-0000-0000-000039230000}"/>
    <cellStyle name="Normal 4 2 2 5 2 4" xfId="9281" xr:uid="{00000000-0005-0000-0000-00003A230000}"/>
    <cellStyle name="Normal 4 2 2 5 2 5" xfId="9282" xr:uid="{00000000-0005-0000-0000-00003B230000}"/>
    <cellStyle name="Normal 4 2 2 5 3" xfId="9283" xr:uid="{00000000-0005-0000-0000-00003C230000}"/>
    <cellStyle name="Normal 4 2 2 5 3 2" xfId="9284" xr:uid="{00000000-0005-0000-0000-00003D230000}"/>
    <cellStyle name="Normal 4 2 2 5 4" xfId="9285" xr:uid="{00000000-0005-0000-0000-00003E230000}"/>
    <cellStyle name="Normal 4 2 2 5 5" xfId="9286" xr:uid="{00000000-0005-0000-0000-00003F230000}"/>
    <cellStyle name="Normal 4 2 2 5 6" xfId="9287" xr:uid="{00000000-0005-0000-0000-000040230000}"/>
    <cellStyle name="Normal 4 2 2 6" xfId="9288" xr:uid="{00000000-0005-0000-0000-000041230000}"/>
    <cellStyle name="Normal 4 2 2 6 2" xfId="9289" xr:uid="{00000000-0005-0000-0000-000042230000}"/>
    <cellStyle name="Normal 4 2 2 6 2 2" xfId="9290" xr:uid="{00000000-0005-0000-0000-000043230000}"/>
    <cellStyle name="Normal 4 2 2 6 3" xfId="9291" xr:uid="{00000000-0005-0000-0000-000044230000}"/>
    <cellStyle name="Normal 4 2 2 6 4" xfId="9292" xr:uid="{00000000-0005-0000-0000-000045230000}"/>
    <cellStyle name="Normal 4 2 2 6 5" xfId="9293" xr:uid="{00000000-0005-0000-0000-000046230000}"/>
    <cellStyle name="Normal 4 2 2 7" xfId="9294" xr:uid="{00000000-0005-0000-0000-000047230000}"/>
    <cellStyle name="Normal 4 2 2 7 2" xfId="9295" xr:uid="{00000000-0005-0000-0000-000048230000}"/>
    <cellStyle name="Normal 4 2 2 7 2 2" xfId="9296" xr:uid="{00000000-0005-0000-0000-000049230000}"/>
    <cellStyle name="Normal 4 2 2 7 3" xfId="9297" xr:uid="{00000000-0005-0000-0000-00004A230000}"/>
    <cellStyle name="Normal 4 2 2 7 4" xfId="9298" xr:uid="{00000000-0005-0000-0000-00004B230000}"/>
    <cellStyle name="Normal 4 2 2 7 5" xfId="9299" xr:uid="{00000000-0005-0000-0000-00004C230000}"/>
    <cellStyle name="Normal 4 2 2 8" xfId="9300" xr:uid="{00000000-0005-0000-0000-00004D230000}"/>
    <cellStyle name="Normal 4 2 2 8 2" xfId="9301" xr:uid="{00000000-0005-0000-0000-00004E230000}"/>
    <cellStyle name="Normal 4 2 2 9" xfId="9302" xr:uid="{00000000-0005-0000-0000-00004F230000}"/>
    <cellStyle name="Normal 4 2 3" xfId="9303" xr:uid="{00000000-0005-0000-0000-000050230000}"/>
    <cellStyle name="Normal 4 2 3 10" xfId="9304" xr:uid="{00000000-0005-0000-0000-000051230000}"/>
    <cellStyle name="Normal 4 2 3 11" xfId="9305" xr:uid="{00000000-0005-0000-0000-000052230000}"/>
    <cellStyle name="Normal 4 2 3 2" xfId="9306" xr:uid="{00000000-0005-0000-0000-000053230000}"/>
    <cellStyle name="Normal 4 2 3 2 10" xfId="9307" xr:uid="{00000000-0005-0000-0000-000054230000}"/>
    <cellStyle name="Normal 4 2 3 2 2" xfId="9308" xr:uid="{00000000-0005-0000-0000-000055230000}"/>
    <cellStyle name="Normal 4 2 3 2 2 2" xfId="9309" xr:uid="{00000000-0005-0000-0000-000056230000}"/>
    <cellStyle name="Normal 4 2 3 2 2 2 2" xfId="9310" xr:uid="{00000000-0005-0000-0000-000057230000}"/>
    <cellStyle name="Normal 4 2 3 2 2 2 2 2" xfId="9311" xr:uid="{00000000-0005-0000-0000-000058230000}"/>
    <cellStyle name="Normal 4 2 3 2 2 2 2 2 2" xfId="9312" xr:uid="{00000000-0005-0000-0000-000059230000}"/>
    <cellStyle name="Normal 4 2 3 2 2 2 2 2 3" xfId="9313" xr:uid="{00000000-0005-0000-0000-00005A230000}"/>
    <cellStyle name="Normal 4 2 3 2 2 2 2 3" xfId="9314" xr:uid="{00000000-0005-0000-0000-00005B230000}"/>
    <cellStyle name="Normal 4 2 3 2 2 2 2 3 2" xfId="9315" xr:uid="{00000000-0005-0000-0000-00005C230000}"/>
    <cellStyle name="Normal 4 2 3 2 2 2 2 4" xfId="9316" xr:uid="{00000000-0005-0000-0000-00005D230000}"/>
    <cellStyle name="Normal 4 2 3 2 2 2 2 5" xfId="9317" xr:uid="{00000000-0005-0000-0000-00005E230000}"/>
    <cellStyle name="Normal 4 2 3 2 2 2 3" xfId="9318" xr:uid="{00000000-0005-0000-0000-00005F230000}"/>
    <cellStyle name="Normal 4 2 3 2 2 2 3 2" xfId="9319" xr:uid="{00000000-0005-0000-0000-000060230000}"/>
    <cellStyle name="Normal 4 2 3 2 2 2 3 3" xfId="9320" xr:uid="{00000000-0005-0000-0000-000061230000}"/>
    <cellStyle name="Normal 4 2 3 2 2 2 4" xfId="9321" xr:uid="{00000000-0005-0000-0000-000062230000}"/>
    <cellStyle name="Normal 4 2 3 2 2 2 4 2" xfId="9322" xr:uid="{00000000-0005-0000-0000-000063230000}"/>
    <cellStyle name="Normal 4 2 3 2 2 2 5" xfId="9323" xr:uid="{00000000-0005-0000-0000-000064230000}"/>
    <cellStyle name="Normal 4 2 3 2 2 2 6" xfId="9324" xr:uid="{00000000-0005-0000-0000-000065230000}"/>
    <cellStyle name="Normal 4 2 3 2 2 3" xfId="9325" xr:uid="{00000000-0005-0000-0000-000066230000}"/>
    <cellStyle name="Normal 4 2 3 2 2 3 2" xfId="9326" xr:uid="{00000000-0005-0000-0000-000067230000}"/>
    <cellStyle name="Normal 4 2 3 2 2 3 2 2" xfId="9327" xr:uid="{00000000-0005-0000-0000-000068230000}"/>
    <cellStyle name="Normal 4 2 3 2 2 3 2 2 2" xfId="9328" xr:uid="{00000000-0005-0000-0000-000069230000}"/>
    <cellStyle name="Normal 4 2 3 2 2 3 2 3" xfId="9329" xr:uid="{00000000-0005-0000-0000-00006A230000}"/>
    <cellStyle name="Normal 4 2 3 2 2 3 2 4" xfId="9330" xr:uid="{00000000-0005-0000-0000-00006B230000}"/>
    <cellStyle name="Normal 4 2 3 2 2 3 2 5" xfId="9331" xr:uid="{00000000-0005-0000-0000-00006C230000}"/>
    <cellStyle name="Normal 4 2 3 2 2 3 3" xfId="9332" xr:uid="{00000000-0005-0000-0000-00006D230000}"/>
    <cellStyle name="Normal 4 2 3 2 2 3 3 2" xfId="9333" xr:uid="{00000000-0005-0000-0000-00006E230000}"/>
    <cellStyle name="Normal 4 2 3 2 2 3 4" xfId="9334" xr:uid="{00000000-0005-0000-0000-00006F230000}"/>
    <cellStyle name="Normal 4 2 3 2 2 3 5" xfId="9335" xr:uid="{00000000-0005-0000-0000-000070230000}"/>
    <cellStyle name="Normal 4 2 3 2 2 3 6" xfId="9336" xr:uid="{00000000-0005-0000-0000-000071230000}"/>
    <cellStyle name="Normal 4 2 3 2 2 4" xfId="9337" xr:uid="{00000000-0005-0000-0000-000072230000}"/>
    <cellStyle name="Normal 4 2 3 2 2 4 2" xfId="9338" xr:uid="{00000000-0005-0000-0000-000073230000}"/>
    <cellStyle name="Normal 4 2 3 2 2 4 2 2" xfId="9339" xr:uid="{00000000-0005-0000-0000-000074230000}"/>
    <cellStyle name="Normal 4 2 3 2 2 4 3" xfId="9340" xr:uid="{00000000-0005-0000-0000-000075230000}"/>
    <cellStyle name="Normal 4 2 3 2 2 4 4" xfId="9341" xr:uid="{00000000-0005-0000-0000-000076230000}"/>
    <cellStyle name="Normal 4 2 3 2 2 4 5" xfId="9342" xr:uid="{00000000-0005-0000-0000-000077230000}"/>
    <cellStyle name="Normal 4 2 3 2 2 5" xfId="9343" xr:uid="{00000000-0005-0000-0000-000078230000}"/>
    <cellStyle name="Normal 4 2 3 2 2 5 2" xfId="9344" xr:uid="{00000000-0005-0000-0000-000079230000}"/>
    <cellStyle name="Normal 4 2 3 2 2 5 2 2" xfId="9345" xr:uid="{00000000-0005-0000-0000-00007A230000}"/>
    <cellStyle name="Normal 4 2 3 2 2 5 3" xfId="9346" xr:uid="{00000000-0005-0000-0000-00007B230000}"/>
    <cellStyle name="Normal 4 2 3 2 2 5 4" xfId="9347" xr:uid="{00000000-0005-0000-0000-00007C230000}"/>
    <cellStyle name="Normal 4 2 3 2 2 5 5" xfId="9348" xr:uid="{00000000-0005-0000-0000-00007D230000}"/>
    <cellStyle name="Normal 4 2 3 2 2 6" xfId="9349" xr:uid="{00000000-0005-0000-0000-00007E230000}"/>
    <cellStyle name="Normal 4 2 3 2 2 6 2" xfId="9350" xr:uid="{00000000-0005-0000-0000-00007F230000}"/>
    <cellStyle name="Normal 4 2 3 2 2 7" xfId="9351" xr:uid="{00000000-0005-0000-0000-000080230000}"/>
    <cellStyle name="Normal 4 2 3 2 2 8" xfId="9352" xr:uid="{00000000-0005-0000-0000-000081230000}"/>
    <cellStyle name="Normal 4 2 3 2 2 9" xfId="9353" xr:uid="{00000000-0005-0000-0000-000082230000}"/>
    <cellStyle name="Normal 4 2 3 2 3" xfId="9354" xr:uid="{00000000-0005-0000-0000-000083230000}"/>
    <cellStyle name="Normal 4 2 3 2 3 2" xfId="9355" xr:uid="{00000000-0005-0000-0000-000084230000}"/>
    <cellStyle name="Normal 4 2 3 2 3 2 2" xfId="9356" xr:uid="{00000000-0005-0000-0000-000085230000}"/>
    <cellStyle name="Normal 4 2 3 2 3 2 2 2" xfId="9357" xr:uid="{00000000-0005-0000-0000-000086230000}"/>
    <cellStyle name="Normal 4 2 3 2 3 2 2 3" xfId="9358" xr:uid="{00000000-0005-0000-0000-000087230000}"/>
    <cellStyle name="Normal 4 2 3 2 3 2 3" xfId="9359" xr:uid="{00000000-0005-0000-0000-000088230000}"/>
    <cellStyle name="Normal 4 2 3 2 3 2 3 2" xfId="9360" xr:uid="{00000000-0005-0000-0000-000089230000}"/>
    <cellStyle name="Normal 4 2 3 2 3 2 4" xfId="9361" xr:uid="{00000000-0005-0000-0000-00008A230000}"/>
    <cellStyle name="Normal 4 2 3 2 3 2 5" xfId="9362" xr:uid="{00000000-0005-0000-0000-00008B230000}"/>
    <cellStyle name="Normal 4 2 3 2 3 3" xfId="9363" xr:uid="{00000000-0005-0000-0000-00008C230000}"/>
    <cellStyle name="Normal 4 2 3 2 3 3 2" xfId="9364" xr:uid="{00000000-0005-0000-0000-00008D230000}"/>
    <cellStyle name="Normal 4 2 3 2 3 3 3" xfId="9365" xr:uid="{00000000-0005-0000-0000-00008E230000}"/>
    <cellStyle name="Normal 4 2 3 2 3 4" xfId="9366" xr:uid="{00000000-0005-0000-0000-00008F230000}"/>
    <cellStyle name="Normal 4 2 3 2 3 4 2" xfId="9367" xr:uid="{00000000-0005-0000-0000-000090230000}"/>
    <cellStyle name="Normal 4 2 3 2 3 5" xfId="9368" xr:uid="{00000000-0005-0000-0000-000091230000}"/>
    <cellStyle name="Normal 4 2 3 2 3 6" xfId="9369" xr:uid="{00000000-0005-0000-0000-000092230000}"/>
    <cellStyle name="Normal 4 2 3 2 4" xfId="9370" xr:uid="{00000000-0005-0000-0000-000093230000}"/>
    <cellStyle name="Normal 4 2 3 2 4 2" xfId="9371" xr:uid="{00000000-0005-0000-0000-000094230000}"/>
    <cellStyle name="Normal 4 2 3 2 4 2 2" xfId="9372" xr:uid="{00000000-0005-0000-0000-000095230000}"/>
    <cellStyle name="Normal 4 2 3 2 4 2 2 2" xfId="9373" xr:uid="{00000000-0005-0000-0000-000096230000}"/>
    <cellStyle name="Normal 4 2 3 2 4 2 3" xfId="9374" xr:uid="{00000000-0005-0000-0000-000097230000}"/>
    <cellStyle name="Normal 4 2 3 2 4 2 4" xfId="9375" xr:uid="{00000000-0005-0000-0000-000098230000}"/>
    <cellStyle name="Normal 4 2 3 2 4 2 5" xfId="9376" xr:uid="{00000000-0005-0000-0000-000099230000}"/>
    <cellStyle name="Normal 4 2 3 2 4 3" xfId="9377" xr:uid="{00000000-0005-0000-0000-00009A230000}"/>
    <cellStyle name="Normal 4 2 3 2 4 3 2" xfId="9378" xr:uid="{00000000-0005-0000-0000-00009B230000}"/>
    <cellStyle name="Normal 4 2 3 2 4 4" xfId="9379" xr:uid="{00000000-0005-0000-0000-00009C230000}"/>
    <cellStyle name="Normal 4 2 3 2 4 5" xfId="9380" xr:uid="{00000000-0005-0000-0000-00009D230000}"/>
    <cellStyle name="Normal 4 2 3 2 4 6" xfId="9381" xr:uid="{00000000-0005-0000-0000-00009E230000}"/>
    <cellStyle name="Normal 4 2 3 2 5" xfId="9382" xr:uid="{00000000-0005-0000-0000-00009F230000}"/>
    <cellStyle name="Normal 4 2 3 2 5 2" xfId="9383" xr:uid="{00000000-0005-0000-0000-0000A0230000}"/>
    <cellStyle name="Normal 4 2 3 2 5 2 2" xfId="9384" xr:uid="{00000000-0005-0000-0000-0000A1230000}"/>
    <cellStyle name="Normal 4 2 3 2 5 3" xfId="9385" xr:uid="{00000000-0005-0000-0000-0000A2230000}"/>
    <cellStyle name="Normal 4 2 3 2 5 4" xfId="9386" xr:uid="{00000000-0005-0000-0000-0000A3230000}"/>
    <cellStyle name="Normal 4 2 3 2 5 5" xfId="9387" xr:uid="{00000000-0005-0000-0000-0000A4230000}"/>
    <cellStyle name="Normal 4 2 3 2 6" xfId="9388" xr:uid="{00000000-0005-0000-0000-0000A5230000}"/>
    <cellStyle name="Normal 4 2 3 2 6 2" xfId="9389" xr:uid="{00000000-0005-0000-0000-0000A6230000}"/>
    <cellStyle name="Normal 4 2 3 2 6 2 2" xfId="9390" xr:uid="{00000000-0005-0000-0000-0000A7230000}"/>
    <cellStyle name="Normal 4 2 3 2 6 3" xfId="9391" xr:uid="{00000000-0005-0000-0000-0000A8230000}"/>
    <cellStyle name="Normal 4 2 3 2 6 4" xfId="9392" xr:uid="{00000000-0005-0000-0000-0000A9230000}"/>
    <cellStyle name="Normal 4 2 3 2 6 5" xfId="9393" xr:uid="{00000000-0005-0000-0000-0000AA230000}"/>
    <cellStyle name="Normal 4 2 3 2 7" xfId="9394" xr:uid="{00000000-0005-0000-0000-0000AB230000}"/>
    <cellStyle name="Normal 4 2 3 2 7 2" xfId="9395" xr:uid="{00000000-0005-0000-0000-0000AC230000}"/>
    <cellStyle name="Normal 4 2 3 2 8" xfId="9396" xr:uid="{00000000-0005-0000-0000-0000AD230000}"/>
    <cellStyle name="Normal 4 2 3 2 9" xfId="9397" xr:uid="{00000000-0005-0000-0000-0000AE230000}"/>
    <cellStyle name="Normal 4 2 3 3" xfId="9398" xr:uid="{00000000-0005-0000-0000-0000AF230000}"/>
    <cellStyle name="Normal 4 2 3 3 2" xfId="9399" xr:uid="{00000000-0005-0000-0000-0000B0230000}"/>
    <cellStyle name="Normal 4 2 3 3 2 2" xfId="9400" xr:uid="{00000000-0005-0000-0000-0000B1230000}"/>
    <cellStyle name="Normal 4 2 3 3 2 2 2" xfId="9401" xr:uid="{00000000-0005-0000-0000-0000B2230000}"/>
    <cellStyle name="Normal 4 2 3 3 2 2 2 2" xfId="9402" xr:uid="{00000000-0005-0000-0000-0000B3230000}"/>
    <cellStyle name="Normal 4 2 3 3 2 2 2 3" xfId="9403" xr:uid="{00000000-0005-0000-0000-0000B4230000}"/>
    <cellStyle name="Normal 4 2 3 3 2 2 3" xfId="9404" xr:uid="{00000000-0005-0000-0000-0000B5230000}"/>
    <cellStyle name="Normal 4 2 3 3 2 2 3 2" xfId="9405" xr:uid="{00000000-0005-0000-0000-0000B6230000}"/>
    <cellStyle name="Normal 4 2 3 3 2 2 4" xfId="9406" xr:uid="{00000000-0005-0000-0000-0000B7230000}"/>
    <cellStyle name="Normal 4 2 3 3 2 2 5" xfId="9407" xr:uid="{00000000-0005-0000-0000-0000B8230000}"/>
    <cellStyle name="Normal 4 2 3 3 2 3" xfId="9408" xr:uid="{00000000-0005-0000-0000-0000B9230000}"/>
    <cellStyle name="Normal 4 2 3 3 2 3 2" xfId="9409" xr:uid="{00000000-0005-0000-0000-0000BA230000}"/>
    <cellStyle name="Normal 4 2 3 3 2 3 3" xfId="9410" xr:uid="{00000000-0005-0000-0000-0000BB230000}"/>
    <cellStyle name="Normal 4 2 3 3 2 4" xfId="9411" xr:uid="{00000000-0005-0000-0000-0000BC230000}"/>
    <cellStyle name="Normal 4 2 3 3 2 4 2" xfId="9412" xr:uid="{00000000-0005-0000-0000-0000BD230000}"/>
    <cellStyle name="Normal 4 2 3 3 2 5" xfId="9413" xr:uid="{00000000-0005-0000-0000-0000BE230000}"/>
    <cellStyle name="Normal 4 2 3 3 2 6" xfId="9414" xr:uid="{00000000-0005-0000-0000-0000BF230000}"/>
    <cellStyle name="Normal 4 2 3 3 3" xfId="9415" xr:uid="{00000000-0005-0000-0000-0000C0230000}"/>
    <cellStyle name="Normal 4 2 3 3 3 2" xfId="9416" xr:uid="{00000000-0005-0000-0000-0000C1230000}"/>
    <cellStyle name="Normal 4 2 3 3 3 2 2" xfId="9417" xr:uid="{00000000-0005-0000-0000-0000C2230000}"/>
    <cellStyle name="Normal 4 2 3 3 3 2 2 2" xfId="9418" xr:uid="{00000000-0005-0000-0000-0000C3230000}"/>
    <cellStyle name="Normal 4 2 3 3 3 2 3" xfId="9419" xr:uid="{00000000-0005-0000-0000-0000C4230000}"/>
    <cellStyle name="Normal 4 2 3 3 3 2 4" xfId="9420" xr:uid="{00000000-0005-0000-0000-0000C5230000}"/>
    <cellStyle name="Normal 4 2 3 3 3 2 5" xfId="9421" xr:uid="{00000000-0005-0000-0000-0000C6230000}"/>
    <cellStyle name="Normal 4 2 3 3 3 3" xfId="9422" xr:uid="{00000000-0005-0000-0000-0000C7230000}"/>
    <cellStyle name="Normal 4 2 3 3 3 3 2" xfId="9423" xr:uid="{00000000-0005-0000-0000-0000C8230000}"/>
    <cellStyle name="Normal 4 2 3 3 3 4" xfId="9424" xr:uid="{00000000-0005-0000-0000-0000C9230000}"/>
    <cellStyle name="Normal 4 2 3 3 3 5" xfId="9425" xr:uid="{00000000-0005-0000-0000-0000CA230000}"/>
    <cellStyle name="Normal 4 2 3 3 3 6" xfId="9426" xr:uid="{00000000-0005-0000-0000-0000CB230000}"/>
    <cellStyle name="Normal 4 2 3 3 4" xfId="9427" xr:uid="{00000000-0005-0000-0000-0000CC230000}"/>
    <cellStyle name="Normal 4 2 3 3 4 2" xfId="9428" xr:uid="{00000000-0005-0000-0000-0000CD230000}"/>
    <cellStyle name="Normal 4 2 3 3 4 2 2" xfId="9429" xr:uid="{00000000-0005-0000-0000-0000CE230000}"/>
    <cellStyle name="Normal 4 2 3 3 4 3" xfId="9430" xr:uid="{00000000-0005-0000-0000-0000CF230000}"/>
    <cellStyle name="Normal 4 2 3 3 4 4" xfId="9431" xr:uid="{00000000-0005-0000-0000-0000D0230000}"/>
    <cellStyle name="Normal 4 2 3 3 4 5" xfId="9432" xr:uid="{00000000-0005-0000-0000-0000D1230000}"/>
    <cellStyle name="Normal 4 2 3 3 5" xfId="9433" xr:uid="{00000000-0005-0000-0000-0000D2230000}"/>
    <cellStyle name="Normal 4 2 3 3 5 2" xfId="9434" xr:uid="{00000000-0005-0000-0000-0000D3230000}"/>
    <cellStyle name="Normal 4 2 3 3 5 2 2" xfId="9435" xr:uid="{00000000-0005-0000-0000-0000D4230000}"/>
    <cellStyle name="Normal 4 2 3 3 5 3" xfId="9436" xr:uid="{00000000-0005-0000-0000-0000D5230000}"/>
    <cellStyle name="Normal 4 2 3 3 5 4" xfId="9437" xr:uid="{00000000-0005-0000-0000-0000D6230000}"/>
    <cellStyle name="Normal 4 2 3 3 5 5" xfId="9438" xr:uid="{00000000-0005-0000-0000-0000D7230000}"/>
    <cellStyle name="Normal 4 2 3 3 6" xfId="9439" xr:uid="{00000000-0005-0000-0000-0000D8230000}"/>
    <cellStyle name="Normal 4 2 3 3 6 2" xfId="9440" xr:uid="{00000000-0005-0000-0000-0000D9230000}"/>
    <cellStyle name="Normal 4 2 3 3 7" xfId="9441" xr:uid="{00000000-0005-0000-0000-0000DA230000}"/>
    <cellStyle name="Normal 4 2 3 3 8" xfId="9442" xr:uid="{00000000-0005-0000-0000-0000DB230000}"/>
    <cellStyle name="Normal 4 2 3 3 9" xfId="9443" xr:uid="{00000000-0005-0000-0000-0000DC230000}"/>
    <cellStyle name="Normal 4 2 3 4" xfId="9444" xr:uid="{00000000-0005-0000-0000-0000DD230000}"/>
    <cellStyle name="Normal 4 2 3 4 2" xfId="9445" xr:uid="{00000000-0005-0000-0000-0000DE230000}"/>
    <cellStyle name="Normal 4 2 3 4 2 2" xfId="9446" xr:uid="{00000000-0005-0000-0000-0000DF230000}"/>
    <cellStyle name="Normal 4 2 3 4 2 2 2" xfId="9447" xr:uid="{00000000-0005-0000-0000-0000E0230000}"/>
    <cellStyle name="Normal 4 2 3 4 2 2 3" xfId="9448" xr:uid="{00000000-0005-0000-0000-0000E1230000}"/>
    <cellStyle name="Normal 4 2 3 4 2 3" xfId="9449" xr:uid="{00000000-0005-0000-0000-0000E2230000}"/>
    <cellStyle name="Normal 4 2 3 4 2 3 2" xfId="9450" xr:uid="{00000000-0005-0000-0000-0000E3230000}"/>
    <cellStyle name="Normal 4 2 3 4 2 4" xfId="9451" xr:uid="{00000000-0005-0000-0000-0000E4230000}"/>
    <cellStyle name="Normal 4 2 3 4 2 5" xfId="9452" xr:uid="{00000000-0005-0000-0000-0000E5230000}"/>
    <cellStyle name="Normal 4 2 3 4 3" xfId="9453" xr:uid="{00000000-0005-0000-0000-0000E6230000}"/>
    <cellStyle name="Normal 4 2 3 4 3 2" xfId="9454" xr:uid="{00000000-0005-0000-0000-0000E7230000}"/>
    <cellStyle name="Normal 4 2 3 4 3 3" xfId="9455" xr:uid="{00000000-0005-0000-0000-0000E8230000}"/>
    <cellStyle name="Normal 4 2 3 4 4" xfId="9456" xr:uid="{00000000-0005-0000-0000-0000E9230000}"/>
    <cellStyle name="Normal 4 2 3 4 4 2" xfId="9457" xr:uid="{00000000-0005-0000-0000-0000EA230000}"/>
    <cellStyle name="Normal 4 2 3 4 5" xfId="9458" xr:uid="{00000000-0005-0000-0000-0000EB230000}"/>
    <cellStyle name="Normal 4 2 3 4 6" xfId="9459" xr:uid="{00000000-0005-0000-0000-0000EC230000}"/>
    <cellStyle name="Normal 4 2 3 5" xfId="9460" xr:uid="{00000000-0005-0000-0000-0000ED230000}"/>
    <cellStyle name="Normal 4 2 3 5 2" xfId="9461" xr:uid="{00000000-0005-0000-0000-0000EE230000}"/>
    <cellStyle name="Normal 4 2 3 5 2 2" xfId="9462" xr:uid="{00000000-0005-0000-0000-0000EF230000}"/>
    <cellStyle name="Normal 4 2 3 5 2 2 2" xfId="9463" xr:uid="{00000000-0005-0000-0000-0000F0230000}"/>
    <cellStyle name="Normal 4 2 3 5 2 3" xfId="9464" xr:uid="{00000000-0005-0000-0000-0000F1230000}"/>
    <cellStyle name="Normal 4 2 3 5 2 4" xfId="9465" xr:uid="{00000000-0005-0000-0000-0000F2230000}"/>
    <cellStyle name="Normal 4 2 3 5 2 5" xfId="9466" xr:uid="{00000000-0005-0000-0000-0000F3230000}"/>
    <cellStyle name="Normal 4 2 3 5 3" xfId="9467" xr:uid="{00000000-0005-0000-0000-0000F4230000}"/>
    <cellStyle name="Normal 4 2 3 5 3 2" xfId="9468" xr:uid="{00000000-0005-0000-0000-0000F5230000}"/>
    <cellStyle name="Normal 4 2 3 5 4" xfId="9469" xr:uid="{00000000-0005-0000-0000-0000F6230000}"/>
    <cellStyle name="Normal 4 2 3 5 5" xfId="9470" xr:uid="{00000000-0005-0000-0000-0000F7230000}"/>
    <cellStyle name="Normal 4 2 3 5 6" xfId="9471" xr:uid="{00000000-0005-0000-0000-0000F8230000}"/>
    <cellStyle name="Normal 4 2 3 6" xfId="9472" xr:uid="{00000000-0005-0000-0000-0000F9230000}"/>
    <cellStyle name="Normal 4 2 3 6 2" xfId="9473" xr:uid="{00000000-0005-0000-0000-0000FA230000}"/>
    <cellStyle name="Normal 4 2 3 6 2 2" xfId="9474" xr:uid="{00000000-0005-0000-0000-0000FB230000}"/>
    <cellStyle name="Normal 4 2 3 6 3" xfId="9475" xr:uid="{00000000-0005-0000-0000-0000FC230000}"/>
    <cellStyle name="Normal 4 2 3 6 4" xfId="9476" xr:uid="{00000000-0005-0000-0000-0000FD230000}"/>
    <cellStyle name="Normal 4 2 3 6 5" xfId="9477" xr:uid="{00000000-0005-0000-0000-0000FE230000}"/>
    <cellStyle name="Normal 4 2 3 7" xfId="9478" xr:uid="{00000000-0005-0000-0000-0000FF230000}"/>
    <cellStyle name="Normal 4 2 3 7 2" xfId="9479" xr:uid="{00000000-0005-0000-0000-000000240000}"/>
    <cellStyle name="Normal 4 2 3 7 2 2" xfId="9480" xr:uid="{00000000-0005-0000-0000-000001240000}"/>
    <cellStyle name="Normal 4 2 3 7 3" xfId="9481" xr:uid="{00000000-0005-0000-0000-000002240000}"/>
    <cellStyle name="Normal 4 2 3 7 4" xfId="9482" xr:uid="{00000000-0005-0000-0000-000003240000}"/>
    <cellStyle name="Normal 4 2 3 7 5" xfId="9483" xr:uid="{00000000-0005-0000-0000-000004240000}"/>
    <cellStyle name="Normal 4 2 3 8" xfId="9484" xr:uid="{00000000-0005-0000-0000-000005240000}"/>
    <cellStyle name="Normal 4 2 3 8 2" xfId="9485" xr:uid="{00000000-0005-0000-0000-000006240000}"/>
    <cellStyle name="Normal 4 2 3 9" xfId="9486" xr:uid="{00000000-0005-0000-0000-000007240000}"/>
    <cellStyle name="Normal 4 2 4" xfId="9487" xr:uid="{00000000-0005-0000-0000-000008240000}"/>
    <cellStyle name="Normal 4 2 4 10" xfId="9488" xr:uid="{00000000-0005-0000-0000-000009240000}"/>
    <cellStyle name="Normal 4 2 4 2" xfId="9489" xr:uid="{00000000-0005-0000-0000-00000A240000}"/>
    <cellStyle name="Normal 4 2 4 2 2" xfId="9490" xr:uid="{00000000-0005-0000-0000-00000B240000}"/>
    <cellStyle name="Normal 4 2 4 2 2 2" xfId="9491" xr:uid="{00000000-0005-0000-0000-00000C240000}"/>
    <cellStyle name="Normal 4 2 4 2 2 2 2" xfId="9492" xr:uid="{00000000-0005-0000-0000-00000D240000}"/>
    <cellStyle name="Normal 4 2 4 2 2 2 2 2" xfId="9493" xr:uid="{00000000-0005-0000-0000-00000E240000}"/>
    <cellStyle name="Normal 4 2 4 2 2 2 2 3" xfId="9494" xr:uid="{00000000-0005-0000-0000-00000F240000}"/>
    <cellStyle name="Normal 4 2 4 2 2 2 3" xfId="9495" xr:uid="{00000000-0005-0000-0000-000010240000}"/>
    <cellStyle name="Normal 4 2 4 2 2 2 3 2" xfId="9496" xr:uid="{00000000-0005-0000-0000-000011240000}"/>
    <cellStyle name="Normal 4 2 4 2 2 2 4" xfId="9497" xr:uid="{00000000-0005-0000-0000-000012240000}"/>
    <cellStyle name="Normal 4 2 4 2 2 2 5" xfId="9498" xr:uid="{00000000-0005-0000-0000-000013240000}"/>
    <cellStyle name="Normal 4 2 4 2 2 3" xfId="9499" xr:uid="{00000000-0005-0000-0000-000014240000}"/>
    <cellStyle name="Normal 4 2 4 2 2 3 2" xfId="9500" xr:uid="{00000000-0005-0000-0000-000015240000}"/>
    <cellStyle name="Normal 4 2 4 2 2 3 3" xfId="9501" xr:uid="{00000000-0005-0000-0000-000016240000}"/>
    <cellStyle name="Normal 4 2 4 2 2 4" xfId="9502" xr:uid="{00000000-0005-0000-0000-000017240000}"/>
    <cellStyle name="Normal 4 2 4 2 2 4 2" xfId="9503" xr:uid="{00000000-0005-0000-0000-000018240000}"/>
    <cellStyle name="Normal 4 2 4 2 2 5" xfId="9504" xr:uid="{00000000-0005-0000-0000-000019240000}"/>
    <cellStyle name="Normal 4 2 4 2 2 6" xfId="9505" xr:uid="{00000000-0005-0000-0000-00001A240000}"/>
    <cellStyle name="Normal 4 2 4 2 3" xfId="9506" xr:uid="{00000000-0005-0000-0000-00001B240000}"/>
    <cellStyle name="Normal 4 2 4 2 3 2" xfId="9507" xr:uid="{00000000-0005-0000-0000-00001C240000}"/>
    <cellStyle name="Normal 4 2 4 2 3 2 2" xfId="9508" xr:uid="{00000000-0005-0000-0000-00001D240000}"/>
    <cellStyle name="Normal 4 2 4 2 3 2 2 2" xfId="9509" xr:uid="{00000000-0005-0000-0000-00001E240000}"/>
    <cellStyle name="Normal 4 2 4 2 3 2 3" xfId="9510" xr:uid="{00000000-0005-0000-0000-00001F240000}"/>
    <cellStyle name="Normal 4 2 4 2 3 2 4" xfId="9511" xr:uid="{00000000-0005-0000-0000-000020240000}"/>
    <cellStyle name="Normal 4 2 4 2 3 2 5" xfId="9512" xr:uid="{00000000-0005-0000-0000-000021240000}"/>
    <cellStyle name="Normal 4 2 4 2 3 3" xfId="9513" xr:uid="{00000000-0005-0000-0000-000022240000}"/>
    <cellStyle name="Normal 4 2 4 2 3 3 2" xfId="9514" xr:uid="{00000000-0005-0000-0000-000023240000}"/>
    <cellStyle name="Normal 4 2 4 2 3 4" xfId="9515" xr:uid="{00000000-0005-0000-0000-000024240000}"/>
    <cellStyle name="Normal 4 2 4 2 3 5" xfId="9516" xr:uid="{00000000-0005-0000-0000-000025240000}"/>
    <cellStyle name="Normal 4 2 4 2 3 6" xfId="9517" xr:uid="{00000000-0005-0000-0000-000026240000}"/>
    <cellStyle name="Normal 4 2 4 2 4" xfId="9518" xr:uid="{00000000-0005-0000-0000-000027240000}"/>
    <cellStyle name="Normal 4 2 4 2 4 2" xfId="9519" xr:uid="{00000000-0005-0000-0000-000028240000}"/>
    <cellStyle name="Normal 4 2 4 2 4 2 2" xfId="9520" xr:uid="{00000000-0005-0000-0000-000029240000}"/>
    <cellStyle name="Normal 4 2 4 2 4 3" xfId="9521" xr:uid="{00000000-0005-0000-0000-00002A240000}"/>
    <cellStyle name="Normal 4 2 4 2 4 4" xfId="9522" xr:uid="{00000000-0005-0000-0000-00002B240000}"/>
    <cellStyle name="Normal 4 2 4 2 4 5" xfId="9523" xr:uid="{00000000-0005-0000-0000-00002C240000}"/>
    <cellStyle name="Normal 4 2 4 2 5" xfId="9524" xr:uid="{00000000-0005-0000-0000-00002D240000}"/>
    <cellStyle name="Normal 4 2 4 2 5 2" xfId="9525" xr:uid="{00000000-0005-0000-0000-00002E240000}"/>
    <cellStyle name="Normal 4 2 4 2 5 2 2" xfId="9526" xr:uid="{00000000-0005-0000-0000-00002F240000}"/>
    <cellStyle name="Normal 4 2 4 2 5 3" xfId="9527" xr:uid="{00000000-0005-0000-0000-000030240000}"/>
    <cellStyle name="Normal 4 2 4 2 5 4" xfId="9528" xr:uid="{00000000-0005-0000-0000-000031240000}"/>
    <cellStyle name="Normal 4 2 4 2 5 5" xfId="9529" xr:uid="{00000000-0005-0000-0000-000032240000}"/>
    <cellStyle name="Normal 4 2 4 2 6" xfId="9530" xr:uid="{00000000-0005-0000-0000-000033240000}"/>
    <cellStyle name="Normal 4 2 4 2 6 2" xfId="9531" xr:uid="{00000000-0005-0000-0000-000034240000}"/>
    <cellStyle name="Normal 4 2 4 2 7" xfId="9532" xr:uid="{00000000-0005-0000-0000-000035240000}"/>
    <cellStyle name="Normal 4 2 4 2 8" xfId="9533" xr:uid="{00000000-0005-0000-0000-000036240000}"/>
    <cellStyle name="Normal 4 2 4 2 9" xfId="9534" xr:uid="{00000000-0005-0000-0000-000037240000}"/>
    <cellStyle name="Normal 4 2 4 3" xfId="9535" xr:uid="{00000000-0005-0000-0000-000038240000}"/>
    <cellStyle name="Normal 4 2 4 3 2" xfId="9536" xr:uid="{00000000-0005-0000-0000-000039240000}"/>
    <cellStyle name="Normal 4 2 4 3 2 2" xfId="9537" xr:uid="{00000000-0005-0000-0000-00003A240000}"/>
    <cellStyle name="Normal 4 2 4 3 2 2 2" xfId="9538" xr:uid="{00000000-0005-0000-0000-00003B240000}"/>
    <cellStyle name="Normal 4 2 4 3 2 2 3" xfId="9539" xr:uid="{00000000-0005-0000-0000-00003C240000}"/>
    <cellStyle name="Normal 4 2 4 3 2 3" xfId="9540" xr:uid="{00000000-0005-0000-0000-00003D240000}"/>
    <cellStyle name="Normal 4 2 4 3 2 3 2" xfId="9541" xr:uid="{00000000-0005-0000-0000-00003E240000}"/>
    <cellStyle name="Normal 4 2 4 3 2 4" xfId="9542" xr:uid="{00000000-0005-0000-0000-00003F240000}"/>
    <cellStyle name="Normal 4 2 4 3 2 5" xfId="9543" xr:uid="{00000000-0005-0000-0000-000040240000}"/>
    <cellStyle name="Normal 4 2 4 3 3" xfId="9544" xr:uid="{00000000-0005-0000-0000-000041240000}"/>
    <cellStyle name="Normal 4 2 4 3 3 2" xfId="9545" xr:uid="{00000000-0005-0000-0000-000042240000}"/>
    <cellStyle name="Normal 4 2 4 3 3 3" xfId="9546" xr:uid="{00000000-0005-0000-0000-000043240000}"/>
    <cellStyle name="Normal 4 2 4 3 4" xfId="9547" xr:uid="{00000000-0005-0000-0000-000044240000}"/>
    <cellStyle name="Normal 4 2 4 3 4 2" xfId="9548" xr:uid="{00000000-0005-0000-0000-000045240000}"/>
    <cellStyle name="Normal 4 2 4 3 5" xfId="9549" xr:uid="{00000000-0005-0000-0000-000046240000}"/>
    <cellStyle name="Normal 4 2 4 3 6" xfId="9550" xr:uid="{00000000-0005-0000-0000-000047240000}"/>
    <cellStyle name="Normal 4 2 4 4" xfId="9551" xr:uid="{00000000-0005-0000-0000-000048240000}"/>
    <cellStyle name="Normal 4 2 4 4 2" xfId="9552" xr:uid="{00000000-0005-0000-0000-000049240000}"/>
    <cellStyle name="Normal 4 2 4 4 2 2" xfId="9553" xr:uid="{00000000-0005-0000-0000-00004A240000}"/>
    <cellStyle name="Normal 4 2 4 4 2 2 2" xfId="9554" xr:uid="{00000000-0005-0000-0000-00004B240000}"/>
    <cellStyle name="Normal 4 2 4 4 2 3" xfId="9555" xr:uid="{00000000-0005-0000-0000-00004C240000}"/>
    <cellStyle name="Normal 4 2 4 4 2 4" xfId="9556" xr:uid="{00000000-0005-0000-0000-00004D240000}"/>
    <cellStyle name="Normal 4 2 4 4 2 5" xfId="9557" xr:uid="{00000000-0005-0000-0000-00004E240000}"/>
    <cellStyle name="Normal 4 2 4 4 3" xfId="9558" xr:uid="{00000000-0005-0000-0000-00004F240000}"/>
    <cellStyle name="Normal 4 2 4 4 3 2" xfId="9559" xr:uid="{00000000-0005-0000-0000-000050240000}"/>
    <cellStyle name="Normal 4 2 4 4 4" xfId="9560" xr:uid="{00000000-0005-0000-0000-000051240000}"/>
    <cellStyle name="Normal 4 2 4 4 5" xfId="9561" xr:uid="{00000000-0005-0000-0000-000052240000}"/>
    <cellStyle name="Normal 4 2 4 4 6" xfId="9562" xr:uid="{00000000-0005-0000-0000-000053240000}"/>
    <cellStyle name="Normal 4 2 4 5" xfId="9563" xr:uid="{00000000-0005-0000-0000-000054240000}"/>
    <cellStyle name="Normal 4 2 4 5 2" xfId="9564" xr:uid="{00000000-0005-0000-0000-000055240000}"/>
    <cellStyle name="Normal 4 2 4 5 2 2" xfId="9565" xr:uid="{00000000-0005-0000-0000-000056240000}"/>
    <cellStyle name="Normal 4 2 4 5 3" xfId="9566" xr:uid="{00000000-0005-0000-0000-000057240000}"/>
    <cellStyle name="Normal 4 2 4 5 4" xfId="9567" xr:uid="{00000000-0005-0000-0000-000058240000}"/>
    <cellStyle name="Normal 4 2 4 5 5" xfId="9568" xr:uid="{00000000-0005-0000-0000-000059240000}"/>
    <cellStyle name="Normal 4 2 4 6" xfId="9569" xr:uid="{00000000-0005-0000-0000-00005A240000}"/>
    <cellStyle name="Normal 4 2 4 6 2" xfId="9570" xr:uid="{00000000-0005-0000-0000-00005B240000}"/>
    <cellStyle name="Normal 4 2 4 6 2 2" xfId="9571" xr:uid="{00000000-0005-0000-0000-00005C240000}"/>
    <cellStyle name="Normal 4 2 4 6 3" xfId="9572" xr:uid="{00000000-0005-0000-0000-00005D240000}"/>
    <cellStyle name="Normal 4 2 4 6 4" xfId="9573" xr:uid="{00000000-0005-0000-0000-00005E240000}"/>
    <cellStyle name="Normal 4 2 4 6 5" xfId="9574" xr:uid="{00000000-0005-0000-0000-00005F240000}"/>
    <cellStyle name="Normal 4 2 4 7" xfId="9575" xr:uid="{00000000-0005-0000-0000-000060240000}"/>
    <cellStyle name="Normal 4 2 4 7 2" xfId="9576" xr:uid="{00000000-0005-0000-0000-000061240000}"/>
    <cellStyle name="Normal 4 2 4 8" xfId="9577" xr:uid="{00000000-0005-0000-0000-000062240000}"/>
    <cellStyle name="Normal 4 2 4 9" xfId="9578" xr:uid="{00000000-0005-0000-0000-000063240000}"/>
    <cellStyle name="Normal 4 2 5" xfId="9579" xr:uid="{00000000-0005-0000-0000-000064240000}"/>
    <cellStyle name="Normal 4 2 5 2" xfId="9580" xr:uid="{00000000-0005-0000-0000-000065240000}"/>
    <cellStyle name="Normal 4 2 5 2 2" xfId="9581" xr:uid="{00000000-0005-0000-0000-000066240000}"/>
    <cellStyle name="Normal 4 2 5 2 2 2" xfId="9582" xr:uid="{00000000-0005-0000-0000-000067240000}"/>
    <cellStyle name="Normal 4 2 5 2 2 2 2" xfId="9583" xr:uid="{00000000-0005-0000-0000-000068240000}"/>
    <cellStyle name="Normal 4 2 5 2 2 2 3" xfId="9584" xr:uid="{00000000-0005-0000-0000-000069240000}"/>
    <cellStyle name="Normal 4 2 5 2 2 3" xfId="9585" xr:uid="{00000000-0005-0000-0000-00006A240000}"/>
    <cellStyle name="Normal 4 2 5 2 2 3 2" xfId="9586" xr:uid="{00000000-0005-0000-0000-00006B240000}"/>
    <cellStyle name="Normal 4 2 5 2 2 4" xfId="9587" xr:uid="{00000000-0005-0000-0000-00006C240000}"/>
    <cellStyle name="Normal 4 2 5 2 2 5" xfId="9588" xr:uid="{00000000-0005-0000-0000-00006D240000}"/>
    <cellStyle name="Normal 4 2 5 2 3" xfId="9589" xr:uid="{00000000-0005-0000-0000-00006E240000}"/>
    <cellStyle name="Normal 4 2 5 2 3 2" xfId="9590" xr:uid="{00000000-0005-0000-0000-00006F240000}"/>
    <cellStyle name="Normal 4 2 5 2 3 3" xfId="9591" xr:uid="{00000000-0005-0000-0000-000070240000}"/>
    <cellStyle name="Normal 4 2 5 2 4" xfId="9592" xr:uid="{00000000-0005-0000-0000-000071240000}"/>
    <cellStyle name="Normal 4 2 5 2 4 2" xfId="9593" xr:uid="{00000000-0005-0000-0000-000072240000}"/>
    <cellStyle name="Normal 4 2 5 2 5" xfId="9594" xr:uid="{00000000-0005-0000-0000-000073240000}"/>
    <cellStyle name="Normal 4 2 5 2 6" xfId="9595" xr:uid="{00000000-0005-0000-0000-000074240000}"/>
    <cellStyle name="Normal 4 2 5 3" xfId="9596" xr:uid="{00000000-0005-0000-0000-000075240000}"/>
    <cellStyle name="Normal 4 2 5 3 2" xfId="9597" xr:uid="{00000000-0005-0000-0000-000076240000}"/>
    <cellStyle name="Normal 4 2 5 3 2 2" xfId="9598" xr:uid="{00000000-0005-0000-0000-000077240000}"/>
    <cellStyle name="Normal 4 2 5 3 2 2 2" xfId="9599" xr:uid="{00000000-0005-0000-0000-000078240000}"/>
    <cellStyle name="Normal 4 2 5 3 2 3" xfId="9600" xr:uid="{00000000-0005-0000-0000-000079240000}"/>
    <cellStyle name="Normal 4 2 5 3 2 4" xfId="9601" xr:uid="{00000000-0005-0000-0000-00007A240000}"/>
    <cellStyle name="Normal 4 2 5 3 2 5" xfId="9602" xr:uid="{00000000-0005-0000-0000-00007B240000}"/>
    <cellStyle name="Normal 4 2 5 3 3" xfId="9603" xr:uid="{00000000-0005-0000-0000-00007C240000}"/>
    <cellStyle name="Normal 4 2 5 3 3 2" xfId="9604" xr:uid="{00000000-0005-0000-0000-00007D240000}"/>
    <cellStyle name="Normal 4 2 5 3 4" xfId="9605" xr:uid="{00000000-0005-0000-0000-00007E240000}"/>
    <cellStyle name="Normal 4 2 5 3 5" xfId="9606" xr:uid="{00000000-0005-0000-0000-00007F240000}"/>
    <cellStyle name="Normal 4 2 5 3 6" xfId="9607" xr:uid="{00000000-0005-0000-0000-000080240000}"/>
    <cellStyle name="Normal 4 2 5 4" xfId="9608" xr:uid="{00000000-0005-0000-0000-000081240000}"/>
    <cellStyle name="Normal 4 2 5 4 2" xfId="9609" xr:uid="{00000000-0005-0000-0000-000082240000}"/>
    <cellStyle name="Normal 4 2 5 4 2 2" xfId="9610" xr:uid="{00000000-0005-0000-0000-000083240000}"/>
    <cellStyle name="Normal 4 2 5 4 3" xfId="9611" xr:uid="{00000000-0005-0000-0000-000084240000}"/>
    <cellStyle name="Normal 4 2 5 4 4" xfId="9612" xr:uid="{00000000-0005-0000-0000-000085240000}"/>
    <cellStyle name="Normal 4 2 5 4 5" xfId="9613" xr:uid="{00000000-0005-0000-0000-000086240000}"/>
    <cellStyle name="Normal 4 2 5 5" xfId="9614" xr:uid="{00000000-0005-0000-0000-000087240000}"/>
    <cellStyle name="Normal 4 2 5 5 2" xfId="9615" xr:uid="{00000000-0005-0000-0000-000088240000}"/>
    <cellStyle name="Normal 4 2 5 5 2 2" xfId="9616" xr:uid="{00000000-0005-0000-0000-000089240000}"/>
    <cellStyle name="Normal 4 2 5 5 3" xfId="9617" xr:uid="{00000000-0005-0000-0000-00008A240000}"/>
    <cellStyle name="Normal 4 2 5 5 4" xfId="9618" xr:uid="{00000000-0005-0000-0000-00008B240000}"/>
    <cellStyle name="Normal 4 2 5 5 5" xfId="9619" xr:uid="{00000000-0005-0000-0000-00008C240000}"/>
    <cellStyle name="Normal 4 2 5 6" xfId="9620" xr:uid="{00000000-0005-0000-0000-00008D240000}"/>
    <cellStyle name="Normal 4 2 5 6 2" xfId="9621" xr:uid="{00000000-0005-0000-0000-00008E240000}"/>
    <cellStyle name="Normal 4 2 5 7" xfId="9622" xr:uid="{00000000-0005-0000-0000-00008F240000}"/>
    <cellStyle name="Normal 4 2 5 8" xfId="9623" xr:uid="{00000000-0005-0000-0000-000090240000}"/>
    <cellStyle name="Normal 4 2 5 9" xfId="9624" xr:uid="{00000000-0005-0000-0000-000091240000}"/>
    <cellStyle name="Normal 4 2 6" xfId="9625" xr:uid="{00000000-0005-0000-0000-000092240000}"/>
    <cellStyle name="Normal 4 2 6 2" xfId="9626" xr:uid="{00000000-0005-0000-0000-000093240000}"/>
    <cellStyle name="Normal 4 2 6 2 2" xfId="9627" xr:uid="{00000000-0005-0000-0000-000094240000}"/>
    <cellStyle name="Normal 4 2 6 2 2 2" xfId="9628" xr:uid="{00000000-0005-0000-0000-000095240000}"/>
    <cellStyle name="Normal 4 2 6 2 2 3" xfId="9629" xr:uid="{00000000-0005-0000-0000-000096240000}"/>
    <cellStyle name="Normal 4 2 6 2 3" xfId="9630" xr:uid="{00000000-0005-0000-0000-000097240000}"/>
    <cellStyle name="Normal 4 2 6 2 3 2" xfId="9631" xr:uid="{00000000-0005-0000-0000-000098240000}"/>
    <cellStyle name="Normal 4 2 6 2 4" xfId="9632" xr:uid="{00000000-0005-0000-0000-000099240000}"/>
    <cellStyle name="Normal 4 2 6 2 5" xfId="9633" xr:uid="{00000000-0005-0000-0000-00009A240000}"/>
    <cellStyle name="Normal 4 2 6 3" xfId="9634" xr:uid="{00000000-0005-0000-0000-00009B240000}"/>
    <cellStyle name="Normal 4 2 6 3 2" xfId="9635" xr:uid="{00000000-0005-0000-0000-00009C240000}"/>
    <cellStyle name="Normal 4 2 6 3 3" xfId="9636" xr:uid="{00000000-0005-0000-0000-00009D240000}"/>
    <cellStyle name="Normal 4 2 6 4" xfId="9637" xr:uid="{00000000-0005-0000-0000-00009E240000}"/>
    <cellStyle name="Normal 4 2 6 4 2" xfId="9638" xr:uid="{00000000-0005-0000-0000-00009F240000}"/>
    <cellStyle name="Normal 4 2 6 5" xfId="9639" xr:uid="{00000000-0005-0000-0000-0000A0240000}"/>
    <cellStyle name="Normal 4 2 6 6" xfId="9640" xr:uid="{00000000-0005-0000-0000-0000A1240000}"/>
    <cellStyle name="Normal 4 2 7" xfId="9641" xr:uid="{00000000-0005-0000-0000-0000A2240000}"/>
    <cellStyle name="Normal 4 2 7 2" xfId="9642" xr:uid="{00000000-0005-0000-0000-0000A3240000}"/>
    <cellStyle name="Normal 4 2 7 2 2" xfId="9643" xr:uid="{00000000-0005-0000-0000-0000A4240000}"/>
    <cellStyle name="Normal 4 2 7 2 2 2" xfId="9644" xr:uid="{00000000-0005-0000-0000-0000A5240000}"/>
    <cellStyle name="Normal 4 2 7 2 3" xfId="9645" xr:uid="{00000000-0005-0000-0000-0000A6240000}"/>
    <cellStyle name="Normal 4 2 7 2 4" xfId="9646" xr:uid="{00000000-0005-0000-0000-0000A7240000}"/>
    <cellStyle name="Normal 4 2 7 2 5" xfId="9647" xr:uid="{00000000-0005-0000-0000-0000A8240000}"/>
    <cellStyle name="Normal 4 2 7 3" xfId="9648" xr:uid="{00000000-0005-0000-0000-0000A9240000}"/>
    <cellStyle name="Normal 4 2 7 3 2" xfId="9649" xr:uid="{00000000-0005-0000-0000-0000AA240000}"/>
    <cellStyle name="Normal 4 2 7 4" xfId="9650" xr:uid="{00000000-0005-0000-0000-0000AB240000}"/>
    <cellStyle name="Normal 4 2 7 5" xfId="9651" xr:uid="{00000000-0005-0000-0000-0000AC240000}"/>
    <cellStyle name="Normal 4 2 7 6" xfId="9652" xr:uid="{00000000-0005-0000-0000-0000AD240000}"/>
    <cellStyle name="Normal 4 2 8" xfId="9653" xr:uid="{00000000-0005-0000-0000-0000AE240000}"/>
    <cellStyle name="Normal 4 2 8 2" xfId="9654" xr:uid="{00000000-0005-0000-0000-0000AF240000}"/>
    <cellStyle name="Normal 4 2 8 2 2" xfId="9655" xr:uid="{00000000-0005-0000-0000-0000B0240000}"/>
    <cellStyle name="Normal 4 2 8 3" xfId="9656" xr:uid="{00000000-0005-0000-0000-0000B1240000}"/>
    <cellStyle name="Normal 4 2 8 4" xfId="9657" xr:uid="{00000000-0005-0000-0000-0000B2240000}"/>
    <cellStyle name="Normal 4 2 8 5" xfId="9658" xr:uid="{00000000-0005-0000-0000-0000B3240000}"/>
    <cellStyle name="Normal 4 2 9" xfId="9659" xr:uid="{00000000-0005-0000-0000-0000B4240000}"/>
    <cellStyle name="Normal 4 2 9 2" xfId="9660" xr:uid="{00000000-0005-0000-0000-0000B5240000}"/>
    <cellStyle name="Normal 4 2 9 2 2" xfId="9661" xr:uid="{00000000-0005-0000-0000-0000B6240000}"/>
    <cellStyle name="Normal 4 2 9 3" xfId="9662" xr:uid="{00000000-0005-0000-0000-0000B7240000}"/>
    <cellStyle name="Normal 4 2 9 4" xfId="9663" xr:uid="{00000000-0005-0000-0000-0000B8240000}"/>
    <cellStyle name="Normal 4 2 9 5" xfId="9664" xr:uid="{00000000-0005-0000-0000-0000B9240000}"/>
    <cellStyle name="Normal 4 3" xfId="2150" xr:uid="{00000000-0005-0000-0000-0000BA240000}"/>
    <cellStyle name="Normal 4 3 2" xfId="9665" xr:uid="{00000000-0005-0000-0000-0000BB240000}"/>
    <cellStyle name="Normal 4 3 2 2" xfId="9666" xr:uid="{00000000-0005-0000-0000-0000BC240000}"/>
    <cellStyle name="Normal 4 3 2 2 2" xfId="9667" xr:uid="{00000000-0005-0000-0000-0000BD240000}"/>
    <cellStyle name="Normal 4 3 2 2 2 2" xfId="9668" xr:uid="{00000000-0005-0000-0000-0000BE240000}"/>
    <cellStyle name="Normal 4 3 2 2 3" xfId="9669" xr:uid="{00000000-0005-0000-0000-0000BF240000}"/>
    <cellStyle name="Normal 4 3 2 3" xfId="9670" xr:uid="{00000000-0005-0000-0000-0000C0240000}"/>
    <cellStyle name="Normal 4 3 2 3 2" xfId="9671" xr:uid="{00000000-0005-0000-0000-0000C1240000}"/>
    <cellStyle name="Normal 4 3 2 4" xfId="9672" xr:uid="{00000000-0005-0000-0000-0000C2240000}"/>
    <cellStyle name="Normal 4 3 2 5" xfId="9673" xr:uid="{00000000-0005-0000-0000-0000C3240000}"/>
    <cellStyle name="Normal 4 3 3" xfId="9674" xr:uid="{00000000-0005-0000-0000-0000C4240000}"/>
    <cellStyle name="Normal 4 3 3 2" xfId="9675" xr:uid="{00000000-0005-0000-0000-0000C5240000}"/>
    <cellStyle name="Normal 4 3 3 2 2" xfId="9676" xr:uid="{00000000-0005-0000-0000-0000C6240000}"/>
    <cellStyle name="Normal 4 3 3 3" xfId="9677" xr:uid="{00000000-0005-0000-0000-0000C7240000}"/>
    <cellStyle name="Normal 4 3 4" xfId="9678" xr:uid="{00000000-0005-0000-0000-0000C8240000}"/>
    <cellStyle name="Normal 4 3 4 2" xfId="9679" xr:uid="{00000000-0005-0000-0000-0000C9240000}"/>
    <cellStyle name="Normal 4 3 5" xfId="9680" xr:uid="{00000000-0005-0000-0000-0000CA240000}"/>
    <cellStyle name="Normal 4 3 6" xfId="9681" xr:uid="{00000000-0005-0000-0000-0000CB240000}"/>
    <cellStyle name="Normal 4 4" xfId="9682" xr:uid="{00000000-0005-0000-0000-0000CC240000}"/>
    <cellStyle name="Normal 4 4 2" xfId="9683" xr:uid="{00000000-0005-0000-0000-0000CD240000}"/>
    <cellStyle name="Normal 4 4 2 2" xfId="9684" xr:uid="{00000000-0005-0000-0000-0000CE240000}"/>
    <cellStyle name="Normal 4 4 2 2 2" xfId="9685" xr:uid="{00000000-0005-0000-0000-0000CF240000}"/>
    <cellStyle name="Normal 4 4 2 2 3" xfId="9686" xr:uid="{00000000-0005-0000-0000-0000D0240000}"/>
    <cellStyle name="Normal 4 4 2 3" xfId="9687" xr:uid="{00000000-0005-0000-0000-0000D1240000}"/>
    <cellStyle name="Normal 4 4 2 4" xfId="9688" xr:uid="{00000000-0005-0000-0000-0000D2240000}"/>
    <cellStyle name="Normal 4 4 3" xfId="9689" xr:uid="{00000000-0005-0000-0000-0000D3240000}"/>
    <cellStyle name="Normal 4 4 3 2" xfId="9690" xr:uid="{00000000-0005-0000-0000-0000D4240000}"/>
    <cellStyle name="Normal 4 4 3 3" xfId="9691" xr:uid="{00000000-0005-0000-0000-0000D5240000}"/>
    <cellStyle name="Normal 4 4 4" xfId="9692" xr:uid="{00000000-0005-0000-0000-0000D6240000}"/>
    <cellStyle name="Normal 4 4 5" xfId="9693" xr:uid="{00000000-0005-0000-0000-0000D7240000}"/>
    <cellStyle name="Normal 4 4 6" xfId="9694" xr:uid="{00000000-0005-0000-0000-0000D8240000}"/>
    <cellStyle name="Normal 4 4 7" xfId="9695" xr:uid="{00000000-0005-0000-0000-0000D9240000}"/>
    <cellStyle name="Normal 4 5" xfId="9696" xr:uid="{00000000-0005-0000-0000-0000DA240000}"/>
    <cellStyle name="Normal 4 5 2" xfId="9697" xr:uid="{00000000-0005-0000-0000-0000DB240000}"/>
    <cellStyle name="Normal 4 5 2 2" xfId="9698" xr:uid="{00000000-0005-0000-0000-0000DC240000}"/>
    <cellStyle name="Normal 4 5 2 3" xfId="9699" xr:uid="{00000000-0005-0000-0000-0000DD240000}"/>
    <cellStyle name="Normal 4 5 3" xfId="9700" xr:uid="{00000000-0005-0000-0000-0000DE240000}"/>
    <cellStyle name="Normal 4 5 4" xfId="9701" xr:uid="{00000000-0005-0000-0000-0000DF240000}"/>
    <cellStyle name="Normal 4 6" xfId="9702" xr:uid="{00000000-0005-0000-0000-0000E0240000}"/>
    <cellStyle name="Normal 4 6 2" xfId="9703" xr:uid="{00000000-0005-0000-0000-0000E1240000}"/>
    <cellStyle name="Normal 4 6 3" xfId="9704" xr:uid="{00000000-0005-0000-0000-0000E2240000}"/>
    <cellStyle name="Normal 4 7" xfId="9705" xr:uid="{00000000-0005-0000-0000-0000E3240000}"/>
    <cellStyle name="Normal 4 7 2" xfId="9706" xr:uid="{00000000-0005-0000-0000-0000E4240000}"/>
    <cellStyle name="Normal 4 8" xfId="9707" xr:uid="{00000000-0005-0000-0000-0000E5240000}"/>
    <cellStyle name="Normal 4 9" xfId="9708" xr:uid="{00000000-0005-0000-0000-0000E6240000}"/>
    <cellStyle name="Normal 4_Regenerated Revenues LGE Gas 10312009" xfId="9709" xr:uid="{00000000-0005-0000-0000-0000E7240000}"/>
    <cellStyle name="Normal 40" xfId="1895" xr:uid="{00000000-0005-0000-0000-0000E8240000}"/>
    <cellStyle name="Normal 40 2" xfId="9710" xr:uid="{00000000-0005-0000-0000-0000E9240000}"/>
    <cellStyle name="Normal 41" xfId="9711" xr:uid="{00000000-0005-0000-0000-0000EA240000}"/>
    <cellStyle name="Normal 41 2" xfId="9712" xr:uid="{00000000-0005-0000-0000-0000EB240000}"/>
    <cellStyle name="Normal 42" xfId="1896" xr:uid="{00000000-0005-0000-0000-0000EC240000}"/>
    <cellStyle name="Normal 42 2" xfId="9713" xr:uid="{00000000-0005-0000-0000-0000ED240000}"/>
    <cellStyle name="Normal 42 3" xfId="9714" xr:uid="{00000000-0005-0000-0000-0000EE240000}"/>
    <cellStyle name="Normal 42 4" xfId="9715" xr:uid="{00000000-0005-0000-0000-0000EF240000}"/>
    <cellStyle name="Normal 43" xfId="1897" xr:uid="{00000000-0005-0000-0000-0000F0240000}"/>
    <cellStyle name="Normal 43 2" xfId="9716" xr:uid="{00000000-0005-0000-0000-0000F1240000}"/>
    <cellStyle name="Normal 43 3" xfId="9717" xr:uid="{00000000-0005-0000-0000-0000F2240000}"/>
    <cellStyle name="Normal 44" xfId="9718" xr:uid="{00000000-0005-0000-0000-0000F3240000}"/>
    <cellStyle name="Normal 44 2" xfId="9719" xr:uid="{00000000-0005-0000-0000-0000F4240000}"/>
    <cellStyle name="Normal 44 3" xfId="9720" xr:uid="{00000000-0005-0000-0000-0000F5240000}"/>
    <cellStyle name="Normal 45" xfId="1898" xr:uid="{00000000-0005-0000-0000-0000F6240000}"/>
    <cellStyle name="Normal 45 2" xfId="9721" xr:uid="{00000000-0005-0000-0000-0000F7240000}"/>
    <cellStyle name="Normal 45 3" xfId="9722" xr:uid="{00000000-0005-0000-0000-0000F8240000}"/>
    <cellStyle name="Normal 46" xfId="1899" xr:uid="{00000000-0005-0000-0000-0000F9240000}"/>
    <cellStyle name="Normal 46 2" xfId="9723" xr:uid="{00000000-0005-0000-0000-0000FA240000}"/>
    <cellStyle name="Normal 46 3" xfId="9724" xr:uid="{00000000-0005-0000-0000-0000FB240000}"/>
    <cellStyle name="Normal 47" xfId="2160" xr:uid="{00000000-0005-0000-0000-0000FC240000}"/>
    <cellStyle name="Normal 47 2" xfId="9725" xr:uid="{00000000-0005-0000-0000-0000FD240000}"/>
    <cellStyle name="Normal 47 3" xfId="9726" xr:uid="{00000000-0005-0000-0000-0000FE240000}"/>
    <cellStyle name="Normal 48" xfId="1900" xr:uid="{00000000-0005-0000-0000-0000FF240000}"/>
    <cellStyle name="Normal 48 2" xfId="9727" xr:uid="{00000000-0005-0000-0000-000000250000}"/>
    <cellStyle name="Normal 48 3" xfId="9728" xr:uid="{00000000-0005-0000-0000-000001250000}"/>
    <cellStyle name="Normal 49" xfId="1901" xr:uid="{00000000-0005-0000-0000-000002250000}"/>
    <cellStyle name="Normal 49 2" xfId="9729" xr:uid="{00000000-0005-0000-0000-000003250000}"/>
    <cellStyle name="Normal 49 3" xfId="9730" xr:uid="{00000000-0005-0000-0000-000004250000}"/>
    <cellStyle name="Normal 5" xfId="1902" xr:uid="{00000000-0005-0000-0000-000005250000}"/>
    <cellStyle name="Normal 5 10" xfId="9731" xr:uid="{00000000-0005-0000-0000-000006250000}"/>
    <cellStyle name="Normal 5 10 2" xfId="9732" xr:uid="{00000000-0005-0000-0000-000007250000}"/>
    <cellStyle name="Normal 5 10 2 2" xfId="9733" xr:uid="{00000000-0005-0000-0000-000008250000}"/>
    <cellStyle name="Normal 5 10 2 2 2" xfId="9734" xr:uid="{00000000-0005-0000-0000-000009250000}"/>
    <cellStyle name="Normal 5 10 2 3" xfId="9735" xr:uid="{00000000-0005-0000-0000-00000A250000}"/>
    <cellStyle name="Normal 5 10 3" xfId="9736" xr:uid="{00000000-0005-0000-0000-00000B250000}"/>
    <cellStyle name="Normal 5 10 3 2" xfId="9737" xr:uid="{00000000-0005-0000-0000-00000C250000}"/>
    <cellStyle name="Normal 5 10 4" xfId="9738" xr:uid="{00000000-0005-0000-0000-00000D250000}"/>
    <cellStyle name="Normal 5 11" xfId="9739" xr:uid="{00000000-0005-0000-0000-00000E250000}"/>
    <cellStyle name="Normal 5 11 2" xfId="9740" xr:uid="{00000000-0005-0000-0000-00000F250000}"/>
    <cellStyle name="Normal 5 11 2 2" xfId="9741" xr:uid="{00000000-0005-0000-0000-000010250000}"/>
    <cellStyle name="Normal 5 11 3" xfId="9742" xr:uid="{00000000-0005-0000-0000-000011250000}"/>
    <cellStyle name="Normal 5 12" xfId="9743" xr:uid="{00000000-0005-0000-0000-000012250000}"/>
    <cellStyle name="Normal 5 12 2" xfId="9744" xr:uid="{00000000-0005-0000-0000-000013250000}"/>
    <cellStyle name="Normal 5 2" xfId="9745" xr:uid="{00000000-0005-0000-0000-000014250000}"/>
    <cellStyle name="Normal 5 2 10" xfId="9746" xr:uid="{00000000-0005-0000-0000-000015250000}"/>
    <cellStyle name="Normal 5 2 11" xfId="9747" xr:uid="{00000000-0005-0000-0000-000016250000}"/>
    <cellStyle name="Normal 5 2 2" xfId="9748" xr:uid="{00000000-0005-0000-0000-000017250000}"/>
    <cellStyle name="Normal 5 2 2 2" xfId="9749" xr:uid="{00000000-0005-0000-0000-000018250000}"/>
    <cellStyle name="Normal 5 2 2 2 2" xfId="9750" xr:uid="{00000000-0005-0000-0000-000019250000}"/>
    <cellStyle name="Normal 5 2 2 2 2 2" xfId="9751" xr:uid="{00000000-0005-0000-0000-00001A250000}"/>
    <cellStyle name="Normal 5 2 2 2 2 2 2" xfId="9752" xr:uid="{00000000-0005-0000-0000-00001B250000}"/>
    <cellStyle name="Normal 5 2 2 2 2 2 2 2" xfId="9753" xr:uid="{00000000-0005-0000-0000-00001C250000}"/>
    <cellStyle name="Normal 5 2 2 2 2 2 2 2 2" xfId="9754" xr:uid="{00000000-0005-0000-0000-00001D250000}"/>
    <cellStyle name="Normal 5 2 2 2 2 2 2 3" xfId="9755" xr:uid="{00000000-0005-0000-0000-00001E250000}"/>
    <cellStyle name="Normal 5 2 2 2 2 2 3" xfId="9756" xr:uid="{00000000-0005-0000-0000-00001F250000}"/>
    <cellStyle name="Normal 5 2 2 2 2 2 3 2" xfId="9757" xr:uid="{00000000-0005-0000-0000-000020250000}"/>
    <cellStyle name="Normal 5 2 2 2 2 2 4" xfId="9758" xr:uid="{00000000-0005-0000-0000-000021250000}"/>
    <cellStyle name="Normal 5 2 2 2 2 3" xfId="9759" xr:uid="{00000000-0005-0000-0000-000022250000}"/>
    <cellStyle name="Normal 5 2 2 2 2 3 2" xfId="9760" xr:uid="{00000000-0005-0000-0000-000023250000}"/>
    <cellStyle name="Normal 5 2 2 2 2 3 2 2" xfId="9761" xr:uid="{00000000-0005-0000-0000-000024250000}"/>
    <cellStyle name="Normal 5 2 2 2 2 3 3" xfId="9762" xr:uid="{00000000-0005-0000-0000-000025250000}"/>
    <cellStyle name="Normal 5 2 2 2 2 4" xfId="9763" xr:uid="{00000000-0005-0000-0000-000026250000}"/>
    <cellStyle name="Normal 5 2 2 2 2 4 2" xfId="9764" xr:uid="{00000000-0005-0000-0000-000027250000}"/>
    <cellStyle name="Normal 5 2 2 2 2 5" xfId="9765" xr:uid="{00000000-0005-0000-0000-000028250000}"/>
    <cellStyle name="Normal 5 2 2 2 2 6" xfId="9766" xr:uid="{00000000-0005-0000-0000-000029250000}"/>
    <cellStyle name="Normal 5 2 2 2 3" xfId="9767" xr:uid="{00000000-0005-0000-0000-00002A250000}"/>
    <cellStyle name="Normal 5 2 2 2 3 2" xfId="9768" xr:uid="{00000000-0005-0000-0000-00002B250000}"/>
    <cellStyle name="Normal 5 2 2 2 3 2 2" xfId="9769" xr:uid="{00000000-0005-0000-0000-00002C250000}"/>
    <cellStyle name="Normal 5 2 2 2 3 2 2 2" xfId="9770" xr:uid="{00000000-0005-0000-0000-00002D250000}"/>
    <cellStyle name="Normal 5 2 2 2 3 2 3" xfId="9771" xr:uid="{00000000-0005-0000-0000-00002E250000}"/>
    <cellStyle name="Normal 5 2 2 2 3 3" xfId="9772" xr:uid="{00000000-0005-0000-0000-00002F250000}"/>
    <cellStyle name="Normal 5 2 2 2 3 3 2" xfId="9773" xr:uid="{00000000-0005-0000-0000-000030250000}"/>
    <cellStyle name="Normal 5 2 2 2 3 4" xfId="9774" xr:uid="{00000000-0005-0000-0000-000031250000}"/>
    <cellStyle name="Normal 5 2 2 2 4" xfId="9775" xr:uid="{00000000-0005-0000-0000-000032250000}"/>
    <cellStyle name="Normal 5 2 2 2 4 2" xfId="9776" xr:uid="{00000000-0005-0000-0000-000033250000}"/>
    <cellStyle name="Normal 5 2 2 2 4 2 2" xfId="9777" xr:uid="{00000000-0005-0000-0000-000034250000}"/>
    <cellStyle name="Normal 5 2 2 2 4 3" xfId="9778" xr:uid="{00000000-0005-0000-0000-000035250000}"/>
    <cellStyle name="Normal 5 2 2 2 5" xfId="9779" xr:uid="{00000000-0005-0000-0000-000036250000}"/>
    <cellStyle name="Normal 5 2 2 2 5 2" xfId="9780" xr:uid="{00000000-0005-0000-0000-000037250000}"/>
    <cellStyle name="Normal 5 2 2 2 6" xfId="9781" xr:uid="{00000000-0005-0000-0000-000038250000}"/>
    <cellStyle name="Normal 5 2 2 2 7" xfId="9782" xr:uid="{00000000-0005-0000-0000-000039250000}"/>
    <cellStyle name="Normal 5 2 2 3" xfId="9783" xr:uid="{00000000-0005-0000-0000-00003A250000}"/>
    <cellStyle name="Normal 5 2 2 3 2" xfId="9784" xr:uid="{00000000-0005-0000-0000-00003B250000}"/>
    <cellStyle name="Normal 5 2 2 3 2 2" xfId="9785" xr:uid="{00000000-0005-0000-0000-00003C250000}"/>
    <cellStyle name="Normal 5 2 2 3 2 2 2" xfId="9786" xr:uid="{00000000-0005-0000-0000-00003D250000}"/>
    <cellStyle name="Normal 5 2 2 3 2 2 2 2" xfId="9787" xr:uid="{00000000-0005-0000-0000-00003E250000}"/>
    <cellStyle name="Normal 5 2 2 3 2 2 3" xfId="9788" xr:uid="{00000000-0005-0000-0000-00003F250000}"/>
    <cellStyle name="Normal 5 2 2 3 2 3" xfId="9789" xr:uid="{00000000-0005-0000-0000-000040250000}"/>
    <cellStyle name="Normal 5 2 2 3 2 3 2" xfId="9790" xr:uid="{00000000-0005-0000-0000-000041250000}"/>
    <cellStyle name="Normal 5 2 2 3 2 4" xfId="9791" xr:uid="{00000000-0005-0000-0000-000042250000}"/>
    <cellStyle name="Normal 5 2 2 3 3" xfId="9792" xr:uid="{00000000-0005-0000-0000-000043250000}"/>
    <cellStyle name="Normal 5 2 2 3 3 2" xfId="9793" xr:uid="{00000000-0005-0000-0000-000044250000}"/>
    <cellStyle name="Normal 5 2 2 3 3 2 2" xfId="9794" xr:uid="{00000000-0005-0000-0000-000045250000}"/>
    <cellStyle name="Normal 5 2 2 3 3 3" xfId="9795" xr:uid="{00000000-0005-0000-0000-000046250000}"/>
    <cellStyle name="Normal 5 2 2 3 4" xfId="9796" xr:uid="{00000000-0005-0000-0000-000047250000}"/>
    <cellStyle name="Normal 5 2 2 3 4 2" xfId="9797" xr:uid="{00000000-0005-0000-0000-000048250000}"/>
    <cellStyle name="Normal 5 2 2 3 5" xfId="9798" xr:uid="{00000000-0005-0000-0000-000049250000}"/>
    <cellStyle name="Normal 5 2 2 3 6" xfId="9799" xr:uid="{00000000-0005-0000-0000-00004A250000}"/>
    <cellStyle name="Normal 5 2 2 4" xfId="9800" xr:uid="{00000000-0005-0000-0000-00004B250000}"/>
    <cellStyle name="Normal 5 2 2 4 2" xfId="9801" xr:uid="{00000000-0005-0000-0000-00004C250000}"/>
    <cellStyle name="Normal 5 2 2 4 2 2" xfId="9802" xr:uid="{00000000-0005-0000-0000-00004D250000}"/>
    <cellStyle name="Normal 5 2 2 4 2 2 2" xfId="9803" xr:uid="{00000000-0005-0000-0000-00004E250000}"/>
    <cellStyle name="Normal 5 2 2 4 2 2 2 2" xfId="9804" xr:uid="{00000000-0005-0000-0000-00004F250000}"/>
    <cellStyle name="Normal 5 2 2 4 2 2 3" xfId="9805" xr:uid="{00000000-0005-0000-0000-000050250000}"/>
    <cellStyle name="Normal 5 2 2 4 2 3" xfId="9806" xr:uid="{00000000-0005-0000-0000-000051250000}"/>
    <cellStyle name="Normal 5 2 2 4 2 3 2" xfId="9807" xr:uid="{00000000-0005-0000-0000-000052250000}"/>
    <cellStyle name="Normal 5 2 2 4 2 4" xfId="9808" xr:uid="{00000000-0005-0000-0000-000053250000}"/>
    <cellStyle name="Normal 5 2 2 4 3" xfId="9809" xr:uid="{00000000-0005-0000-0000-000054250000}"/>
    <cellStyle name="Normal 5 2 2 4 3 2" xfId="9810" xr:uid="{00000000-0005-0000-0000-000055250000}"/>
    <cellStyle name="Normal 5 2 2 4 3 2 2" xfId="9811" xr:uid="{00000000-0005-0000-0000-000056250000}"/>
    <cellStyle name="Normal 5 2 2 4 3 3" xfId="9812" xr:uid="{00000000-0005-0000-0000-000057250000}"/>
    <cellStyle name="Normal 5 2 2 4 4" xfId="9813" xr:uid="{00000000-0005-0000-0000-000058250000}"/>
    <cellStyle name="Normal 5 2 2 4 4 2" xfId="9814" xr:uid="{00000000-0005-0000-0000-000059250000}"/>
    <cellStyle name="Normal 5 2 2 4 5" xfId="9815" xr:uid="{00000000-0005-0000-0000-00005A250000}"/>
    <cellStyle name="Normal 5 2 2 5" xfId="9816" xr:uid="{00000000-0005-0000-0000-00005B250000}"/>
    <cellStyle name="Normal 5 2 2 5 2" xfId="9817" xr:uid="{00000000-0005-0000-0000-00005C250000}"/>
    <cellStyle name="Normal 5 2 2 5 2 2" xfId="9818" xr:uid="{00000000-0005-0000-0000-00005D250000}"/>
    <cellStyle name="Normal 5 2 2 5 2 2 2" xfId="9819" xr:uid="{00000000-0005-0000-0000-00005E250000}"/>
    <cellStyle name="Normal 5 2 2 5 2 3" xfId="9820" xr:uid="{00000000-0005-0000-0000-00005F250000}"/>
    <cellStyle name="Normal 5 2 2 5 3" xfId="9821" xr:uid="{00000000-0005-0000-0000-000060250000}"/>
    <cellStyle name="Normal 5 2 2 5 3 2" xfId="9822" xr:uid="{00000000-0005-0000-0000-000061250000}"/>
    <cellStyle name="Normal 5 2 2 5 4" xfId="9823" xr:uid="{00000000-0005-0000-0000-000062250000}"/>
    <cellStyle name="Normal 5 2 2 6" xfId="9824" xr:uid="{00000000-0005-0000-0000-000063250000}"/>
    <cellStyle name="Normal 5 2 2 6 2" xfId="9825" xr:uid="{00000000-0005-0000-0000-000064250000}"/>
    <cellStyle name="Normal 5 2 2 6 2 2" xfId="9826" xr:uid="{00000000-0005-0000-0000-000065250000}"/>
    <cellStyle name="Normal 5 2 2 6 3" xfId="9827" xr:uid="{00000000-0005-0000-0000-000066250000}"/>
    <cellStyle name="Normal 5 2 2 7" xfId="9828" xr:uid="{00000000-0005-0000-0000-000067250000}"/>
    <cellStyle name="Normal 5 2 2 7 2" xfId="9829" xr:uid="{00000000-0005-0000-0000-000068250000}"/>
    <cellStyle name="Normal 5 2 2 8" xfId="9830" xr:uid="{00000000-0005-0000-0000-000069250000}"/>
    <cellStyle name="Normal 5 2 2 9" xfId="9831" xr:uid="{00000000-0005-0000-0000-00006A250000}"/>
    <cellStyle name="Normal 5 2 3" xfId="9832" xr:uid="{00000000-0005-0000-0000-00006B250000}"/>
    <cellStyle name="Normal 5 2 3 2" xfId="9833" xr:uid="{00000000-0005-0000-0000-00006C250000}"/>
    <cellStyle name="Normal 5 2 3 2 2" xfId="9834" xr:uid="{00000000-0005-0000-0000-00006D250000}"/>
    <cellStyle name="Normal 5 2 3 2 2 2" xfId="9835" xr:uid="{00000000-0005-0000-0000-00006E250000}"/>
    <cellStyle name="Normal 5 2 3 2 2 2 2" xfId="9836" xr:uid="{00000000-0005-0000-0000-00006F250000}"/>
    <cellStyle name="Normal 5 2 3 2 2 2 2 2" xfId="9837" xr:uid="{00000000-0005-0000-0000-000070250000}"/>
    <cellStyle name="Normal 5 2 3 2 2 2 3" xfId="9838" xr:uid="{00000000-0005-0000-0000-000071250000}"/>
    <cellStyle name="Normal 5 2 3 2 2 3" xfId="9839" xr:uid="{00000000-0005-0000-0000-000072250000}"/>
    <cellStyle name="Normal 5 2 3 2 2 3 2" xfId="9840" xr:uid="{00000000-0005-0000-0000-000073250000}"/>
    <cellStyle name="Normal 5 2 3 2 2 4" xfId="9841" xr:uid="{00000000-0005-0000-0000-000074250000}"/>
    <cellStyle name="Normal 5 2 3 2 3" xfId="9842" xr:uid="{00000000-0005-0000-0000-000075250000}"/>
    <cellStyle name="Normal 5 2 3 2 3 2" xfId="9843" xr:uid="{00000000-0005-0000-0000-000076250000}"/>
    <cellStyle name="Normal 5 2 3 2 3 2 2" xfId="9844" xr:uid="{00000000-0005-0000-0000-000077250000}"/>
    <cellStyle name="Normal 5 2 3 2 3 3" xfId="9845" xr:uid="{00000000-0005-0000-0000-000078250000}"/>
    <cellStyle name="Normal 5 2 3 2 4" xfId="9846" xr:uid="{00000000-0005-0000-0000-000079250000}"/>
    <cellStyle name="Normal 5 2 3 2 4 2" xfId="9847" xr:uid="{00000000-0005-0000-0000-00007A250000}"/>
    <cellStyle name="Normal 5 2 3 2 5" xfId="9848" xr:uid="{00000000-0005-0000-0000-00007B250000}"/>
    <cellStyle name="Normal 5 2 3 3" xfId="9849" xr:uid="{00000000-0005-0000-0000-00007C250000}"/>
    <cellStyle name="Normal 5 2 3 3 2" xfId="9850" xr:uid="{00000000-0005-0000-0000-00007D250000}"/>
    <cellStyle name="Normal 5 2 3 3 2 2" xfId="9851" xr:uid="{00000000-0005-0000-0000-00007E250000}"/>
    <cellStyle name="Normal 5 2 3 3 2 2 2" xfId="9852" xr:uid="{00000000-0005-0000-0000-00007F250000}"/>
    <cellStyle name="Normal 5 2 3 3 2 3" xfId="9853" xr:uid="{00000000-0005-0000-0000-000080250000}"/>
    <cellStyle name="Normal 5 2 3 3 3" xfId="9854" xr:uid="{00000000-0005-0000-0000-000081250000}"/>
    <cellStyle name="Normal 5 2 3 3 3 2" xfId="9855" xr:uid="{00000000-0005-0000-0000-000082250000}"/>
    <cellStyle name="Normal 5 2 3 3 4" xfId="9856" xr:uid="{00000000-0005-0000-0000-000083250000}"/>
    <cellStyle name="Normal 5 2 3 4" xfId="9857" xr:uid="{00000000-0005-0000-0000-000084250000}"/>
    <cellStyle name="Normal 5 2 3 4 2" xfId="9858" xr:uid="{00000000-0005-0000-0000-000085250000}"/>
    <cellStyle name="Normal 5 2 3 4 2 2" xfId="9859" xr:uid="{00000000-0005-0000-0000-000086250000}"/>
    <cellStyle name="Normal 5 2 3 4 3" xfId="9860" xr:uid="{00000000-0005-0000-0000-000087250000}"/>
    <cellStyle name="Normal 5 2 3 5" xfId="9861" xr:uid="{00000000-0005-0000-0000-000088250000}"/>
    <cellStyle name="Normal 5 2 3 5 2" xfId="9862" xr:uid="{00000000-0005-0000-0000-000089250000}"/>
    <cellStyle name="Normal 5 2 3 6" xfId="9863" xr:uid="{00000000-0005-0000-0000-00008A250000}"/>
    <cellStyle name="Normal 5 2 3 7" xfId="9864" xr:uid="{00000000-0005-0000-0000-00008B250000}"/>
    <cellStyle name="Normal 5 2 4" xfId="9865" xr:uid="{00000000-0005-0000-0000-00008C250000}"/>
    <cellStyle name="Normal 5 2 4 2" xfId="9866" xr:uid="{00000000-0005-0000-0000-00008D250000}"/>
    <cellStyle name="Normal 5 2 4 2 2" xfId="9867" xr:uid="{00000000-0005-0000-0000-00008E250000}"/>
    <cellStyle name="Normal 5 2 4 2 2 2" xfId="9868" xr:uid="{00000000-0005-0000-0000-00008F250000}"/>
    <cellStyle name="Normal 5 2 4 2 2 2 2" xfId="9869" xr:uid="{00000000-0005-0000-0000-000090250000}"/>
    <cellStyle name="Normal 5 2 4 2 2 3" xfId="9870" xr:uid="{00000000-0005-0000-0000-000091250000}"/>
    <cellStyle name="Normal 5 2 4 2 3" xfId="9871" xr:uid="{00000000-0005-0000-0000-000092250000}"/>
    <cellStyle name="Normal 5 2 4 2 3 2" xfId="9872" xr:uid="{00000000-0005-0000-0000-000093250000}"/>
    <cellStyle name="Normal 5 2 4 2 4" xfId="9873" xr:uid="{00000000-0005-0000-0000-000094250000}"/>
    <cellStyle name="Normal 5 2 4 2 5" xfId="9874" xr:uid="{00000000-0005-0000-0000-000095250000}"/>
    <cellStyle name="Normal 5 2 4 3" xfId="9875" xr:uid="{00000000-0005-0000-0000-000096250000}"/>
    <cellStyle name="Normal 5 2 4 3 2" xfId="9876" xr:uid="{00000000-0005-0000-0000-000097250000}"/>
    <cellStyle name="Normal 5 2 4 3 2 2" xfId="9877" xr:uid="{00000000-0005-0000-0000-000098250000}"/>
    <cellStyle name="Normal 5 2 4 3 3" xfId="9878" xr:uid="{00000000-0005-0000-0000-000099250000}"/>
    <cellStyle name="Normal 5 2 4 4" xfId="9879" xr:uid="{00000000-0005-0000-0000-00009A250000}"/>
    <cellStyle name="Normal 5 2 4 4 2" xfId="9880" xr:uid="{00000000-0005-0000-0000-00009B250000}"/>
    <cellStyle name="Normal 5 2 4 5" xfId="9881" xr:uid="{00000000-0005-0000-0000-00009C250000}"/>
    <cellStyle name="Normal 5 2 4 6" xfId="9882" xr:uid="{00000000-0005-0000-0000-00009D250000}"/>
    <cellStyle name="Normal 5 2 5" xfId="9883" xr:uid="{00000000-0005-0000-0000-00009E250000}"/>
    <cellStyle name="Normal 5 2 5 2" xfId="9884" xr:uid="{00000000-0005-0000-0000-00009F250000}"/>
    <cellStyle name="Normal 5 2 5 2 2" xfId="9885" xr:uid="{00000000-0005-0000-0000-0000A0250000}"/>
    <cellStyle name="Normal 5 2 5 2 2 2" xfId="9886" xr:uid="{00000000-0005-0000-0000-0000A1250000}"/>
    <cellStyle name="Normal 5 2 5 2 2 2 2" xfId="9887" xr:uid="{00000000-0005-0000-0000-0000A2250000}"/>
    <cellStyle name="Normal 5 2 5 2 2 3" xfId="9888" xr:uid="{00000000-0005-0000-0000-0000A3250000}"/>
    <cellStyle name="Normal 5 2 5 2 3" xfId="9889" xr:uid="{00000000-0005-0000-0000-0000A4250000}"/>
    <cellStyle name="Normal 5 2 5 2 3 2" xfId="9890" xr:uid="{00000000-0005-0000-0000-0000A5250000}"/>
    <cellStyle name="Normal 5 2 5 2 4" xfId="9891" xr:uid="{00000000-0005-0000-0000-0000A6250000}"/>
    <cellStyle name="Normal 5 2 5 3" xfId="9892" xr:uid="{00000000-0005-0000-0000-0000A7250000}"/>
    <cellStyle name="Normal 5 2 5 3 2" xfId="9893" xr:uid="{00000000-0005-0000-0000-0000A8250000}"/>
    <cellStyle name="Normal 5 2 5 3 2 2" xfId="9894" xr:uid="{00000000-0005-0000-0000-0000A9250000}"/>
    <cellStyle name="Normal 5 2 5 3 3" xfId="9895" xr:uid="{00000000-0005-0000-0000-0000AA250000}"/>
    <cellStyle name="Normal 5 2 5 4" xfId="9896" xr:uid="{00000000-0005-0000-0000-0000AB250000}"/>
    <cellStyle name="Normal 5 2 5 4 2" xfId="9897" xr:uid="{00000000-0005-0000-0000-0000AC250000}"/>
    <cellStyle name="Normal 5 2 5 5" xfId="9898" xr:uid="{00000000-0005-0000-0000-0000AD250000}"/>
    <cellStyle name="Normal 5 2 5 6" xfId="9899" xr:uid="{00000000-0005-0000-0000-0000AE250000}"/>
    <cellStyle name="Normal 5 2 6" xfId="9900" xr:uid="{00000000-0005-0000-0000-0000AF250000}"/>
    <cellStyle name="Normal 5 2 6 2" xfId="9901" xr:uid="{00000000-0005-0000-0000-0000B0250000}"/>
    <cellStyle name="Normal 5 2 6 2 2" xfId="9902" xr:uid="{00000000-0005-0000-0000-0000B1250000}"/>
    <cellStyle name="Normal 5 2 6 2 2 2" xfId="9903" xr:uid="{00000000-0005-0000-0000-0000B2250000}"/>
    <cellStyle name="Normal 5 2 6 2 3" xfId="9904" xr:uid="{00000000-0005-0000-0000-0000B3250000}"/>
    <cellStyle name="Normal 5 2 6 3" xfId="9905" xr:uid="{00000000-0005-0000-0000-0000B4250000}"/>
    <cellStyle name="Normal 5 2 6 3 2" xfId="9906" xr:uid="{00000000-0005-0000-0000-0000B5250000}"/>
    <cellStyle name="Normal 5 2 6 4" xfId="9907" xr:uid="{00000000-0005-0000-0000-0000B6250000}"/>
    <cellStyle name="Normal 5 2 7" xfId="9908" xr:uid="{00000000-0005-0000-0000-0000B7250000}"/>
    <cellStyle name="Normal 5 2 7 2" xfId="9909" xr:uid="{00000000-0005-0000-0000-0000B8250000}"/>
    <cellStyle name="Normal 5 2 7 2 2" xfId="9910" xr:uid="{00000000-0005-0000-0000-0000B9250000}"/>
    <cellStyle name="Normal 5 2 7 3" xfId="9911" xr:uid="{00000000-0005-0000-0000-0000BA250000}"/>
    <cellStyle name="Normal 5 2 8" xfId="9912" xr:uid="{00000000-0005-0000-0000-0000BB250000}"/>
    <cellStyle name="Normal 5 2 8 2" xfId="9913" xr:uid="{00000000-0005-0000-0000-0000BC250000}"/>
    <cellStyle name="Normal 5 2 9" xfId="9914" xr:uid="{00000000-0005-0000-0000-0000BD250000}"/>
    <cellStyle name="Normal 5 3" xfId="9915" xr:uid="{00000000-0005-0000-0000-0000BE250000}"/>
    <cellStyle name="Normal 5 3 10" xfId="9916" xr:uid="{00000000-0005-0000-0000-0000BF250000}"/>
    <cellStyle name="Normal 5 3 11" xfId="9917" xr:uid="{00000000-0005-0000-0000-0000C0250000}"/>
    <cellStyle name="Normal 5 3 2" xfId="9918" xr:uid="{00000000-0005-0000-0000-0000C1250000}"/>
    <cellStyle name="Normal 5 3 2 2" xfId="9919" xr:uid="{00000000-0005-0000-0000-0000C2250000}"/>
    <cellStyle name="Normal 5 3 2 2 2" xfId="9920" xr:uid="{00000000-0005-0000-0000-0000C3250000}"/>
    <cellStyle name="Normal 5 3 2 2 2 2" xfId="9921" xr:uid="{00000000-0005-0000-0000-0000C4250000}"/>
    <cellStyle name="Normal 5 3 2 2 2 2 2" xfId="9922" xr:uid="{00000000-0005-0000-0000-0000C5250000}"/>
    <cellStyle name="Normal 5 3 2 2 2 2 2 2" xfId="9923" xr:uid="{00000000-0005-0000-0000-0000C6250000}"/>
    <cellStyle name="Normal 5 3 2 2 2 2 2 2 2" xfId="9924" xr:uid="{00000000-0005-0000-0000-0000C7250000}"/>
    <cellStyle name="Normal 5 3 2 2 2 2 2 3" xfId="9925" xr:uid="{00000000-0005-0000-0000-0000C8250000}"/>
    <cellStyle name="Normal 5 3 2 2 2 2 3" xfId="9926" xr:uid="{00000000-0005-0000-0000-0000C9250000}"/>
    <cellStyle name="Normal 5 3 2 2 2 2 3 2" xfId="9927" xr:uid="{00000000-0005-0000-0000-0000CA250000}"/>
    <cellStyle name="Normal 5 3 2 2 2 2 4" xfId="9928" xr:uid="{00000000-0005-0000-0000-0000CB250000}"/>
    <cellStyle name="Normal 5 3 2 2 2 3" xfId="9929" xr:uid="{00000000-0005-0000-0000-0000CC250000}"/>
    <cellStyle name="Normal 5 3 2 2 2 3 2" xfId="9930" xr:uid="{00000000-0005-0000-0000-0000CD250000}"/>
    <cellStyle name="Normal 5 3 2 2 2 3 2 2" xfId="9931" xr:uid="{00000000-0005-0000-0000-0000CE250000}"/>
    <cellStyle name="Normal 5 3 2 2 2 3 3" xfId="9932" xr:uid="{00000000-0005-0000-0000-0000CF250000}"/>
    <cellStyle name="Normal 5 3 2 2 2 4" xfId="9933" xr:uid="{00000000-0005-0000-0000-0000D0250000}"/>
    <cellStyle name="Normal 5 3 2 2 2 4 2" xfId="9934" xr:uid="{00000000-0005-0000-0000-0000D1250000}"/>
    <cellStyle name="Normal 5 3 2 2 2 5" xfId="9935" xr:uid="{00000000-0005-0000-0000-0000D2250000}"/>
    <cellStyle name="Normal 5 3 2 2 3" xfId="9936" xr:uid="{00000000-0005-0000-0000-0000D3250000}"/>
    <cellStyle name="Normal 5 3 2 2 3 2" xfId="9937" xr:uid="{00000000-0005-0000-0000-0000D4250000}"/>
    <cellStyle name="Normal 5 3 2 2 3 2 2" xfId="9938" xr:uid="{00000000-0005-0000-0000-0000D5250000}"/>
    <cellStyle name="Normal 5 3 2 2 3 2 2 2" xfId="9939" xr:uid="{00000000-0005-0000-0000-0000D6250000}"/>
    <cellStyle name="Normal 5 3 2 2 3 2 3" xfId="9940" xr:uid="{00000000-0005-0000-0000-0000D7250000}"/>
    <cellStyle name="Normal 5 3 2 2 3 3" xfId="9941" xr:uid="{00000000-0005-0000-0000-0000D8250000}"/>
    <cellStyle name="Normal 5 3 2 2 3 3 2" xfId="9942" xr:uid="{00000000-0005-0000-0000-0000D9250000}"/>
    <cellStyle name="Normal 5 3 2 2 3 4" xfId="9943" xr:uid="{00000000-0005-0000-0000-0000DA250000}"/>
    <cellStyle name="Normal 5 3 2 2 4" xfId="9944" xr:uid="{00000000-0005-0000-0000-0000DB250000}"/>
    <cellStyle name="Normal 5 3 2 2 4 2" xfId="9945" xr:uid="{00000000-0005-0000-0000-0000DC250000}"/>
    <cellStyle name="Normal 5 3 2 2 4 2 2" xfId="9946" xr:uid="{00000000-0005-0000-0000-0000DD250000}"/>
    <cellStyle name="Normal 5 3 2 2 4 3" xfId="9947" xr:uid="{00000000-0005-0000-0000-0000DE250000}"/>
    <cellStyle name="Normal 5 3 2 2 5" xfId="9948" xr:uid="{00000000-0005-0000-0000-0000DF250000}"/>
    <cellStyle name="Normal 5 3 2 2 5 2" xfId="9949" xr:uid="{00000000-0005-0000-0000-0000E0250000}"/>
    <cellStyle name="Normal 5 3 2 2 6" xfId="9950" xr:uid="{00000000-0005-0000-0000-0000E1250000}"/>
    <cellStyle name="Normal 5 3 2 3" xfId="9951" xr:uid="{00000000-0005-0000-0000-0000E2250000}"/>
    <cellStyle name="Normal 5 3 2 3 2" xfId="9952" xr:uid="{00000000-0005-0000-0000-0000E3250000}"/>
    <cellStyle name="Normal 5 3 2 3 2 2" xfId="9953" xr:uid="{00000000-0005-0000-0000-0000E4250000}"/>
    <cellStyle name="Normal 5 3 2 3 2 2 2" xfId="9954" xr:uid="{00000000-0005-0000-0000-0000E5250000}"/>
    <cellStyle name="Normal 5 3 2 3 2 2 2 2" xfId="9955" xr:uid="{00000000-0005-0000-0000-0000E6250000}"/>
    <cellStyle name="Normal 5 3 2 3 2 2 3" xfId="9956" xr:uid="{00000000-0005-0000-0000-0000E7250000}"/>
    <cellStyle name="Normal 5 3 2 3 2 3" xfId="9957" xr:uid="{00000000-0005-0000-0000-0000E8250000}"/>
    <cellStyle name="Normal 5 3 2 3 2 3 2" xfId="9958" xr:uid="{00000000-0005-0000-0000-0000E9250000}"/>
    <cellStyle name="Normal 5 3 2 3 2 4" xfId="9959" xr:uid="{00000000-0005-0000-0000-0000EA250000}"/>
    <cellStyle name="Normal 5 3 2 3 3" xfId="9960" xr:uid="{00000000-0005-0000-0000-0000EB250000}"/>
    <cellStyle name="Normal 5 3 2 3 3 2" xfId="9961" xr:uid="{00000000-0005-0000-0000-0000EC250000}"/>
    <cellStyle name="Normal 5 3 2 3 3 2 2" xfId="9962" xr:uid="{00000000-0005-0000-0000-0000ED250000}"/>
    <cellStyle name="Normal 5 3 2 3 3 3" xfId="9963" xr:uid="{00000000-0005-0000-0000-0000EE250000}"/>
    <cellStyle name="Normal 5 3 2 3 4" xfId="9964" xr:uid="{00000000-0005-0000-0000-0000EF250000}"/>
    <cellStyle name="Normal 5 3 2 3 4 2" xfId="9965" xr:uid="{00000000-0005-0000-0000-0000F0250000}"/>
    <cellStyle name="Normal 5 3 2 3 5" xfId="9966" xr:uid="{00000000-0005-0000-0000-0000F1250000}"/>
    <cellStyle name="Normal 5 3 2 4" xfId="9967" xr:uid="{00000000-0005-0000-0000-0000F2250000}"/>
    <cellStyle name="Normal 5 3 2 4 2" xfId="9968" xr:uid="{00000000-0005-0000-0000-0000F3250000}"/>
    <cellStyle name="Normal 5 3 2 4 2 2" xfId="9969" xr:uid="{00000000-0005-0000-0000-0000F4250000}"/>
    <cellStyle name="Normal 5 3 2 4 2 2 2" xfId="9970" xr:uid="{00000000-0005-0000-0000-0000F5250000}"/>
    <cellStyle name="Normal 5 3 2 4 2 2 2 2" xfId="9971" xr:uid="{00000000-0005-0000-0000-0000F6250000}"/>
    <cellStyle name="Normal 5 3 2 4 2 2 3" xfId="9972" xr:uid="{00000000-0005-0000-0000-0000F7250000}"/>
    <cellStyle name="Normal 5 3 2 4 2 3" xfId="9973" xr:uid="{00000000-0005-0000-0000-0000F8250000}"/>
    <cellStyle name="Normal 5 3 2 4 2 3 2" xfId="9974" xr:uid="{00000000-0005-0000-0000-0000F9250000}"/>
    <cellStyle name="Normal 5 3 2 4 2 4" xfId="9975" xr:uid="{00000000-0005-0000-0000-0000FA250000}"/>
    <cellStyle name="Normal 5 3 2 4 3" xfId="9976" xr:uid="{00000000-0005-0000-0000-0000FB250000}"/>
    <cellStyle name="Normal 5 3 2 4 3 2" xfId="9977" xr:uid="{00000000-0005-0000-0000-0000FC250000}"/>
    <cellStyle name="Normal 5 3 2 4 3 2 2" xfId="9978" xr:uid="{00000000-0005-0000-0000-0000FD250000}"/>
    <cellStyle name="Normal 5 3 2 4 3 3" xfId="9979" xr:uid="{00000000-0005-0000-0000-0000FE250000}"/>
    <cellStyle name="Normal 5 3 2 4 4" xfId="9980" xr:uid="{00000000-0005-0000-0000-0000FF250000}"/>
    <cellStyle name="Normal 5 3 2 4 4 2" xfId="9981" xr:uid="{00000000-0005-0000-0000-000000260000}"/>
    <cellStyle name="Normal 5 3 2 4 5" xfId="9982" xr:uid="{00000000-0005-0000-0000-000001260000}"/>
    <cellStyle name="Normal 5 3 2 5" xfId="9983" xr:uid="{00000000-0005-0000-0000-000002260000}"/>
    <cellStyle name="Normal 5 3 2 5 2" xfId="9984" xr:uid="{00000000-0005-0000-0000-000003260000}"/>
    <cellStyle name="Normal 5 3 2 5 2 2" xfId="9985" xr:uid="{00000000-0005-0000-0000-000004260000}"/>
    <cellStyle name="Normal 5 3 2 5 2 2 2" xfId="9986" xr:uid="{00000000-0005-0000-0000-000005260000}"/>
    <cellStyle name="Normal 5 3 2 5 2 3" xfId="9987" xr:uid="{00000000-0005-0000-0000-000006260000}"/>
    <cellStyle name="Normal 5 3 2 5 3" xfId="9988" xr:uid="{00000000-0005-0000-0000-000007260000}"/>
    <cellStyle name="Normal 5 3 2 5 3 2" xfId="9989" xr:uid="{00000000-0005-0000-0000-000008260000}"/>
    <cellStyle name="Normal 5 3 2 5 4" xfId="9990" xr:uid="{00000000-0005-0000-0000-000009260000}"/>
    <cellStyle name="Normal 5 3 2 6" xfId="9991" xr:uid="{00000000-0005-0000-0000-00000A260000}"/>
    <cellStyle name="Normal 5 3 2 6 2" xfId="9992" xr:uid="{00000000-0005-0000-0000-00000B260000}"/>
    <cellStyle name="Normal 5 3 2 6 2 2" xfId="9993" xr:uid="{00000000-0005-0000-0000-00000C260000}"/>
    <cellStyle name="Normal 5 3 2 6 3" xfId="9994" xr:uid="{00000000-0005-0000-0000-00000D260000}"/>
    <cellStyle name="Normal 5 3 2 7" xfId="9995" xr:uid="{00000000-0005-0000-0000-00000E260000}"/>
    <cellStyle name="Normal 5 3 2 7 2" xfId="9996" xr:uid="{00000000-0005-0000-0000-00000F260000}"/>
    <cellStyle name="Normal 5 3 2 8" xfId="9997" xr:uid="{00000000-0005-0000-0000-000010260000}"/>
    <cellStyle name="Normal 5 3 3" xfId="9998" xr:uid="{00000000-0005-0000-0000-000011260000}"/>
    <cellStyle name="Normal 5 3 3 2" xfId="9999" xr:uid="{00000000-0005-0000-0000-000012260000}"/>
    <cellStyle name="Normal 5 3 3 2 2" xfId="10000" xr:uid="{00000000-0005-0000-0000-000013260000}"/>
    <cellStyle name="Normal 5 3 3 2 2 2" xfId="10001" xr:uid="{00000000-0005-0000-0000-000014260000}"/>
    <cellStyle name="Normal 5 3 3 2 2 2 2" xfId="10002" xr:uid="{00000000-0005-0000-0000-000015260000}"/>
    <cellStyle name="Normal 5 3 3 2 2 2 2 2" xfId="10003" xr:uid="{00000000-0005-0000-0000-000016260000}"/>
    <cellStyle name="Normal 5 3 3 2 2 2 3" xfId="10004" xr:uid="{00000000-0005-0000-0000-000017260000}"/>
    <cellStyle name="Normal 5 3 3 2 2 3" xfId="10005" xr:uid="{00000000-0005-0000-0000-000018260000}"/>
    <cellStyle name="Normal 5 3 3 2 2 3 2" xfId="10006" xr:uid="{00000000-0005-0000-0000-000019260000}"/>
    <cellStyle name="Normal 5 3 3 2 2 4" xfId="10007" xr:uid="{00000000-0005-0000-0000-00001A260000}"/>
    <cellStyle name="Normal 5 3 3 2 3" xfId="10008" xr:uid="{00000000-0005-0000-0000-00001B260000}"/>
    <cellStyle name="Normal 5 3 3 2 3 2" xfId="10009" xr:uid="{00000000-0005-0000-0000-00001C260000}"/>
    <cellStyle name="Normal 5 3 3 2 3 2 2" xfId="10010" xr:uid="{00000000-0005-0000-0000-00001D260000}"/>
    <cellStyle name="Normal 5 3 3 2 3 3" xfId="10011" xr:uid="{00000000-0005-0000-0000-00001E260000}"/>
    <cellStyle name="Normal 5 3 3 2 4" xfId="10012" xr:uid="{00000000-0005-0000-0000-00001F260000}"/>
    <cellStyle name="Normal 5 3 3 2 4 2" xfId="10013" xr:uid="{00000000-0005-0000-0000-000020260000}"/>
    <cellStyle name="Normal 5 3 3 2 5" xfId="10014" xr:uid="{00000000-0005-0000-0000-000021260000}"/>
    <cellStyle name="Normal 5 3 3 3" xfId="10015" xr:uid="{00000000-0005-0000-0000-000022260000}"/>
    <cellStyle name="Normal 5 3 3 3 2" xfId="10016" xr:uid="{00000000-0005-0000-0000-000023260000}"/>
    <cellStyle name="Normal 5 3 3 3 2 2" xfId="10017" xr:uid="{00000000-0005-0000-0000-000024260000}"/>
    <cellStyle name="Normal 5 3 3 3 2 2 2" xfId="10018" xr:uid="{00000000-0005-0000-0000-000025260000}"/>
    <cellStyle name="Normal 5 3 3 3 2 3" xfId="10019" xr:uid="{00000000-0005-0000-0000-000026260000}"/>
    <cellStyle name="Normal 5 3 3 3 3" xfId="10020" xr:uid="{00000000-0005-0000-0000-000027260000}"/>
    <cellStyle name="Normal 5 3 3 3 3 2" xfId="10021" xr:uid="{00000000-0005-0000-0000-000028260000}"/>
    <cellStyle name="Normal 5 3 3 3 4" xfId="10022" xr:uid="{00000000-0005-0000-0000-000029260000}"/>
    <cellStyle name="Normal 5 3 3 4" xfId="10023" xr:uid="{00000000-0005-0000-0000-00002A260000}"/>
    <cellStyle name="Normal 5 3 3 4 2" xfId="10024" xr:uid="{00000000-0005-0000-0000-00002B260000}"/>
    <cellStyle name="Normal 5 3 3 4 2 2" xfId="10025" xr:uid="{00000000-0005-0000-0000-00002C260000}"/>
    <cellStyle name="Normal 5 3 3 4 3" xfId="10026" xr:uid="{00000000-0005-0000-0000-00002D260000}"/>
    <cellStyle name="Normal 5 3 3 5" xfId="10027" xr:uid="{00000000-0005-0000-0000-00002E260000}"/>
    <cellStyle name="Normal 5 3 3 5 2" xfId="10028" xr:uid="{00000000-0005-0000-0000-00002F260000}"/>
    <cellStyle name="Normal 5 3 3 6" xfId="10029" xr:uid="{00000000-0005-0000-0000-000030260000}"/>
    <cellStyle name="Normal 5 3 4" xfId="10030" xr:uid="{00000000-0005-0000-0000-000031260000}"/>
    <cellStyle name="Normal 5 3 4 2" xfId="10031" xr:uid="{00000000-0005-0000-0000-000032260000}"/>
    <cellStyle name="Normal 5 3 4 2 2" xfId="10032" xr:uid="{00000000-0005-0000-0000-000033260000}"/>
    <cellStyle name="Normal 5 3 4 2 2 2" xfId="10033" xr:uid="{00000000-0005-0000-0000-000034260000}"/>
    <cellStyle name="Normal 5 3 4 2 2 2 2" xfId="10034" xr:uid="{00000000-0005-0000-0000-000035260000}"/>
    <cellStyle name="Normal 5 3 4 2 2 3" xfId="10035" xr:uid="{00000000-0005-0000-0000-000036260000}"/>
    <cellStyle name="Normal 5 3 4 2 3" xfId="10036" xr:uid="{00000000-0005-0000-0000-000037260000}"/>
    <cellStyle name="Normal 5 3 4 2 3 2" xfId="10037" xr:uid="{00000000-0005-0000-0000-000038260000}"/>
    <cellStyle name="Normal 5 3 4 2 4" xfId="10038" xr:uid="{00000000-0005-0000-0000-000039260000}"/>
    <cellStyle name="Normal 5 3 4 3" xfId="10039" xr:uid="{00000000-0005-0000-0000-00003A260000}"/>
    <cellStyle name="Normal 5 3 4 3 2" xfId="10040" xr:uid="{00000000-0005-0000-0000-00003B260000}"/>
    <cellStyle name="Normal 5 3 4 3 2 2" xfId="10041" xr:uid="{00000000-0005-0000-0000-00003C260000}"/>
    <cellStyle name="Normal 5 3 4 3 3" xfId="10042" xr:uid="{00000000-0005-0000-0000-00003D260000}"/>
    <cellStyle name="Normal 5 3 4 4" xfId="10043" xr:uid="{00000000-0005-0000-0000-00003E260000}"/>
    <cellStyle name="Normal 5 3 4 4 2" xfId="10044" xr:uid="{00000000-0005-0000-0000-00003F260000}"/>
    <cellStyle name="Normal 5 3 4 5" xfId="10045" xr:uid="{00000000-0005-0000-0000-000040260000}"/>
    <cellStyle name="Normal 5 3 5" xfId="10046" xr:uid="{00000000-0005-0000-0000-000041260000}"/>
    <cellStyle name="Normal 5 3 5 2" xfId="10047" xr:uid="{00000000-0005-0000-0000-000042260000}"/>
    <cellStyle name="Normal 5 3 5 2 2" xfId="10048" xr:uid="{00000000-0005-0000-0000-000043260000}"/>
    <cellStyle name="Normal 5 3 5 2 2 2" xfId="10049" xr:uid="{00000000-0005-0000-0000-000044260000}"/>
    <cellStyle name="Normal 5 3 5 2 2 2 2" xfId="10050" xr:uid="{00000000-0005-0000-0000-000045260000}"/>
    <cellStyle name="Normal 5 3 5 2 2 3" xfId="10051" xr:uid="{00000000-0005-0000-0000-000046260000}"/>
    <cellStyle name="Normal 5 3 5 2 3" xfId="10052" xr:uid="{00000000-0005-0000-0000-000047260000}"/>
    <cellStyle name="Normal 5 3 5 2 3 2" xfId="10053" xr:uid="{00000000-0005-0000-0000-000048260000}"/>
    <cellStyle name="Normal 5 3 5 2 4" xfId="10054" xr:uid="{00000000-0005-0000-0000-000049260000}"/>
    <cellStyle name="Normal 5 3 5 3" xfId="10055" xr:uid="{00000000-0005-0000-0000-00004A260000}"/>
    <cellStyle name="Normal 5 3 5 3 2" xfId="10056" xr:uid="{00000000-0005-0000-0000-00004B260000}"/>
    <cellStyle name="Normal 5 3 5 3 2 2" xfId="10057" xr:uid="{00000000-0005-0000-0000-00004C260000}"/>
    <cellStyle name="Normal 5 3 5 3 3" xfId="10058" xr:uid="{00000000-0005-0000-0000-00004D260000}"/>
    <cellStyle name="Normal 5 3 5 4" xfId="10059" xr:uid="{00000000-0005-0000-0000-00004E260000}"/>
    <cellStyle name="Normal 5 3 5 4 2" xfId="10060" xr:uid="{00000000-0005-0000-0000-00004F260000}"/>
    <cellStyle name="Normal 5 3 5 5" xfId="10061" xr:uid="{00000000-0005-0000-0000-000050260000}"/>
    <cellStyle name="Normal 5 3 6" xfId="10062" xr:uid="{00000000-0005-0000-0000-000051260000}"/>
    <cellStyle name="Normal 5 3 6 2" xfId="10063" xr:uid="{00000000-0005-0000-0000-000052260000}"/>
    <cellStyle name="Normal 5 3 6 2 2" xfId="10064" xr:uid="{00000000-0005-0000-0000-000053260000}"/>
    <cellStyle name="Normal 5 3 6 2 2 2" xfId="10065" xr:uid="{00000000-0005-0000-0000-000054260000}"/>
    <cellStyle name="Normal 5 3 6 2 3" xfId="10066" xr:uid="{00000000-0005-0000-0000-000055260000}"/>
    <cellStyle name="Normal 5 3 6 3" xfId="10067" xr:uid="{00000000-0005-0000-0000-000056260000}"/>
    <cellStyle name="Normal 5 3 6 3 2" xfId="10068" xr:uid="{00000000-0005-0000-0000-000057260000}"/>
    <cellStyle name="Normal 5 3 6 4" xfId="10069" xr:uid="{00000000-0005-0000-0000-000058260000}"/>
    <cellStyle name="Normal 5 3 7" xfId="10070" xr:uid="{00000000-0005-0000-0000-000059260000}"/>
    <cellStyle name="Normal 5 3 7 2" xfId="10071" xr:uid="{00000000-0005-0000-0000-00005A260000}"/>
    <cellStyle name="Normal 5 3 7 2 2" xfId="10072" xr:uid="{00000000-0005-0000-0000-00005B260000}"/>
    <cellStyle name="Normal 5 3 7 3" xfId="10073" xr:uid="{00000000-0005-0000-0000-00005C260000}"/>
    <cellStyle name="Normal 5 3 8" xfId="10074" xr:uid="{00000000-0005-0000-0000-00005D260000}"/>
    <cellStyle name="Normal 5 3 8 2" xfId="10075" xr:uid="{00000000-0005-0000-0000-00005E260000}"/>
    <cellStyle name="Normal 5 3 9" xfId="10076" xr:uid="{00000000-0005-0000-0000-00005F260000}"/>
    <cellStyle name="Normal 5 4" xfId="10077" xr:uid="{00000000-0005-0000-0000-000060260000}"/>
    <cellStyle name="Normal 5 4 10" xfId="10078" xr:uid="{00000000-0005-0000-0000-000061260000}"/>
    <cellStyle name="Normal 5 4 2" xfId="10079" xr:uid="{00000000-0005-0000-0000-000062260000}"/>
    <cellStyle name="Normal 5 4 2 2" xfId="10080" xr:uid="{00000000-0005-0000-0000-000063260000}"/>
    <cellStyle name="Normal 5 4 2 2 2" xfId="10081" xr:uid="{00000000-0005-0000-0000-000064260000}"/>
    <cellStyle name="Normal 5 4 2 2 2 2" xfId="10082" xr:uid="{00000000-0005-0000-0000-000065260000}"/>
    <cellStyle name="Normal 5 4 2 2 2 2 2" xfId="10083" xr:uid="{00000000-0005-0000-0000-000066260000}"/>
    <cellStyle name="Normal 5 4 2 2 2 2 2 2" xfId="10084" xr:uid="{00000000-0005-0000-0000-000067260000}"/>
    <cellStyle name="Normal 5 4 2 2 2 2 3" xfId="10085" xr:uid="{00000000-0005-0000-0000-000068260000}"/>
    <cellStyle name="Normal 5 4 2 2 2 3" xfId="10086" xr:uid="{00000000-0005-0000-0000-000069260000}"/>
    <cellStyle name="Normal 5 4 2 2 2 3 2" xfId="10087" xr:uid="{00000000-0005-0000-0000-00006A260000}"/>
    <cellStyle name="Normal 5 4 2 2 2 4" xfId="10088" xr:uid="{00000000-0005-0000-0000-00006B260000}"/>
    <cellStyle name="Normal 5 4 2 2 3" xfId="10089" xr:uid="{00000000-0005-0000-0000-00006C260000}"/>
    <cellStyle name="Normal 5 4 2 2 3 2" xfId="10090" xr:uid="{00000000-0005-0000-0000-00006D260000}"/>
    <cellStyle name="Normal 5 4 2 2 3 2 2" xfId="10091" xr:uid="{00000000-0005-0000-0000-00006E260000}"/>
    <cellStyle name="Normal 5 4 2 2 3 3" xfId="10092" xr:uid="{00000000-0005-0000-0000-00006F260000}"/>
    <cellStyle name="Normal 5 4 2 2 4" xfId="10093" xr:uid="{00000000-0005-0000-0000-000070260000}"/>
    <cellStyle name="Normal 5 4 2 2 4 2" xfId="10094" xr:uid="{00000000-0005-0000-0000-000071260000}"/>
    <cellStyle name="Normal 5 4 2 2 5" xfId="10095" xr:uid="{00000000-0005-0000-0000-000072260000}"/>
    <cellStyle name="Normal 5 4 2 2 6" xfId="10096" xr:uid="{00000000-0005-0000-0000-000073260000}"/>
    <cellStyle name="Normal 5 4 2 3" xfId="10097" xr:uid="{00000000-0005-0000-0000-000074260000}"/>
    <cellStyle name="Normal 5 4 2 3 2" xfId="10098" xr:uid="{00000000-0005-0000-0000-000075260000}"/>
    <cellStyle name="Normal 5 4 2 3 2 2" xfId="10099" xr:uid="{00000000-0005-0000-0000-000076260000}"/>
    <cellStyle name="Normal 5 4 2 3 2 2 2" xfId="10100" xr:uid="{00000000-0005-0000-0000-000077260000}"/>
    <cellStyle name="Normal 5 4 2 3 2 2 2 2" xfId="10101" xr:uid="{00000000-0005-0000-0000-000078260000}"/>
    <cellStyle name="Normal 5 4 2 3 2 2 3" xfId="10102" xr:uid="{00000000-0005-0000-0000-000079260000}"/>
    <cellStyle name="Normal 5 4 2 3 2 3" xfId="10103" xr:uid="{00000000-0005-0000-0000-00007A260000}"/>
    <cellStyle name="Normal 5 4 2 3 2 3 2" xfId="10104" xr:uid="{00000000-0005-0000-0000-00007B260000}"/>
    <cellStyle name="Normal 5 4 2 3 2 4" xfId="10105" xr:uid="{00000000-0005-0000-0000-00007C260000}"/>
    <cellStyle name="Normal 5 4 2 3 3" xfId="10106" xr:uid="{00000000-0005-0000-0000-00007D260000}"/>
    <cellStyle name="Normal 5 4 2 3 3 2" xfId="10107" xr:uid="{00000000-0005-0000-0000-00007E260000}"/>
    <cellStyle name="Normal 5 4 2 3 3 2 2" xfId="10108" xr:uid="{00000000-0005-0000-0000-00007F260000}"/>
    <cellStyle name="Normal 5 4 2 3 3 3" xfId="10109" xr:uid="{00000000-0005-0000-0000-000080260000}"/>
    <cellStyle name="Normal 5 4 2 3 4" xfId="10110" xr:uid="{00000000-0005-0000-0000-000081260000}"/>
    <cellStyle name="Normal 5 4 2 3 4 2" xfId="10111" xr:uid="{00000000-0005-0000-0000-000082260000}"/>
    <cellStyle name="Normal 5 4 2 3 5" xfId="10112" xr:uid="{00000000-0005-0000-0000-000083260000}"/>
    <cellStyle name="Normal 5 4 2 4" xfId="10113" xr:uid="{00000000-0005-0000-0000-000084260000}"/>
    <cellStyle name="Normal 5 4 2 4 2" xfId="10114" xr:uid="{00000000-0005-0000-0000-000085260000}"/>
    <cellStyle name="Normal 5 4 2 4 2 2" xfId="10115" xr:uid="{00000000-0005-0000-0000-000086260000}"/>
    <cellStyle name="Normal 5 4 2 4 2 2 2" xfId="10116" xr:uid="{00000000-0005-0000-0000-000087260000}"/>
    <cellStyle name="Normal 5 4 2 4 2 3" xfId="10117" xr:uid="{00000000-0005-0000-0000-000088260000}"/>
    <cellStyle name="Normal 5 4 2 4 3" xfId="10118" xr:uid="{00000000-0005-0000-0000-000089260000}"/>
    <cellStyle name="Normal 5 4 2 4 3 2" xfId="10119" xr:uid="{00000000-0005-0000-0000-00008A260000}"/>
    <cellStyle name="Normal 5 4 2 4 4" xfId="10120" xr:uid="{00000000-0005-0000-0000-00008B260000}"/>
    <cellStyle name="Normal 5 4 2 5" xfId="10121" xr:uid="{00000000-0005-0000-0000-00008C260000}"/>
    <cellStyle name="Normal 5 4 2 5 2" xfId="10122" xr:uid="{00000000-0005-0000-0000-00008D260000}"/>
    <cellStyle name="Normal 5 4 2 5 2 2" xfId="10123" xr:uid="{00000000-0005-0000-0000-00008E260000}"/>
    <cellStyle name="Normal 5 4 2 5 3" xfId="10124" xr:uid="{00000000-0005-0000-0000-00008F260000}"/>
    <cellStyle name="Normal 5 4 2 6" xfId="10125" xr:uid="{00000000-0005-0000-0000-000090260000}"/>
    <cellStyle name="Normal 5 4 2 6 2" xfId="10126" xr:uid="{00000000-0005-0000-0000-000091260000}"/>
    <cellStyle name="Normal 5 4 2 7" xfId="10127" xr:uid="{00000000-0005-0000-0000-000092260000}"/>
    <cellStyle name="Normal 5 4 2 8" xfId="10128" xr:uid="{00000000-0005-0000-0000-000093260000}"/>
    <cellStyle name="Normal 5 4 3" xfId="10129" xr:uid="{00000000-0005-0000-0000-000094260000}"/>
    <cellStyle name="Normal 5 4 3 2" xfId="10130" xr:uid="{00000000-0005-0000-0000-000095260000}"/>
    <cellStyle name="Normal 5 4 3 2 2" xfId="10131" xr:uid="{00000000-0005-0000-0000-000096260000}"/>
    <cellStyle name="Normal 5 4 3 2 2 2" xfId="10132" xr:uid="{00000000-0005-0000-0000-000097260000}"/>
    <cellStyle name="Normal 5 4 3 2 2 2 2" xfId="10133" xr:uid="{00000000-0005-0000-0000-000098260000}"/>
    <cellStyle name="Normal 5 4 3 2 2 2 2 2" xfId="10134" xr:uid="{00000000-0005-0000-0000-000099260000}"/>
    <cellStyle name="Normal 5 4 3 2 2 2 3" xfId="10135" xr:uid="{00000000-0005-0000-0000-00009A260000}"/>
    <cellStyle name="Normal 5 4 3 2 2 3" xfId="10136" xr:uid="{00000000-0005-0000-0000-00009B260000}"/>
    <cellStyle name="Normal 5 4 3 2 2 3 2" xfId="10137" xr:uid="{00000000-0005-0000-0000-00009C260000}"/>
    <cellStyle name="Normal 5 4 3 2 2 4" xfId="10138" xr:uid="{00000000-0005-0000-0000-00009D260000}"/>
    <cellStyle name="Normal 5 4 3 2 3" xfId="10139" xr:uid="{00000000-0005-0000-0000-00009E260000}"/>
    <cellStyle name="Normal 5 4 3 2 3 2" xfId="10140" xr:uid="{00000000-0005-0000-0000-00009F260000}"/>
    <cellStyle name="Normal 5 4 3 2 3 2 2" xfId="10141" xr:uid="{00000000-0005-0000-0000-0000A0260000}"/>
    <cellStyle name="Normal 5 4 3 2 3 3" xfId="10142" xr:uid="{00000000-0005-0000-0000-0000A1260000}"/>
    <cellStyle name="Normal 5 4 3 2 4" xfId="10143" xr:uid="{00000000-0005-0000-0000-0000A2260000}"/>
    <cellStyle name="Normal 5 4 3 2 4 2" xfId="10144" xr:uid="{00000000-0005-0000-0000-0000A3260000}"/>
    <cellStyle name="Normal 5 4 3 2 5" xfId="10145" xr:uid="{00000000-0005-0000-0000-0000A4260000}"/>
    <cellStyle name="Normal 5 4 3 3" xfId="10146" xr:uid="{00000000-0005-0000-0000-0000A5260000}"/>
    <cellStyle name="Normal 5 4 3 3 2" xfId="10147" xr:uid="{00000000-0005-0000-0000-0000A6260000}"/>
    <cellStyle name="Normal 5 4 3 3 2 2" xfId="10148" xr:uid="{00000000-0005-0000-0000-0000A7260000}"/>
    <cellStyle name="Normal 5 4 3 3 2 2 2" xfId="10149" xr:uid="{00000000-0005-0000-0000-0000A8260000}"/>
    <cellStyle name="Normal 5 4 3 3 2 3" xfId="10150" xr:uid="{00000000-0005-0000-0000-0000A9260000}"/>
    <cellStyle name="Normal 5 4 3 3 3" xfId="10151" xr:uid="{00000000-0005-0000-0000-0000AA260000}"/>
    <cellStyle name="Normal 5 4 3 3 3 2" xfId="10152" xr:uid="{00000000-0005-0000-0000-0000AB260000}"/>
    <cellStyle name="Normal 5 4 3 3 4" xfId="10153" xr:uid="{00000000-0005-0000-0000-0000AC260000}"/>
    <cellStyle name="Normal 5 4 3 4" xfId="10154" xr:uid="{00000000-0005-0000-0000-0000AD260000}"/>
    <cellStyle name="Normal 5 4 3 4 2" xfId="10155" xr:uid="{00000000-0005-0000-0000-0000AE260000}"/>
    <cellStyle name="Normal 5 4 3 4 2 2" xfId="10156" xr:uid="{00000000-0005-0000-0000-0000AF260000}"/>
    <cellStyle name="Normal 5 4 3 4 3" xfId="10157" xr:uid="{00000000-0005-0000-0000-0000B0260000}"/>
    <cellStyle name="Normal 5 4 3 5" xfId="10158" xr:uid="{00000000-0005-0000-0000-0000B1260000}"/>
    <cellStyle name="Normal 5 4 3 5 2" xfId="10159" xr:uid="{00000000-0005-0000-0000-0000B2260000}"/>
    <cellStyle name="Normal 5 4 3 6" xfId="10160" xr:uid="{00000000-0005-0000-0000-0000B3260000}"/>
    <cellStyle name="Normal 5 4 3 7" xfId="10161" xr:uid="{00000000-0005-0000-0000-0000B4260000}"/>
    <cellStyle name="Normal 5 4 4" xfId="10162" xr:uid="{00000000-0005-0000-0000-0000B5260000}"/>
    <cellStyle name="Normal 5 4 4 2" xfId="10163" xr:uid="{00000000-0005-0000-0000-0000B6260000}"/>
    <cellStyle name="Normal 5 4 4 2 2" xfId="10164" xr:uid="{00000000-0005-0000-0000-0000B7260000}"/>
    <cellStyle name="Normal 5 4 4 2 2 2" xfId="10165" xr:uid="{00000000-0005-0000-0000-0000B8260000}"/>
    <cellStyle name="Normal 5 4 4 2 2 2 2" xfId="10166" xr:uid="{00000000-0005-0000-0000-0000B9260000}"/>
    <cellStyle name="Normal 5 4 4 2 2 3" xfId="10167" xr:uid="{00000000-0005-0000-0000-0000BA260000}"/>
    <cellStyle name="Normal 5 4 4 2 3" xfId="10168" xr:uid="{00000000-0005-0000-0000-0000BB260000}"/>
    <cellStyle name="Normal 5 4 4 2 3 2" xfId="10169" xr:uid="{00000000-0005-0000-0000-0000BC260000}"/>
    <cellStyle name="Normal 5 4 4 2 4" xfId="10170" xr:uid="{00000000-0005-0000-0000-0000BD260000}"/>
    <cellStyle name="Normal 5 4 4 3" xfId="10171" xr:uid="{00000000-0005-0000-0000-0000BE260000}"/>
    <cellStyle name="Normal 5 4 4 3 2" xfId="10172" xr:uid="{00000000-0005-0000-0000-0000BF260000}"/>
    <cellStyle name="Normal 5 4 4 3 2 2" xfId="10173" xr:uid="{00000000-0005-0000-0000-0000C0260000}"/>
    <cellStyle name="Normal 5 4 4 3 3" xfId="10174" xr:uid="{00000000-0005-0000-0000-0000C1260000}"/>
    <cellStyle name="Normal 5 4 4 4" xfId="10175" xr:uid="{00000000-0005-0000-0000-0000C2260000}"/>
    <cellStyle name="Normal 5 4 4 4 2" xfId="10176" xr:uid="{00000000-0005-0000-0000-0000C3260000}"/>
    <cellStyle name="Normal 5 4 4 5" xfId="10177" xr:uid="{00000000-0005-0000-0000-0000C4260000}"/>
    <cellStyle name="Normal 5 4 5" xfId="10178" xr:uid="{00000000-0005-0000-0000-0000C5260000}"/>
    <cellStyle name="Normal 5 4 5 2" xfId="10179" xr:uid="{00000000-0005-0000-0000-0000C6260000}"/>
    <cellStyle name="Normal 5 4 5 2 2" xfId="10180" xr:uid="{00000000-0005-0000-0000-0000C7260000}"/>
    <cellStyle name="Normal 5 4 5 2 2 2" xfId="10181" xr:uid="{00000000-0005-0000-0000-0000C8260000}"/>
    <cellStyle name="Normal 5 4 5 2 2 2 2" xfId="10182" xr:uid="{00000000-0005-0000-0000-0000C9260000}"/>
    <cellStyle name="Normal 5 4 5 2 2 3" xfId="10183" xr:uid="{00000000-0005-0000-0000-0000CA260000}"/>
    <cellStyle name="Normal 5 4 5 2 3" xfId="10184" xr:uid="{00000000-0005-0000-0000-0000CB260000}"/>
    <cellStyle name="Normal 5 4 5 2 3 2" xfId="10185" xr:uid="{00000000-0005-0000-0000-0000CC260000}"/>
    <cellStyle name="Normal 5 4 5 2 4" xfId="10186" xr:uid="{00000000-0005-0000-0000-0000CD260000}"/>
    <cellStyle name="Normal 5 4 5 3" xfId="10187" xr:uid="{00000000-0005-0000-0000-0000CE260000}"/>
    <cellStyle name="Normal 5 4 5 3 2" xfId="10188" xr:uid="{00000000-0005-0000-0000-0000CF260000}"/>
    <cellStyle name="Normal 5 4 5 3 2 2" xfId="10189" xr:uid="{00000000-0005-0000-0000-0000D0260000}"/>
    <cellStyle name="Normal 5 4 5 3 3" xfId="10190" xr:uid="{00000000-0005-0000-0000-0000D1260000}"/>
    <cellStyle name="Normal 5 4 5 4" xfId="10191" xr:uid="{00000000-0005-0000-0000-0000D2260000}"/>
    <cellStyle name="Normal 5 4 5 4 2" xfId="10192" xr:uid="{00000000-0005-0000-0000-0000D3260000}"/>
    <cellStyle name="Normal 5 4 5 5" xfId="10193" xr:uid="{00000000-0005-0000-0000-0000D4260000}"/>
    <cellStyle name="Normal 5 4 6" xfId="10194" xr:uid="{00000000-0005-0000-0000-0000D5260000}"/>
    <cellStyle name="Normal 5 4 6 2" xfId="10195" xr:uid="{00000000-0005-0000-0000-0000D6260000}"/>
    <cellStyle name="Normal 5 4 6 2 2" xfId="10196" xr:uid="{00000000-0005-0000-0000-0000D7260000}"/>
    <cellStyle name="Normal 5 4 6 2 2 2" xfId="10197" xr:uid="{00000000-0005-0000-0000-0000D8260000}"/>
    <cellStyle name="Normal 5 4 6 2 3" xfId="10198" xr:uid="{00000000-0005-0000-0000-0000D9260000}"/>
    <cellStyle name="Normal 5 4 6 3" xfId="10199" xr:uid="{00000000-0005-0000-0000-0000DA260000}"/>
    <cellStyle name="Normal 5 4 6 3 2" xfId="10200" xr:uid="{00000000-0005-0000-0000-0000DB260000}"/>
    <cellStyle name="Normal 5 4 6 4" xfId="10201" xr:uid="{00000000-0005-0000-0000-0000DC260000}"/>
    <cellStyle name="Normal 5 4 7" xfId="10202" xr:uid="{00000000-0005-0000-0000-0000DD260000}"/>
    <cellStyle name="Normal 5 4 7 2" xfId="10203" xr:uid="{00000000-0005-0000-0000-0000DE260000}"/>
    <cellStyle name="Normal 5 4 7 2 2" xfId="10204" xr:uid="{00000000-0005-0000-0000-0000DF260000}"/>
    <cellStyle name="Normal 5 4 7 3" xfId="10205" xr:uid="{00000000-0005-0000-0000-0000E0260000}"/>
    <cellStyle name="Normal 5 4 8" xfId="10206" xr:uid="{00000000-0005-0000-0000-0000E1260000}"/>
    <cellStyle name="Normal 5 4 8 2" xfId="10207" xr:uid="{00000000-0005-0000-0000-0000E2260000}"/>
    <cellStyle name="Normal 5 4 9" xfId="10208" xr:uid="{00000000-0005-0000-0000-0000E3260000}"/>
    <cellStyle name="Normal 5 5" xfId="10209" xr:uid="{00000000-0005-0000-0000-0000E4260000}"/>
    <cellStyle name="Normal 5 5 2" xfId="10210" xr:uid="{00000000-0005-0000-0000-0000E5260000}"/>
    <cellStyle name="Normal 5 5 2 2" xfId="10211" xr:uid="{00000000-0005-0000-0000-0000E6260000}"/>
    <cellStyle name="Normal 5 5 2 2 2" xfId="10212" xr:uid="{00000000-0005-0000-0000-0000E7260000}"/>
    <cellStyle name="Normal 5 5 2 2 2 2" xfId="10213" xr:uid="{00000000-0005-0000-0000-0000E8260000}"/>
    <cellStyle name="Normal 5 5 2 2 2 2 2" xfId="10214" xr:uid="{00000000-0005-0000-0000-0000E9260000}"/>
    <cellStyle name="Normal 5 5 2 2 2 3" xfId="10215" xr:uid="{00000000-0005-0000-0000-0000EA260000}"/>
    <cellStyle name="Normal 5 5 2 2 3" xfId="10216" xr:uid="{00000000-0005-0000-0000-0000EB260000}"/>
    <cellStyle name="Normal 5 5 2 2 3 2" xfId="10217" xr:uid="{00000000-0005-0000-0000-0000EC260000}"/>
    <cellStyle name="Normal 5 5 2 2 4" xfId="10218" xr:uid="{00000000-0005-0000-0000-0000ED260000}"/>
    <cellStyle name="Normal 5 5 2 3" xfId="10219" xr:uid="{00000000-0005-0000-0000-0000EE260000}"/>
    <cellStyle name="Normal 5 5 2 3 2" xfId="10220" xr:uid="{00000000-0005-0000-0000-0000EF260000}"/>
    <cellStyle name="Normal 5 5 2 3 2 2" xfId="10221" xr:uid="{00000000-0005-0000-0000-0000F0260000}"/>
    <cellStyle name="Normal 5 5 2 3 3" xfId="10222" xr:uid="{00000000-0005-0000-0000-0000F1260000}"/>
    <cellStyle name="Normal 5 5 2 4" xfId="10223" xr:uid="{00000000-0005-0000-0000-0000F2260000}"/>
    <cellStyle name="Normal 5 5 2 4 2" xfId="10224" xr:uid="{00000000-0005-0000-0000-0000F3260000}"/>
    <cellStyle name="Normal 5 5 2 5" xfId="10225" xr:uid="{00000000-0005-0000-0000-0000F4260000}"/>
    <cellStyle name="Normal 5 5 3" xfId="10226" xr:uid="{00000000-0005-0000-0000-0000F5260000}"/>
    <cellStyle name="Normal 5 5 3 2" xfId="10227" xr:uid="{00000000-0005-0000-0000-0000F6260000}"/>
    <cellStyle name="Normal 5 5 3 2 2" xfId="10228" xr:uid="{00000000-0005-0000-0000-0000F7260000}"/>
    <cellStyle name="Normal 5 5 3 2 2 2" xfId="10229" xr:uid="{00000000-0005-0000-0000-0000F8260000}"/>
    <cellStyle name="Normal 5 5 3 2 2 2 2" xfId="10230" xr:uid="{00000000-0005-0000-0000-0000F9260000}"/>
    <cellStyle name="Normal 5 5 3 2 2 3" xfId="10231" xr:uid="{00000000-0005-0000-0000-0000FA260000}"/>
    <cellStyle name="Normal 5 5 3 2 3" xfId="10232" xr:uid="{00000000-0005-0000-0000-0000FB260000}"/>
    <cellStyle name="Normal 5 5 3 2 3 2" xfId="10233" xr:uid="{00000000-0005-0000-0000-0000FC260000}"/>
    <cellStyle name="Normal 5 5 3 2 4" xfId="10234" xr:uid="{00000000-0005-0000-0000-0000FD260000}"/>
    <cellStyle name="Normal 5 5 3 3" xfId="10235" xr:uid="{00000000-0005-0000-0000-0000FE260000}"/>
    <cellStyle name="Normal 5 5 3 3 2" xfId="10236" xr:uid="{00000000-0005-0000-0000-0000FF260000}"/>
    <cellStyle name="Normal 5 5 3 3 2 2" xfId="10237" xr:uid="{00000000-0005-0000-0000-000000270000}"/>
    <cellStyle name="Normal 5 5 3 3 3" xfId="10238" xr:uid="{00000000-0005-0000-0000-000001270000}"/>
    <cellStyle name="Normal 5 5 3 4" xfId="10239" xr:uid="{00000000-0005-0000-0000-000002270000}"/>
    <cellStyle name="Normal 5 5 3 4 2" xfId="10240" xr:uid="{00000000-0005-0000-0000-000003270000}"/>
    <cellStyle name="Normal 5 5 3 5" xfId="10241" xr:uid="{00000000-0005-0000-0000-000004270000}"/>
    <cellStyle name="Normal 5 5 4" xfId="10242" xr:uid="{00000000-0005-0000-0000-000005270000}"/>
    <cellStyle name="Normal 5 5 4 2" xfId="10243" xr:uid="{00000000-0005-0000-0000-000006270000}"/>
    <cellStyle name="Normal 5 5 4 2 2" xfId="10244" xr:uid="{00000000-0005-0000-0000-000007270000}"/>
    <cellStyle name="Normal 5 5 4 2 2 2" xfId="10245" xr:uid="{00000000-0005-0000-0000-000008270000}"/>
    <cellStyle name="Normal 5 5 4 2 3" xfId="10246" xr:uid="{00000000-0005-0000-0000-000009270000}"/>
    <cellStyle name="Normal 5 5 4 3" xfId="10247" xr:uid="{00000000-0005-0000-0000-00000A270000}"/>
    <cellStyle name="Normal 5 5 4 3 2" xfId="10248" xr:uid="{00000000-0005-0000-0000-00000B270000}"/>
    <cellStyle name="Normal 5 5 4 4" xfId="10249" xr:uid="{00000000-0005-0000-0000-00000C270000}"/>
    <cellStyle name="Normal 5 5 5" xfId="10250" xr:uid="{00000000-0005-0000-0000-00000D270000}"/>
    <cellStyle name="Normal 5 5 5 2" xfId="10251" xr:uid="{00000000-0005-0000-0000-00000E270000}"/>
    <cellStyle name="Normal 5 5 5 2 2" xfId="10252" xr:uid="{00000000-0005-0000-0000-00000F270000}"/>
    <cellStyle name="Normal 5 5 5 3" xfId="10253" xr:uid="{00000000-0005-0000-0000-000010270000}"/>
    <cellStyle name="Normal 5 5 6" xfId="10254" xr:uid="{00000000-0005-0000-0000-000011270000}"/>
    <cellStyle name="Normal 5 5 6 2" xfId="10255" xr:uid="{00000000-0005-0000-0000-000012270000}"/>
    <cellStyle name="Normal 5 5 7" xfId="10256" xr:uid="{00000000-0005-0000-0000-000013270000}"/>
    <cellStyle name="Normal 5 6" xfId="10257" xr:uid="{00000000-0005-0000-0000-000014270000}"/>
    <cellStyle name="Normal 5 6 2" xfId="10258" xr:uid="{00000000-0005-0000-0000-000015270000}"/>
    <cellStyle name="Normal 5 6 2 2" xfId="10259" xr:uid="{00000000-0005-0000-0000-000016270000}"/>
    <cellStyle name="Normal 5 6 2 2 2" xfId="10260" xr:uid="{00000000-0005-0000-0000-000017270000}"/>
    <cellStyle name="Normal 5 6 2 2 2 2" xfId="10261" xr:uid="{00000000-0005-0000-0000-000018270000}"/>
    <cellStyle name="Normal 5 6 2 2 2 2 2" xfId="10262" xr:uid="{00000000-0005-0000-0000-000019270000}"/>
    <cellStyle name="Normal 5 6 2 2 2 3" xfId="10263" xr:uid="{00000000-0005-0000-0000-00001A270000}"/>
    <cellStyle name="Normal 5 6 2 2 3" xfId="10264" xr:uid="{00000000-0005-0000-0000-00001B270000}"/>
    <cellStyle name="Normal 5 6 2 2 3 2" xfId="10265" xr:uid="{00000000-0005-0000-0000-00001C270000}"/>
    <cellStyle name="Normal 5 6 2 2 4" xfId="10266" xr:uid="{00000000-0005-0000-0000-00001D270000}"/>
    <cellStyle name="Normal 5 6 2 3" xfId="10267" xr:uid="{00000000-0005-0000-0000-00001E270000}"/>
    <cellStyle name="Normal 5 6 2 3 2" xfId="10268" xr:uid="{00000000-0005-0000-0000-00001F270000}"/>
    <cellStyle name="Normal 5 6 2 3 2 2" xfId="10269" xr:uid="{00000000-0005-0000-0000-000020270000}"/>
    <cellStyle name="Normal 5 6 2 3 3" xfId="10270" xr:uid="{00000000-0005-0000-0000-000021270000}"/>
    <cellStyle name="Normal 5 6 2 4" xfId="10271" xr:uid="{00000000-0005-0000-0000-000022270000}"/>
    <cellStyle name="Normal 5 6 2 4 2" xfId="10272" xr:uid="{00000000-0005-0000-0000-000023270000}"/>
    <cellStyle name="Normal 5 6 2 5" xfId="10273" xr:uid="{00000000-0005-0000-0000-000024270000}"/>
    <cellStyle name="Normal 5 6 3" xfId="10274" xr:uid="{00000000-0005-0000-0000-000025270000}"/>
    <cellStyle name="Normal 5 6 3 2" xfId="10275" xr:uid="{00000000-0005-0000-0000-000026270000}"/>
    <cellStyle name="Normal 5 6 3 2 2" xfId="10276" xr:uid="{00000000-0005-0000-0000-000027270000}"/>
    <cellStyle name="Normal 5 6 3 2 2 2" xfId="10277" xr:uid="{00000000-0005-0000-0000-000028270000}"/>
    <cellStyle name="Normal 5 6 3 2 3" xfId="10278" xr:uid="{00000000-0005-0000-0000-000029270000}"/>
    <cellStyle name="Normal 5 6 3 3" xfId="10279" xr:uid="{00000000-0005-0000-0000-00002A270000}"/>
    <cellStyle name="Normal 5 6 3 3 2" xfId="10280" xr:uid="{00000000-0005-0000-0000-00002B270000}"/>
    <cellStyle name="Normal 5 6 3 4" xfId="10281" xr:uid="{00000000-0005-0000-0000-00002C270000}"/>
    <cellStyle name="Normal 5 6 4" xfId="10282" xr:uid="{00000000-0005-0000-0000-00002D270000}"/>
    <cellStyle name="Normal 5 6 4 2" xfId="10283" xr:uid="{00000000-0005-0000-0000-00002E270000}"/>
    <cellStyle name="Normal 5 6 4 2 2" xfId="10284" xr:uid="{00000000-0005-0000-0000-00002F270000}"/>
    <cellStyle name="Normal 5 6 4 3" xfId="10285" xr:uid="{00000000-0005-0000-0000-000030270000}"/>
    <cellStyle name="Normal 5 6 5" xfId="10286" xr:uid="{00000000-0005-0000-0000-000031270000}"/>
    <cellStyle name="Normal 5 6 5 2" xfId="10287" xr:uid="{00000000-0005-0000-0000-000032270000}"/>
    <cellStyle name="Normal 5 6 6" xfId="10288" xr:uid="{00000000-0005-0000-0000-000033270000}"/>
    <cellStyle name="Normal 5 7" xfId="10289" xr:uid="{00000000-0005-0000-0000-000034270000}"/>
    <cellStyle name="Normal 5 7 2" xfId="10290" xr:uid="{00000000-0005-0000-0000-000035270000}"/>
    <cellStyle name="Normal 5 7 2 2" xfId="10291" xr:uid="{00000000-0005-0000-0000-000036270000}"/>
    <cellStyle name="Normal 5 7 2 2 2" xfId="10292" xr:uid="{00000000-0005-0000-0000-000037270000}"/>
    <cellStyle name="Normal 5 7 2 2 2 2" xfId="10293" xr:uid="{00000000-0005-0000-0000-000038270000}"/>
    <cellStyle name="Normal 5 7 2 2 3" xfId="10294" xr:uid="{00000000-0005-0000-0000-000039270000}"/>
    <cellStyle name="Normal 5 7 2 3" xfId="10295" xr:uid="{00000000-0005-0000-0000-00003A270000}"/>
    <cellStyle name="Normal 5 7 2 3 2" xfId="10296" xr:uid="{00000000-0005-0000-0000-00003B270000}"/>
    <cellStyle name="Normal 5 7 2 4" xfId="10297" xr:uid="{00000000-0005-0000-0000-00003C270000}"/>
    <cellStyle name="Normal 5 7 3" xfId="10298" xr:uid="{00000000-0005-0000-0000-00003D270000}"/>
    <cellStyle name="Normal 5 7 3 2" xfId="10299" xr:uid="{00000000-0005-0000-0000-00003E270000}"/>
    <cellStyle name="Normal 5 7 3 2 2" xfId="10300" xr:uid="{00000000-0005-0000-0000-00003F270000}"/>
    <cellStyle name="Normal 5 7 3 3" xfId="10301" xr:uid="{00000000-0005-0000-0000-000040270000}"/>
    <cellStyle name="Normal 5 7 4" xfId="10302" xr:uid="{00000000-0005-0000-0000-000041270000}"/>
    <cellStyle name="Normal 5 7 4 2" xfId="10303" xr:uid="{00000000-0005-0000-0000-000042270000}"/>
    <cellStyle name="Normal 5 7 5" xfId="10304" xr:uid="{00000000-0005-0000-0000-000043270000}"/>
    <cellStyle name="Normal 5 8" xfId="10305" xr:uid="{00000000-0005-0000-0000-000044270000}"/>
    <cellStyle name="Normal 5 8 2" xfId="10306" xr:uid="{00000000-0005-0000-0000-000045270000}"/>
    <cellStyle name="Normal 5 8 2 2" xfId="10307" xr:uid="{00000000-0005-0000-0000-000046270000}"/>
    <cellStyle name="Normal 5 8 2 2 2" xfId="10308" xr:uid="{00000000-0005-0000-0000-000047270000}"/>
    <cellStyle name="Normal 5 8 2 2 2 2" xfId="10309" xr:uid="{00000000-0005-0000-0000-000048270000}"/>
    <cellStyle name="Normal 5 8 2 2 3" xfId="10310" xr:uid="{00000000-0005-0000-0000-000049270000}"/>
    <cellStyle name="Normal 5 8 2 3" xfId="10311" xr:uid="{00000000-0005-0000-0000-00004A270000}"/>
    <cellStyle name="Normal 5 8 2 3 2" xfId="10312" xr:uid="{00000000-0005-0000-0000-00004B270000}"/>
    <cellStyle name="Normal 5 8 2 4" xfId="10313" xr:uid="{00000000-0005-0000-0000-00004C270000}"/>
    <cellStyle name="Normal 5 8 3" xfId="10314" xr:uid="{00000000-0005-0000-0000-00004D270000}"/>
    <cellStyle name="Normal 5 8 3 2" xfId="10315" xr:uid="{00000000-0005-0000-0000-00004E270000}"/>
    <cellStyle name="Normal 5 8 3 2 2" xfId="10316" xr:uid="{00000000-0005-0000-0000-00004F270000}"/>
    <cellStyle name="Normal 5 8 3 3" xfId="10317" xr:uid="{00000000-0005-0000-0000-000050270000}"/>
    <cellStyle name="Normal 5 8 4" xfId="10318" xr:uid="{00000000-0005-0000-0000-000051270000}"/>
    <cellStyle name="Normal 5 8 4 2" xfId="10319" xr:uid="{00000000-0005-0000-0000-000052270000}"/>
    <cellStyle name="Normal 5 8 5" xfId="10320" xr:uid="{00000000-0005-0000-0000-000053270000}"/>
    <cellStyle name="Normal 5 9" xfId="10321" xr:uid="{00000000-0005-0000-0000-000054270000}"/>
    <cellStyle name="Normal 5 9 2" xfId="10322" xr:uid="{00000000-0005-0000-0000-000055270000}"/>
    <cellStyle name="Normal 5 9 2 2" xfId="10323" xr:uid="{00000000-0005-0000-0000-000056270000}"/>
    <cellStyle name="Normal 5 9 2 2 2" xfId="10324" xr:uid="{00000000-0005-0000-0000-000057270000}"/>
    <cellStyle name="Normal 5 9 2 3" xfId="10325" xr:uid="{00000000-0005-0000-0000-000058270000}"/>
    <cellStyle name="Normal 5 9 3" xfId="10326" xr:uid="{00000000-0005-0000-0000-000059270000}"/>
    <cellStyle name="Normal 5 9 3 2" xfId="10327" xr:uid="{00000000-0005-0000-0000-00005A270000}"/>
    <cellStyle name="Normal 5 9 4" xfId="10328" xr:uid="{00000000-0005-0000-0000-00005B270000}"/>
    <cellStyle name="Normal 50" xfId="1903" xr:uid="{00000000-0005-0000-0000-00005C270000}"/>
    <cellStyle name="Normal 50 2" xfId="10329" xr:uid="{00000000-0005-0000-0000-00005D270000}"/>
    <cellStyle name="Normal 50 3" xfId="10330" xr:uid="{00000000-0005-0000-0000-00005E270000}"/>
    <cellStyle name="Normal 51" xfId="1904" xr:uid="{00000000-0005-0000-0000-00005F270000}"/>
    <cellStyle name="Normal 51 2" xfId="10331" xr:uid="{00000000-0005-0000-0000-000060270000}"/>
    <cellStyle name="Normal 51 3" xfId="10332" xr:uid="{00000000-0005-0000-0000-000061270000}"/>
    <cellStyle name="Normal 52" xfId="1905" xr:uid="{00000000-0005-0000-0000-000062270000}"/>
    <cellStyle name="Normal 52 2" xfId="10333" xr:uid="{00000000-0005-0000-0000-000063270000}"/>
    <cellStyle name="Normal 52 3" xfId="10334" xr:uid="{00000000-0005-0000-0000-000064270000}"/>
    <cellStyle name="Normal 53" xfId="10335" xr:uid="{00000000-0005-0000-0000-000065270000}"/>
    <cellStyle name="Normal 53 2" xfId="10336" xr:uid="{00000000-0005-0000-0000-000066270000}"/>
    <cellStyle name="Normal 53 3" xfId="10337" xr:uid="{00000000-0005-0000-0000-000067270000}"/>
    <cellStyle name="Normal 54" xfId="10338" xr:uid="{00000000-0005-0000-0000-000068270000}"/>
    <cellStyle name="Normal 54 2" xfId="10339" xr:uid="{00000000-0005-0000-0000-000069270000}"/>
    <cellStyle name="Normal 54 3" xfId="10340" xr:uid="{00000000-0005-0000-0000-00006A270000}"/>
    <cellStyle name="Normal 55" xfId="10341" xr:uid="{00000000-0005-0000-0000-00006B270000}"/>
    <cellStyle name="Normal 55 2" xfId="10342" xr:uid="{00000000-0005-0000-0000-00006C270000}"/>
    <cellStyle name="Normal 55 3" xfId="10343" xr:uid="{00000000-0005-0000-0000-00006D270000}"/>
    <cellStyle name="Normal 56" xfId="10344" xr:uid="{00000000-0005-0000-0000-00006E270000}"/>
    <cellStyle name="Normal 56 2" xfId="10345" xr:uid="{00000000-0005-0000-0000-00006F270000}"/>
    <cellStyle name="Normal 57" xfId="10346" xr:uid="{00000000-0005-0000-0000-000070270000}"/>
    <cellStyle name="Normal 57 2" xfId="10347" xr:uid="{00000000-0005-0000-0000-000071270000}"/>
    <cellStyle name="Normal 58" xfId="10348" xr:uid="{00000000-0005-0000-0000-000072270000}"/>
    <cellStyle name="Normal 58 2" xfId="10349" xr:uid="{00000000-0005-0000-0000-000073270000}"/>
    <cellStyle name="Normal 59" xfId="10350" xr:uid="{00000000-0005-0000-0000-000074270000}"/>
    <cellStyle name="Normal 6" xfId="1906" xr:uid="{00000000-0005-0000-0000-000075270000}"/>
    <cellStyle name="Normal 6 10" xfId="10351" xr:uid="{00000000-0005-0000-0000-000076270000}"/>
    <cellStyle name="Normal 6 11" xfId="10352" xr:uid="{00000000-0005-0000-0000-000077270000}"/>
    <cellStyle name="Normal 6 2" xfId="10353" xr:uid="{00000000-0005-0000-0000-000078270000}"/>
    <cellStyle name="Normal 6 2 2" xfId="10354" xr:uid="{00000000-0005-0000-0000-000079270000}"/>
    <cellStyle name="Normal 6 2 2 2" xfId="10355" xr:uid="{00000000-0005-0000-0000-00007A270000}"/>
    <cellStyle name="Normal 6 2 2 2 2" xfId="10356" xr:uid="{00000000-0005-0000-0000-00007B270000}"/>
    <cellStyle name="Normal 6 2 2 2 2 2" xfId="10357" xr:uid="{00000000-0005-0000-0000-00007C270000}"/>
    <cellStyle name="Normal 6 2 2 2 2 2 2" xfId="10358" xr:uid="{00000000-0005-0000-0000-00007D270000}"/>
    <cellStyle name="Normal 6 2 2 2 2 3" xfId="10359" xr:uid="{00000000-0005-0000-0000-00007E270000}"/>
    <cellStyle name="Normal 6 2 2 2 3" xfId="10360" xr:uid="{00000000-0005-0000-0000-00007F270000}"/>
    <cellStyle name="Normal 6 2 2 2 3 2" xfId="10361" xr:uid="{00000000-0005-0000-0000-000080270000}"/>
    <cellStyle name="Normal 6 2 2 2 4" xfId="10362" xr:uid="{00000000-0005-0000-0000-000081270000}"/>
    <cellStyle name="Normal 6 2 2 2 5" xfId="10363" xr:uid="{00000000-0005-0000-0000-000082270000}"/>
    <cellStyle name="Normal 6 2 2 3" xfId="10364" xr:uid="{00000000-0005-0000-0000-000083270000}"/>
    <cellStyle name="Normal 6 2 2 3 2" xfId="10365" xr:uid="{00000000-0005-0000-0000-000084270000}"/>
    <cellStyle name="Normal 6 2 2 3 2 2" xfId="10366" xr:uid="{00000000-0005-0000-0000-000085270000}"/>
    <cellStyle name="Normal 6 2 2 3 3" xfId="10367" xr:uid="{00000000-0005-0000-0000-000086270000}"/>
    <cellStyle name="Normal 6 2 2 4" xfId="10368" xr:uid="{00000000-0005-0000-0000-000087270000}"/>
    <cellStyle name="Normal 6 2 2 4 2" xfId="10369" xr:uid="{00000000-0005-0000-0000-000088270000}"/>
    <cellStyle name="Normal 6 2 2 5" xfId="10370" xr:uid="{00000000-0005-0000-0000-000089270000}"/>
    <cellStyle name="Normal 6 2 2 6" xfId="10371" xr:uid="{00000000-0005-0000-0000-00008A270000}"/>
    <cellStyle name="Normal 6 2 3" xfId="10372" xr:uid="{00000000-0005-0000-0000-00008B270000}"/>
    <cellStyle name="Normal 6 2 3 2" xfId="10373" xr:uid="{00000000-0005-0000-0000-00008C270000}"/>
    <cellStyle name="Normal 6 2 3 2 2" xfId="10374" xr:uid="{00000000-0005-0000-0000-00008D270000}"/>
    <cellStyle name="Normal 6 2 3 2 2 2" xfId="10375" xr:uid="{00000000-0005-0000-0000-00008E270000}"/>
    <cellStyle name="Normal 6 2 3 2 3" xfId="10376" xr:uid="{00000000-0005-0000-0000-00008F270000}"/>
    <cellStyle name="Normal 6 2 3 3" xfId="10377" xr:uid="{00000000-0005-0000-0000-000090270000}"/>
    <cellStyle name="Normal 6 2 3 3 2" xfId="10378" xr:uid="{00000000-0005-0000-0000-000091270000}"/>
    <cellStyle name="Normal 6 2 3 4" xfId="10379" xr:uid="{00000000-0005-0000-0000-000092270000}"/>
    <cellStyle name="Normal 6 2 3 5" xfId="10380" xr:uid="{00000000-0005-0000-0000-000093270000}"/>
    <cellStyle name="Normal 6 2 4" xfId="10381" xr:uid="{00000000-0005-0000-0000-000094270000}"/>
    <cellStyle name="Normal 6 2 4 2" xfId="10382" xr:uid="{00000000-0005-0000-0000-000095270000}"/>
    <cellStyle name="Normal 6 2 4 2 2" xfId="10383" xr:uid="{00000000-0005-0000-0000-000096270000}"/>
    <cellStyle name="Normal 6 2 4 3" xfId="10384" xr:uid="{00000000-0005-0000-0000-000097270000}"/>
    <cellStyle name="Normal 6 2 5" xfId="10385" xr:uid="{00000000-0005-0000-0000-000098270000}"/>
    <cellStyle name="Normal 6 2 5 2" xfId="10386" xr:uid="{00000000-0005-0000-0000-000099270000}"/>
    <cellStyle name="Normal 6 2 6" xfId="10387" xr:uid="{00000000-0005-0000-0000-00009A270000}"/>
    <cellStyle name="Normal 6 2 7" xfId="10388" xr:uid="{00000000-0005-0000-0000-00009B270000}"/>
    <cellStyle name="Normal 6 2 8" xfId="10389" xr:uid="{00000000-0005-0000-0000-00009C270000}"/>
    <cellStyle name="Normal 6 3" xfId="10390" xr:uid="{00000000-0005-0000-0000-00009D270000}"/>
    <cellStyle name="Normal 6 3 2" xfId="10391" xr:uid="{00000000-0005-0000-0000-00009E270000}"/>
    <cellStyle name="Normal 6 3 2 2" xfId="10392" xr:uid="{00000000-0005-0000-0000-00009F270000}"/>
    <cellStyle name="Normal 6 3 2 2 2" xfId="10393" xr:uid="{00000000-0005-0000-0000-0000A0270000}"/>
    <cellStyle name="Normal 6 3 2 2 2 2" xfId="10394" xr:uid="{00000000-0005-0000-0000-0000A1270000}"/>
    <cellStyle name="Normal 6 3 2 2 3" xfId="10395" xr:uid="{00000000-0005-0000-0000-0000A2270000}"/>
    <cellStyle name="Normal 6 3 2 3" xfId="10396" xr:uid="{00000000-0005-0000-0000-0000A3270000}"/>
    <cellStyle name="Normal 6 3 2 3 2" xfId="10397" xr:uid="{00000000-0005-0000-0000-0000A4270000}"/>
    <cellStyle name="Normal 6 3 2 4" xfId="10398" xr:uid="{00000000-0005-0000-0000-0000A5270000}"/>
    <cellStyle name="Normal 6 3 2 5" xfId="10399" xr:uid="{00000000-0005-0000-0000-0000A6270000}"/>
    <cellStyle name="Normal 6 3 3" xfId="10400" xr:uid="{00000000-0005-0000-0000-0000A7270000}"/>
    <cellStyle name="Normal 6 3 3 2" xfId="10401" xr:uid="{00000000-0005-0000-0000-0000A8270000}"/>
    <cellStyle name="Normal 6 3 3 2 2" xfId="10402" xr:uid="{00000000-0005-0000-0000-0000A9270000}"/>
    <cellStyle name="Normal 6 3 3 3" xfId="10403" xr:uid="{00000000-0005-0000-0000-0000AA270000}"/>
    <cellStyle name="Normal 6 3 4" xfId="10404" xr:uid="{00000000-0005-0000-0000-0000AB270000}"/>
    <cellStyle name="Normal 6 3 4 2" xfId="10405" xr:uid="{00000000-0005-0000-0000-0000AC270000}"/>
    <cellStyle name="Normal 6 3 5" xfId="10406" xr:uid="{00000000-0005-0000-0000-0000AD270000}"/>
    <cellStyle name="Normal 6 3 6" xfId="10407" xr:uid="{00000000-0005-0000-0000-0000AE270000}"/>
    <cellStyle name="Normal 6 3 7" xfId="10408" xr:uid="{00000000-0005-0000-0000-0000AF270000}"/>
    <cellStyle name="Normal 6 4" xfId="10409" xr:uid="{00000000-0005-0000-0000-0000B0270000}"/>
    <cellStyle name="Normal 6 4 2" xfId="10410" xr:uid="{00000000-0005-0000-0000-0000B1270000}"/>
    <cellStyle name="Normal 6 4 2 2" xfId="10411" xr:uid="{00000000-0005-0000-0000-0000B2270000}"/>
    <cellStyle name="Normal 6 4 2 2 2" xfId="10412" xr:uid="{00000000-0005-0000-0000-0000B3270000}"/>
    <cellStyle name="Normal 6 4 2 2 3" xfId="10413" xr:uid="{00000000-0005-0000-0000-0000B4270000}"/>
    <cellStyle name="Normal 6 4 2 3" xfId="10414" xr:uid="{00000000-0005-0000-0000-0000B5270000}"/>
    <cellStyle name="Normal 6 4 2 3 2" xfId="10415" xr:uid="{00000000-0005-0000-0000-0000B6270000}"/>
    <cellStyle name="Normal 6 4 2 4" xfId="10416" xr:uid="{00000000-0005-0000-0000-0000B7270000}"/>
    <cellStyle name="Normal 6 4 2 5" xfId="10417" xr:uid="{00000000-0005-0000-0000-0000B8270000}"/>
    <cellStyle name="Normal 6 4 2 6" xfId="10418" xr:uid="{00000000-0005-0000-0000-0000B9270000}"/>
    <cellStyle name="Normal 6 4 3" xfId="10419" xr:uid="{00000000-0005-0000-0000-0000BA270000}"/>
    <cellStyle name="Normal 6 4 3 2" xfId="10420" xr:uid="{00000000-0005-0000-0000-0000BB270000}"/>
    <cellStyle name="Normal 6 4 3 3" xfId="10421" xr:uid="{00000000-0005-0000-0000-0000BC270000}"/>
    <cellStyle name="Normal 6 4 4" xfId="10422" xr:uid="{00000000-0005-0000-0000-0000BD270000}"/>
    <cellStyle name="Normal 6 4 4 2" xfId="10423" xr:uid="{00000000-0005-0000-0000-0000BE270000}"/>
    <cellStyle name="Normal 6 4 4 3" xfId="10424" xr:uid="{00000000-0005-0000-0000-0000BF270000}"/>
    <cellStyle name="Normal 6 4 5" xfId="10425" xr:uid="{00000000-0005-0000-0000-0000C0270000}"/>
    <cellStyle name="Normal 6 4 5 2" xfId="10426" xr:uid="{00000000-0005-0000-0000-0000C1270000}"/>
    <cellStyle name="Normal 6 4 6" xfId="10427" xr:uid="{00000000-0005-0000-0000-0000C2270000}"/>
    <cellStyle name="Normal 6 4 7" xfId="10428" xr:uid="{00000000-0005-0000-0000-0000C3270000}"/>
    <cellStyle name="Normal 6 4 8" xfId="10429" xr:uid="{00000000-0005-0000-0000-0000C4270000}"/>
    <cellStyle name="Normal 6 5" xfId="10430" xr:uid="{00000000-0005-0000-0000-0000C5270000}"/>
    <cellStyle name="Normal 6 5 2" xfId="10431" xr:uid="{00000000-0005-0000-0000-0000C6270000}"/>
    <cellStyle name="Normal 6 5 2 2" xfId="10432" xr:uid="{00000000-0005-0000-0000-0000C7270000}"/>
    <cellStyle name="Normal 6 5 2 2 2" xfId="10433" xr:uid="{00000000-0005-0000-0000-0000C8270000}"/>
    <cellStyle name="Normal 6 5 2 3" xfId="10434" xr:uid="{00000000-0005-0000-0000-0000C9270000}"/>
    <cellStyle name="Normal 6 5 3" xfId="10435" xr:uid="{00000000-0005-0000-0000-0000CA270000}"/>
    <cellStyle name="Normal 6 5 3 2" xfId="10436" xr:uid="{00000000-0005-0000-0000-0000CB270000}"/>
    <cellStyle name="Normal 6 5 4" xfId="10437" xr:uid="{00000000-0005-0000-0000-0000CC270000}"/>
    <cellStyle name="Normal 6 5 5" xfId="10438" xr:uid="{00000000-0005-0000-0000-0000CD270000}"/>
    <cellStyle name="Normal 6 5 6" xfId="10439" xr:uid="{00000000-0005-0000-0000-0000CE270000}"/>
    <cellStyle name="Normal 6 6" xfId="10440" xr:uid="{00000000-0005-0000-0000-0000CF270000}"/>
    <cellStyle name="Normal 6 6 2" xfId="10441" xr:uid="{00000000-0005-0000-0000-0000D0270000}"/>
    <cellStyle name="Normal 6 6 2 2" xfId="10442" xr:uid="{00000000-0005-0000-0000-0000D1270000}"/>
    <cellStyle name="Normal 6 6 3" xfId="10443" xr:uid="{00000000-0005-0000-0000-0000D2270000}"/>
    <cellStyle name="Normal 6 6 4" xfId="10444" xr:uid="{00000000-0005-0000-0000-0000D3270000}"/>
    <cellStyle name="Normal 6 6 5" xfId="10445" xr:uid="{00000000-0005-0000-0000-0000D4270000}"/>
    <cellStyle name="Normal 6 7" xfId="10446" xr:uid="{00000000-0005-0000-0000-0000D5270000}"/>
    <cellStyle name="Normal 6 7 2" xfId="10447" xr:uid="{00000000-0005-0000-0000-0000D6270000}"/>
    <cellStyle name="Normal 6 7 3" xfId="10448" xr:uid="{00000000-0005-0000-0000-0000D7270000}"/>
    <cellStyle name="Normal 6 8" xfId="10449" xr:uid="{00000000-0005-0000-0000-0000D8270000}"/>
    <cellStyle name="Normal 6 8 2" xfId="10450" xr:uid="{00000000-0005-0000-0000-0000D9270000}"/>
    <cellStyle name="Normal 6 8 3" xfId="10451" xr:uid="{00000000-0005-0000-0000-0000DA270000}"/>
    <cellStyle name="Normal 6 9" xfId="10452" xr:uid="{00000000-0005-0000-0000-0000DB270000}"/>
    <cellStyle name="Normal 60" xfId="10453" xr:uid="{00000000-0005-0000-0000-0000DC270000}"/>
    <cellStyle name="Normal 61" xfId="10454" xr:uid="{00000000-0005-0000-0000-0000DD270000}"/>
    <cellStyle name="Normal 62" xfId="10455" xr:uid="{00000000-0005-0000-0000-0000DE270000}"/>
    <cellStyle name="Normal 63" xfId="10456" xr:uid="{00000000-0005-0000-0000-0000DF270000}"/>
    <cellStyle name="Normal 64" xfId="10457" xr:uid="{00000000-0005-0000-0000-0000E0270000}"/>
    <cellStyle name="Normal 65" xfId="10458" xr:uid="{00000000-0005-0000-0000-0000E1270000}"/>
    <cellStyle name="Normal 66" xfId="10459" xr:uid="{00000000-0005-0000-0000-0000E2270000}"/>
    <cellStyle name="Normal 67" xfId="10460" xr:uid="{00000000-0005-0000-0000-0000E3270000}"/>
    <cellStyle name="Normal 68" xfId="10461" xr:uid="{00000000-0005-0000-0000-0000E4270000}"/>
    <cellStyle name="Normal 69" xfId="10462" xr:uid="{00000000-0005-0000-0000-0000E5270000}"/>
    <cellStyle name="Normal 7" xfId="1907" xr:uid="{00000000-0005-0000-0000-0000E6270000}"/>
    <cellStyle name="Normal 7 10" xfId="10463" xr:uid="{00000000-0005-0000-0000-0000E7270000}"/>
    <cellStyle name="Normal 7 11" xfId="10464" xr:uid="{00000000-0005-0000-0000-0000E8270000}"/>
    <cellStyle name="Normal 7 2" xfId="10465" xr:uid="{00000000-0005-0000-0000-0000E9270000}"/>
    <cellStyle name="Normal 7 2 2" xfId="10466" xr:uid="{00000000-0005-0000-0000-0000EA270000}"/>
    <cellStyle name="Normal 7 2 2 2" xfId="10467" xr:uid="{00000000-0005-0000-0000-0000EB270000}"/>
    <cellStyle name="Normal 7 2 2 2 2" xfId="10468" xr:uid="{00000000-0005-0000-0000-0000EC270000}"/>
    <cellStyle name="Normal 7 2 2 2 2 2" xfId="10469" xr:uid="{00000000-0005-0000-0000-0000ED270000}"/>
    <cellStyle name="Normal 7 2 2 2 2 2 2" xfId="10470" xr:uid="{00000000-0005-0000-0000-0000EE270000}"/>
    <cellStyle name="Normal 7 2 2 2 2 2 2 2" xfId="10471" xr:uid="{00000000-0005-0000-0000-0000EF270000}"/>
    <cellStyle name="Normal 7 2 2 2 2 2 3" xfId="10472" xr:uid="{00000000-0005-0000-0000-0000F0270000}"/>
    <cellStyle name="Normal 7 2 2 2 2 3" xfId="10473" xr:uid="{00000000-0005-0000-0000-0000F1270000}"/>
    <cellStyle name="Normal 7 2 2 2 2 3 2" xfId="10474" xr:uid="{00000000-0005-0000-0000-0000F2270000}"/>
    <cellStyle name="Normal 7 2 2 2 2 4" xfId="10475" xr:uid="{00000000-0005-0000-0000-0000F3270000}"/>
    <cellStyle name="Normal 7 2 2 2 3" xfId="10476" xr:uid="{00000000-0005-0000-0000-0000F4270000}"/>
    <cellStyle name="Normal 7 2 2 2 3 2" xfId="10477" xr:uid="{00000000-0005-0000-0000-0000F5270000}"/>
    <cellStyle name="Normal 7 2 2 2 3 2 2" xfId="10478" xr:uid="{00000000-0005-0000-0000-0000F6270000}"/>
    <cellStyle name="Normal 7 2 2 2 3 3" xfId="10479" xr:uid="{00000000-0005-0000-0000-0000F7270000}"/>
    <cellStyle name="Normal 7 2 2 2 4" xfId="10480" xr:uid="{00000000-0005-0000-0000-0000F8270000}"/>
    <cellStyle name="Normal 7 2 2 2 4 2" xfId="10481" xr:uid="{00000000-0005-0000-0000-0000F9270000}"/>
    <cellStyle name="Normal 7 2 2 2 5" xfId="10482" xr:uid="{00000000-0005-0000-0000-0000FA270000}"/>
    <cellStyle name="Normal 7 2 2 2 6" xfId="10483" xr:uid="{00000000-0005-0000-0000-0000FB270000}"/>
    <cellStyle name="Normal 7 2 2 3" xfId="10484" xr:uid="{00000000-0005-0000-0000-0000FC270000}"/>
    <cellStyle name="Normal 7 2 2 3 2" xfId="10485" xr:uid="{00000000-0005-0000-0000-0000FD270000}"/>
    <cellStyle name="Normal 7 2 2 3 2 2" xfId="10486" xr:uid="{00000000-0005-0000-0000-0000FE270000}"/>
    <cellStyle name="Normal 7 2 2 3 2 2 2" xfId="10487" xr:uid="{00000000-0005-0000-0000-0000FF270000}"/>
    <cellStyle name="Normal 7 2 2 3 2 3" xfId="10488" xr:uid="{00000000-0005-0000-0000-000000280000}"/>
    <cellStyle name="Normal 7 2 2 3 3" xfId="10489" xr:uid="{00000000-0005-0000-0000-000001280000}"/>
    <cellStyle name="Normal 7 2 2 3 3 2" xfId="10490" xr:uid="{00000000-0005-0000-0000-000002280000}"/>
    <cellStyle name="Normal 7 2 2 3 4" xfId="10491" xr:uid="{00000000-0005-0000-0000-000003280000}"/>
    <cellStyle name="Normal 7 2 2 4" xfId="10492" xr:uid="{00000000-0005-0000-0000-000004280000}"/>
    <cellStyle name="Normal 7 2 2 4 2" xfId="10493" xr:uid="{00000000-0005-0000-0000-000005280000}"/>
    <cellStyle name="Normal 7 2 2 4 2 2" xfId="10494" xr:uid="{00000000-0005-0000-0000-000006280000}"/>
    <cellStyle name="Normal 7 2 2 4 3" xfId="10495" xr:uid="{00000000-0005-0000-0000-000007280000}"/>
    <cellStyle name="Normal 7 2 2 5" xfId="10496" xr:uid="{00000000-0005-0000-0000-000008280000}"/>
    <cellStyle name="Normal 7 2 2 5 2" xfId="10497" xr:uid="{00000000-0005-0000-0000-000009280000}"/>
    <cellStyle name="Normal 7 2 2 6" xfId="10498" xr:uid="{00000000-0005-0000-0000-00000A280000}"/>
    <cellStyle name="Normal 7 2 2 7" xfId="10499" xr:uid="{00000000-0005-0000-0000-00000B280000}"/>
    <cellStyle name="Normal 7 2 3" xfId="10500" xr:uid="{00000000-0005-0000-0000-00000C280000}"/>
    <cellStyle name="Normal 7 2 3 2" xfId="10501" xr:uid="{00000000-0005-0000-0000-00000D280000}"/>
    <cellStyle name="Normal 7 2 3 2 2" xfId="10502" xr:uid="{00000000-0005-0000-0000-00000E280000}"/>
    <cellStyle name="Normal 7 2 3 2 2 2" xfId="10503" xr:uid="{00000000-0005-0000-0000-00000F280000}"/>
    <cellStyle name="Normal 7 2 3 2 2 2 2" xfId="10504" xr:uid="{00000000-0005-0000-0000-000010280000}"/>
    <cellStyle name="Normal 7 2 3 2 2 3" xfId="10505" xr:uid="{00000000-0005-0000-0000-000011280000}"/>
    <cellStyle name="Normal 7 2 3 2 3" xfId="10506" xr:uid="{00000000-0005-0000-0000-000012280000}"/>
    <cellStyle name="Normal 7 2 3 2 3 2" xfId="10507" xr:uid="{00000000-0005-0000-0000-000013280000}"/>
    <cellStyle name="Normal 7 2 3 2 4" xfId="10508" xr:uid="{00000000-0005-0000-0000-000014280000}"/>
    <cellStyle name="Normal 7 2 3 3" xfId="10509" xr:uid="{00000000-0005-0000-0000-000015280000}"/>
    <cellStyle name="Normal 7 2 3 3 2" xfId="10510" xr:uid="{00000000-0005-0000-0000-000016280000}"/>
    <cellStyle name="Normal 7 2 3 3 2 2" xfId="10511" xr:uid="{00000000-0005-0000-0000-000017280000}"/>
    <cellStyle name="Normal 7 2 3 3 3" xfId="10512" xr:uid="{00000000-0005-0000-0000-000018280000}"/>
    <cellStyle name="Normal 7 2 3 4" xfId="10513" xr:uid="{00000000-0005-0000-0000-000019280000}"/>
    <cellStyle name="Normal 7 2 3 4 2" xfId="10514" xr:uid="{00000000-0005-0000-0000-00001A280000}"/>
    <cellStyle name="Normal 7 2 3 5" xfId="10515" xr:uid="{00000000-0005-0000-0000-00001B280000}"/>
    <cellStyle name="Normal 7 2 3 6" xfId="10516" xr:uid="{00000000-0005-0000-0000-00001C280000}"/>
    <cellStyle name="Normal 7 2 4" xfId="10517" xr:uid="{00000000-0005-0000-0000-00001D280000}"/>
    <cellStyle name="Normal 7 2 4 2" xfId="10518" xr:uid="{00000000-0005-0000-0000-00001E280000}"/>
    <cellStyle name="Normal 7 2 4 2 2" xfId="10519" xr:uid="{00000000-0005-0000-0000-00001F280000}"/>
    <cellStyle name="Normal 7 2 4 2 2 2" xfId="10520" xr:uid="{00000000-0005-0000-0000-000020280000}"/>
    <cellStyle name="Normal 7 2 4 2 2 2 2" xfId="10521" xr:uid="{00000000-0005-0000-0000-000021280000}"/>
    <cellStyle name="Normal 7 2 4 2 2 3" xfId="10522" xr:uid="{00000000-0005-0000-0000-000022280000}"/>
    <cellStyle name="Normal 7 2 4 2 3" xfId="10523" xr:uid="{00000000-0005-0000-0000-000023280000}"/>
    <cellStyle name="Normal 7 2 4 2 3 2" xfId="10524" xr:uid="{00000000-0005-0000-0000-000024280000}"/>
    <cellStyle name="Normal 7 2 4 2 4" xfId="10525" xr:uid="{00000000-0005-0000-0000-000025280000}"/>
    <cellStyle name="Normal 7 2 4 3" xfId="10526" xr:uid="{00000000-0005-0000-0000-000026280000}"/>
    <cellStyle name="Normal 7 2 4 3 2" xfId="10527" xr:uid="{00000000-0005-0000-0000-000027280000}"/>
    <cellStyle name="Normal 7 2 4 3 2 2" xfId="10528" xr:uid="{00000000-0005-0000-0000-000028280000}"/>
    <cellStyle name="Normal 7 2 4 3 3" xfId="10529" xr:uid="{00000000-0005-0000-0000-000029280000}"/>
    <cellStyle name="Normal 7 2 4 4" xfId="10530" xr:uid="{00000000-0005-0000-0000-00002A280000}"/>
    <cellStyle name="Normal 7 2 4 4 2" xfId="10531" xr:uid="{00000000-0005-0000-0000-00002B280000}"/>
    <cellStyle name="Normal 7 2 4 5" xfId="10532" xr:uid="{00000000-0005-0000-0000-00002C280000}"/>
    <cellStyle name="Normal 7 2 5" xfId="10533" xr:uid="{00000000-0005-0000-0000-00002D280000}"/>
    <cellStyle name="Normal 7 2 5 2" xfId="10534" xr:uid="{00000000-0005-0000-0000-00002E280000}"/>
    <cellStyle name="Normal 7 2 5 2 2" xfId="10535" xr:uid="{00000000-0005-0000-0000-00002F280000}"/>
    <cellStyle name="Normal 7 2 5 2 2 2" xfId="10536" xr:uid="{00000000-0005-0000-0000-000030280000}"/>
    <cellStyle name="Normal 7 2 5 2 3" xfId="10537" xr:uid="{00000000-0005-0000-0000-000031280000}"/>
    <cellStyle name="Normal 7 2 5 3" xfId="10538" xr:uid="{00000000-0005-0000-0000-000032280000}"/>
    <cellStyle name="Normal 7 2 5 3 2" xfId="10539" xr:uid="{00000000-0005-0000-0000-000033280000}"/>
    <cellStyle name="Normal 7 2 5 4" xfId="10540" xr:uid="{00000000-0005-0000-0000-000034280000}"/>
    <cellStyle name="Normal 7 2 6" xfId="10541" xr:uid="{00000000-0005-0000-0000-000035280000}"/>
    <cellStyle name="Normal 7 2 6 2" xfId="10542" xr:uid="{00000000-0005-0000-0000-000036280000}"/>
    <cellStyle name="Normal 7 2 6 2 2" xfId="10543" xr:uid="{00000000-0005-0000-0000-000037280000}"/>
    <cellStyle name="Normal 7 2 6 3" xfId="10544" xr:uid="{00000000-0005-0000-0000-000038280000}"/>
    <cellStyle name="Normal 7 2 7" xfId="10545" xr:uid="{00000000-0005-0000-0000-000039280000}"/>
    <cellStyle name="Normal 7 2 7 2" xfId="10546" xr:uid="{00000000-0005-0000-0000-00003A280000}"/>
    <cellStyle name="Normal 7 2 8" xfId="10547" xr:uid="{00000000-0005-0000-0000-00003B280000}"/>
    <cellStyle name="Normal 7 2 9" xfId="10548" xr:uid="{00000000-0005-0000-0000-00003C280000}"/>
    <cellStyle name="Normal 7 3" xfId="10549" xr:uid="{00000000-0005-0000-0000-00003D280000}"/>
    <cellStyle name="Normal 7 3 2" xfId="10550" xr:uid="{00000000-0005-0000-0000-00003E280000}"/>
    <cellStyle name="Normal 7 3 2 2" xfId="10551" xr:uid="{00000000-0005-0000-0000-00003F280000}"/>
    <cellStyle name="Normal 7 3 2 2 2" xfId="10552" xr:uid="{00000000-0005-0000-0000-000040280000}"/>
    <cellStyle name="Normal 7 3 2 2 2 2" xfId="10553" xr:uid="{00000000-0005-0000-0000-000041280000}"/>
    <cellStyle name="Normal 7 3 2 2 2 2 2" xfId="10554" xr:uid="{00000000-0005-0000-0000-000042280000}"/>
    <cellStyle name="Normal 7 3 2 2 2 3" xfId="10555" xr:uid="{00000000-0005-0000-0000-000043280000}"/>
    <cellStyle name="Normal 7 3 2 2 3" xfId="10556" xr:uid="{00000000-0005-0000-0000-000044280000}"/>
    <cellStyle name="Normal 7 3 2 2 3 2" xfId="10557" xr:uid="{00000000-0005-0000-0000-000045280000}"/>
    <cellStyle name="Normal 7 3 2 2 4" xfId="10558" xr:uid="{00000000-0005-0000-0000-000046280000}"/>
    <cellStyle name="Normal 7 3 2 3" xfId="10559" xr:uid="{00000000-0005-0000-0000-000047280000}"/>
    <cellStyle name="Normal 7 3 2 3 2" xfId="10560" xr:uid="{00000000-0005-0000-0000-000048280000}"/>
    <cellStyle name="Normal 7 3 2 3 2 2" xfId="10561" xr:uid="{00000000-0005-0000-0000-000049280000}"/>
    <cellStyle name="Normal 7 3 2 3 3" xfId="10562" xr:uid="{00000000-0005-0000-0000-00004A280000}"/>
    <cellStyle name="Normal 7 3 2 4" xfId="10563" xr:uid="{00000000-0005-0000-0000-00004B280000}"/>
    <cellStyle name="Normal 7 3 2 4 2" xfId="10564" xr:uid="{00000000-0005-0000-0000-00004C280000}"/>
    <cellStyle name="Normal 7 3 2 5" xfId="10565" xr:uid="{00000000-0005-0000-0000-00004D280000}"/>
    <cellStyle name="Normal 7 3 2 6" xfId="10566" xr:uid="{00000000-0005-0000-0000-00004E280000}"/>
    <cellStyle name="Normal 7 3 3" xfId="10567" xr:uid="{00000000-0005-0000-0000-00004F280000}"/>
    <cellStyle name="Normal 7 3 3 2" xfId="10568" xr:uid="{00000000-0005-0000-0000-000050280000}"/>
    <cellStyle name="Normal 7 3 3 2 2" xfId="10569" xr:uid="{00000000-0005-0000-0000-000051280000}"/>
    <cellStyle name="Normal 7 3 3 2 2 2" xfId="10570" xr:uid="{00000000-0005-0000-0000-000052280000}"/>
    <cellStyle name="Normal 7 3 3 2 3" xfId="10571" xr:uid="{00000000-0005-0000-0000-000053280000}"/>
    <cellStyle name="Normal 7 3 3 3" xfId="10572" xr:uid="{00000000-0005-0000-0000-000054280000}"/>
    <cellStyle name="Normal 7 3 3 3 2" xfId="10573" xr:uid="{00000000-0005-0000-0000-000055280000}"/>
    <cellStyle name="Normal 7 3 3 4" xfId="10574" xr:uid="{00000000-0005-0000-0000-000056280000}"/>
    <cellStyle name="Normal 7 3 4" xfId="10575" xr:uid="{00000000-0005-0000-0000-000057280000}"/>
    <cellStyle name="Normal 7 3 4 2" xfId="10576" xr:uid="{00000000-0005-0000-0000-000058280000}"/>
    <cellStyle name="Normal 7 3 4 2 2" xfId="10577" xr:uid="{00000000-0005-0000-0000-000059280000}"/>
    <cellStyle name="Normal 7 3 4 3" xfId="10578" xr:uid="{00000000-0005-0000-0000-00005A280000}"/>
    <cellStyle name="Normal 7 3 5" xfId="10579" xr:uid="{00000000-0005-0000-0000-00005B280000}"/>
    <cellStyle name="Normal 7 3 5 2" xfId="10580" xr:uid="{00000000-0005-0000-0000-00005C280000}"/>
    <cellStyle name="Normal 7 3 6" xfId="10581" xr:uid="{00000000-0005-0000-0000-00005D280000}"/>
    <cellStyle name="Normal 7 3 7" xfId="10582" xr:uid="{00000000-0005-0000-0000-00005E280000}"/>
    <cellStyle name="Normal 7 4" xfId="10583" xr:uid="{00000000-0005-0000-0000-00005F280000}"/>
    <cellStyle name="Normal 7 4 2" xfId="10584" xr:uid="{00000000-0005-0000-0000-000060280000}"/>
    <cellStyle name="Normal 7 4 2 2" xfId="10585" xr:uid="{00000000-0005-0000-0000-000061280000}"/>
    <cellStyle name="Normal 7 4 2 2 2" xfId="10586" xr:uid="{00000000-0005-0000-0000-000062280000}"/>
    <cellStyle name="Normal 7 4 2 2 2 2" xfId="10587" xr:uid="{00000000-0005-0000-0000-000063280000}"/>
    <cellStyle name="Normal 7 4 2 2 3" xfId="10588" xr:uid="{00000000-0005-0000-0000-000064280000}"/>
    <cellStyle name="Normal 7 4 2 3" xfId="10589" xr:uid="{00000000-0005-0000-0000-000065280000}"/>
    <cellStyle name="Normal 7 4 2 3 2" xfId="10590" xr:uid="{00000000-0005-0000-0000-000066280000}"/>
    <cellStyle name="Normal 7 4 2 4" xfId="10591" xr:uid="{00000000-0005-0000-0000-000067280000}"/>
    <cellStyle name="Normal 7 4 2 5" xfId="10592" xr:uid="{00000000-0005-0000-0000-000068280000}"/>
    <cellStyle name="Normal 7 4 3" xfId="10593" xr:uid="{00000000-0005-0000-0000-000069280000}"/>
    <cellStyle name="Normal 7 4 3 2" xfId="10594" xr:uid="{00000000-0005-0000-0000-00006A280000}"/>
    <cellStyle name="Normal 7 4 3 2 2" xfId="10595" xr:uid="{00000000-0005-0000-0000-00006B280000}"/>
    <cellStyle name="Normal 7 4 3 3" xfId="10596" xr:uid="{00000000-0005-0000-0000-00006C280000}"/>
    <cellStyle name="Normal 7 4 4" xfId="10597" xr:uid="{00000000-0005-0000-0000-00006D280000}"/>
    <cellStyle name="Normal 7 4 4 2" xfId="10598" xr:uid="{00000000-0005-0000-0000-00006E280000}"/>
    <cellStyle name="Normal 7 4 5" xfId="10599" xr:uid="{00000000-0005-0000-0000-00006F280000}"/>
    <cellStyle name="Normal 7 4 6" xfId="10600" xr:uid="{00000000-0005-0000-0000-000070280000}"/>
    <cellStyle name="Normal 7 4 7" xfId="10601" xr:uid="{00000000-0005-0000-0000-000071280000}"/>
    <cellStyle name="Normal 7 5" xfId="10602" xr:uid="{00000000-0005-0000-0000-000072280000}"/>
    <cellStyle name="Normal 7 5 2" xfId="10603" xr:uid="{00000000-0005-0000-0000-000073280000}"/>
    <cellStyle name="Normal 7 5 2 2" xfId="10604" xr:uid="{00000000-0005-0000-0000-000074280000}"/>
    <cellStyle name="Normal 7 5 2 2 2" xfId="10605" xr:uid="{00000000-0005-0000-0000-000075280000}"/>
    <cellStyle name="Normal 7 5 2 2 2 2" xfId="10606" xr:uid="{00000000-0005-0000-0000-000076280000}"/>
    <cellStyle name="Normal 7 5 2 2 3" xfId="10607" xr:uid="{00000000-0005-0000-0000-000077280000}"/>
    <cellStyle name="Normal 7 5 2 3" xfId="10608" xr:uid="{00000000-0005-0000-0000-000078280000}"/>
    <cellStyle name="Normal 7 5 2 3 2" xfId="10609" xr:uid="{00000000-0005-0000-0000-000079280000}"/>
    <cellStyle name="Normal 7 5 2 4" xfId="10610" xr:uid="{00000000-0005-0000-0000-00007A280000}"/>
    <cellStyle name="Normal 7 5 3" xfId="10611" xr:uid="{00000000-0005-0000-0000-00007B280000}"/>
    <cellStyle name="Normal 7 5 3 2" xfId="10612" xr:uid="{00000000-0005-0000-0000-00007C280000}"/>
    <cellStyle name="Normal 7 5 3 2 2" xfId="10613" xr:uid="{00000000-0005-0000-0000-00007D280000}"/>
    <cellStyle name="Normal 7 5 3 3" xfId="10614" xr:uid="{00000000-0005-0000-0000-00007E280000}"/>
    <cellStyle name="Normal 7 5 4" xfId="10615" xr:uid="{00000000-0005-0000-0000-00007F280000}"/>
    <cellStyle name="Normal 7 5 4 2" xfId="10616" xr:uid="{00000000-0005-0000-0000-000080280000}"/>
    <cellStyle name="Normal 7 5 5" xfId="10617" xr:uid="{00000000-0005-0000-0000-000081280000}"/>
    <cellStyle name="Normal 7 5 6" xfId="10618" xr:uid="{00000000-0005-0000-0000-000082280000}"/>
    <cellStyle name="Normal 7 6" xfId="10619" xr:uid="{00000000-0005-0000-0000-000083280000}"/>
    <cellStyle name="Normal 7 6 2" xfId="10620" xr:uid="{00000000-0005-0000-0000-000084280000}"/>
    <cellStyle name="Normal 7 6 2 2" xfId="10621" xr:uid="{00000000-0005-0000-0000-000085280000}"/>
    <cellStyle name="Normal 7 6 2 2 2" xfId="10622" xr:uid="{00000000-0005-0000-0000-000086280000}"/>
    <cellStyle name="Normal 7 6 2 3" xfId="10623" xr:uid="{00000000-0005-0000-0000-000087280000}"/>
    <cellStyle name="Normal 7 6 3" xfId="10624" xr:uid="{00000000-0005-0000-0000-000088280000}"/>
    <cellStyle name="Normal 7 6 3 2" xfId="10625" xr:uid="{00000000-0005-0000-0000-000089280000}"/>
    <cellStyle name="Normal 7 6 4" xfId="10626" xr:uid="{00000000-0005-0000-0000-00008A280000}"/>
    <cellStyle name="Normal 7 7" xfId="10627" xr:uid="{00000000-0005-0000-0000-00008B280000}"/>
    <cellStyle name="Normal 7 7 2" xfId="10628" xr:uid="{00000000-0005-0000-0000-00008C280000}"/>
    <cellStyle name="Normal 7 7 2 2" xfId="10629" xr:uid="{00000000-0005-0000-0000-00008D280000}"/>
    <cellStyle name="Normal 7 7 3" xfId="10630" xr:uid="{00000000-0005-0000-0000-00008E280000}"/>
    <cellStyle name="Normal 7 8" xfId="10631" xr:uid="{00000000-0005-0000-0000-00008F280000}"/>
    <cellStyle name="Normal 7 8 2" xfId="10632" xr:uid="{00000000-0005-0000-0000-000090280000}"/>
    <cellStyle name="Normal 7 8 2 2" xfId="10633" xr:uid="{00000000-0005-0000-0000-000091280000}"/>
    <cellStyle name="Normal 7 8 3" xfId="10634" xr:uid="{00000000-0005-0000-0000-000092280000}"/>
    <cellStyle name="Normal 7 9" xfId="10635" xr:uid="{00000000-0005-0000-0000-000093280000}"/>
    <cellStyle name="Normal 7 9 2" xfId="10636" xr:uid="{00000000-0005-0000-0000-000094280000}"/>
    <cellStyle name="Normal 70" xfId="10637" xr:uid="{00000000-0005-0000-0000-000095280000}"/>
    <cellStyle name="Normal 71" xfId="10638" xr:uid="{00000000-0005-0000-0000-000096280000}"/>
    <cellStyle name="Normal 72" xfId="53" xr:uid="{00000000-0005-0000-0000-000097280000}"/>
    <cellStyle name="Normal 73" xfId="15194" xr:uid="{00000000-0005-0000-0000-000098280000}"/>
    <cellStyle name="Normal 8" xfId="1908" xr:uid="{00000000-0005-0000-0000-000099280000}"/>
    <cellStyle name="Normal 8 2" xfId="10639" xr:uid="{00000000-0005-0000-0000-00009A280000}"/>
    <cellStyle name="Normal 8 2 2" xfId="2155" xr:uid="{00000000-0005-0000-0000-00009B280000}"/>
    <cellStyle name="Normal 8 2 2 2" xfId="10640" xr:uid="{00000000-0005-0000-0000-00009C280000}"/>
    <cellStyle name="Normal 8 2 2 2 2" xfId="10641" xr:uid="{00000000-0005-0000-0000-00009D280000}"/>
    <cellStyle name="Normal 8 2 2 2 2 2" xfId="10642" xr:uid="{00000000-0005-0000-0000-00009E280000}"/>
    <cellStyle name="Normal 8 2 2 2 2 2 2" xfId="10643" xr:uid="{00000000-0005-0000-0000-00009F280000}"/>
    <cellStyle name="Normal 8 2 2 2 2 3" xfId="10644" xr:uid="{00000000-0005-0000-0000-0000A0280000}"/>
    <cellStyle name="Normal 8 2 2 2 3" xfId="10645" xr:uid="{00000000-0005-0000-0000-0000A1280000}"/>
    <cellStyle name="Normal 8 2 2 2 3 2" xfId="10646" xr:uid="{00000000-0005-0000-0000-0000A2280000}"/>
    <cellStyle name="Normal 8 2 2 2 4" xfId="10647" xr:uid="{00000000-0005-0000-0000-0000A3280000}"/>
    <cellStyle name="Normal 8 2 2 2 5" xfId="10648" xr:uid="{00000000-0005-0000-0000-0000A4280000}"/>
    <cellStyle name="Normal 8 2 2 3" xfId="10649" xr:uid="{00000000-0005-0000-0000-0000A5280000}"/>
    <cellStyle name="Normal 8 2 2 3 2" xfId="10650" xr:uid="{00000000-0005-0000-0000-0000A6280000}"/>
    <cellStyle name="Normal 8 2 2 3 2 2" xfId="10651" xr:uid="{00000000-0005-0000-0000-0000A7280000}"/>
    <cellStyle name="Normal 8 2 2 3 3" xfId="10652" xr:uid="{00000000-0005-0000-0000-0000A8280000}"/>
    <cellStyle name="Normal 8 2 2 4" xfId="10653" xr:uid="{00000000-0005-0000-0000-0000A9280000}"/>
    <cellStyle name="Normal 8 2 2 4 2" xfId="10654" xr:uid="{00000000-0005-0000-0000-0000AA280000}"/>
    <cellStyle name="Normal 8 2 2 5" xfId="10655" xr:uid="{00000000-0005-0000-0000-0000AB280000}"/>
    <cellStyle name="Normal 8 2 2 6" xfId="10656" xr:uid="{00000000-0005-0000-0000-0000AC280000}"/>
    <cellStyle name="Normal 8 2 3" xfId="10657" xr:uid="{00000000-0005-0000-0000-0000AD280000}"/>
    <cellStyle name="Normal 8 2 3 2" xfId="10658" xr:uid="{00000000-0005-0000-0000-0000AE280000}"/>
    <cellStyle name="Normal 8 2 3 2 2" xfId="10659" xr:uid="{00000000-0005-0000-0000-0000AF280000}"/>
    <cellStyle name="Normal 8 2 3 2 2 2" xfId="10660" xr:uid="{00000000-0005-0000-0000-0000B0280000}"/>
    <cellStyle name="Normal 8 2 3 2 3" xfId="10661" xr:uid="{00000000-0005-0000-0000-0000B1280000}"/>
    <cellStyle name="Normal 8 2 3 3" xfId="10662" xr:uid="{00000000-0005-0000-0000-0000B2280000}"/>
    <cellStyle name="Normal 8 2 3 3 2" xfId="10663" xr:uid="{00000000-0005-0000-0000-0000B3280000}"/>
    <cellStyle name="Normal 8 2 3 4" xfId="10664" xr:uid="{00000000-0005-0000-0000-0000B4280000}"/>
    <cellStyle name="Normal 8 2 3 5" xfId="10665" xr:uid="{00000000-0005-0000-0000-0000B5280000}"/>
    <cellStyle name="Normal 8 2 4" xfId="10666" xr:uid="{00000000-0005-0000-0000-0000B6280000}"/>
    <cellStyle name="Normal 8 2 4 2" xfId="10667" xr:uid="{00000000-0005-0000-0000-0000B7280000}"/>
    <cellStyle name="Normal 8 2 4 2 2" xfId="10668" xr:uid="{00000000-0005-0000-0000-0000B8280000}"/>
    <cellStyle name="Normal 8 2 4 3" xfId="10669" xr:uid="{00000000-0005-0000-0000-0000B9280000}"/>
    <cellStyle name="Normal 8 2 5" xfId="10670" xr:uid="{00000000-0005-0000-0000-0000BA280000}"/>
    <cellStyle name="Normal 8 2 5 2" xfId="10671" xr:uid="{00000000-0005-0000-0000-0000BB280000}"/>
    <cellStyle name="Normal 8 2 6" xfId="10672" xr:uid="{00000000-0005-0000-0000-0000BC280000}"/>
    <cellStyle name="Normal 8 2 7" xfId="10673" xr:uid="{00000000-0005-0000-0000-0000BD280000}"/>
    <cellStyle name="Normal 8 2 8" xfId="10674" xr:uid="{00000000-0005-0000-0000-0000BE280000}"/>
    <cellStyle name="Normal 8 3" xfId="2156" xr:uid="{00000000-0005-0000-0000-0000BF280000}"/>
    <cellStyle name="Normal 8 3 2" xfId="10675" xr:uid="{00000000-0005-0000-0000-0000C0280000}"/>
    <cellStyle name="Normal 8 3 2 2" xfId="10676" xr:uid="{00000000-0005-0000-0000-0000C1280000}"/>
    <cellStyle name="Normal 8 3 2 2 2" xfId="10677" xr:uid="{00000000-0005-0000-0000-0000C2280000}"/>
    <cellStyle name="Normal 8 3 2 2 2 2" xfId="10678" xr:uid="{00000000-0005-0000-0000-0000C3280000}"/>
    <cellStyle name="Normal 8 3 2 2 3" xfId="10679" xr:uid="{00000000-0005-0000-0000-0000C4280000}"/>
    <cellStyle name="Normal 8 3 2 3" xfId="10680" xr:uid="{00000000-0005-0000-0000-0000C5280000}"/>
    <cellStyle name="Normal 8 3 2 3 2" xfId="10681" xr:uid="{00000000-0005-0000-0000-0000C6280000}"/>
    <cellStyle name="Normal 8 3 2 4" xfId="10682" xr:uid="{00000000-0005-0000-0000-0000C7280000}"/>
    <cellStyle name="Normal 8 3 2 5" xfId="10683" xr:uid="{00000000-0005-0000-0000-0000C8280000}"/>
    <cellStyle name="Normal 8 3 3" xfId="10684" xr:uid="{00000000-0005-0000-0000-0000C9280000}"/>
    <cellStyle name="Normal 8 3 3 2" xfId="10685" xr:uid="{00000000-0005-0000-0000-0000CA280000}"/>
    <cellStyle name="Normal 8 3 3 2 2" xfId="10686" xr:uid="{00000000-0005-0000-0000-0000CB280000}"/>
    <cellStyle name="Normal 8 3 3 3" xfId="10687" xr:uid="{00000000-0005-0000-0000-0000CC280000}"/>
    <cellStyle name="Normal 8 3 4" xfId="10688" xr:uid="{00000000-0005-0000-0000-0000CD280000}"/>
    <cellStyle name="Normal 8 3 4 2" xfId="10689" xr:uid="{00000000-0005-0000-0000-0000CE280000}"/>
    <cellStyle name="Normal 8 3 5" xfId="10690" xr:uid="{00000000-0005-0000-0000-0000CF280000}"/>
    <cellStyle name="Normal 8 3 6" xfId="10691" xr:uid="{00000000-0005-0000-0000-0000D0280000}"/>
    <cellStyle name="Normal 8 4" xfId="10692" xr:uid="{00000000-0005-0000-0000-0000D1280000}"/>
    <cellStyle name="Normal 8 4 2" xfId="10693" xr:uid="{00000000-0005-0000-0000-0000D2280000}"/>
    <cellStyle name="Normal 8 4 2 2" xfId="10694" xr:uid="{00000000-0005-0000-0000-0000D3280000}"/>
    <cellStyle name="Normal 8 4 2 2 2" xfId="10695" xr:uid="{00000000-0005-0000-0000-0000D4280000}"/>
    <cellStyle name="Normal 8 4 2 3" xfId="10696" xr:uid="{00000000-0005-0000-0000-0000D5280000}"/>
    <cellStyle name="Normal 8 4 3" xfId="10697" xr:uid="{00000000-0005-0000-0000-0000D6280000}"/>
    <cellStyle name="Normal 8 4 3 2" xfId="10698" xr:uid="{00000000-0005-0000-0000-0000D7280000}"/>
    <cellStyle name="Normal 8 4 4" xfId="10699" xr:uid="{00000000-0005-0000-0000-0000D8280000}"/>
    <cellStyle name="Normal 8 4 5" xfId="10700" xr:uid="{00000000-0005-0000-0000-0000D9280000}"/>
    <cellStyle name="Normal 8 5" xfId="10701" xr:uid="{00000000-0005-0000-0000-0000DA280000}"/>
    <cellStyle name="Normal 8 5 2" xfId="10702" xr:uid="{00000000-0005-0000-0000-0000DB280000}"/>
    <cellStyle name="Normal 8 5 2 2" xfId="10703" xr:uid="{00000000-0005-0000-0000-0000DC280000}"/>
    <cellStyle name="Normal 8 5 3" xfId="10704" xr:uid="{00000000-0005-0000-0000-0000DD280000}"/>
    <cellStyle name="Normal 8 6" xfId="10705" xr:uid="{00000000-0005-0000-0000-0000DE280000}"/>
    <cellStyle name="Normal 8 6 2" xfId="10706" xr:uid="{00000000-0005-0000-0000-0000DF280000}"/>
    <cellStyle name="Normal 8 7" xfId="10707" xr:uid="{00000000-0005-0000-0000-0000E0280000}"/>
    <cellStyle name="Normal 8 8" xfId="10708" xr:uid="{00000000-0005-0000-0000-0000E1280000}"/>
    <cellStyle name="Normal 9" xfId="1909" xr:uid="{00000000-0005-0000-0000-0000E2280000}"/>
    <cellStyle name="Normal 9 2" xfId="10709" xr:uid="{00000000-0005-0000-0000-0000E3280000}"/>
    <cellStyle name="Normal 9 2 2" xfId="10710" xr:uid="{00000000-0005-0000-0000-0000E4280000}"/>
    <cellStyle name="Normal 9 2 2 2" xfId="10711" xr:uid="{00000000-0005-0000-0000-0000E5280000}"/>
    <cellStyle name="Normal 9 2 2 2 2" xfId="10712" xr:uid="{00000000-0005-0000-0000-0000E6280000}"/>
    <cellStyle name="Normal 9 2 2 2 2 2" xfId="10713" xr:uid="{00000000-0005-0000-0000-0000E7280000}"/>
    <cellStyle name="Normal 9 2 2 2 2 2 2" xfId="10714" xr:uid="{00000000-0005-0000-0000-0000E8280000}"/>
    <cellStyle name="Normal 9 2 2 2 2 3" xfId="10715" xr:uid="{00000000-0005-0000-0000-0000E9280000}"/>
    <cellStyle name="Normal 9 2 2 2 3" xfId="10716" xr:uid="{00000000-0005-0000-0000-0000EA280000}"/>
    <cellStyle name="Normal 9 2 2 2 3 2" xfId="10717" xr:uid="{00000000-0005-0000-0000-0000EB280000}"/>
    <cellStyle name="Normal 9 2 2 2 4" xfId="10718" xr:uid="{00000000-0005-0000-0000-0000EC280000}"/>
    <cellStyle name="Normal 9 2 2 2 5" xfId="10719" xr:uid="{00000000-0005-0000-0000-0000ED280000}"/>
    <cellStyle name="Normal 9 2 2 2 6" xfId="10720" xr:uid="{00000000-0005-0000-0000-0000EE280000}"/>
    <cellStyle name="Normal 9 2 2 3" xfId="10721" xr:uid="{00000000-0005-0000-0000-0000EF280000}"/>
    <cellStyle name="Normal 9 2 2 3 2" xfId="10722" xr:uid="{00000000-0005-0000-0000-0000F0280000}"/>
    <cellStyle name="Normal 9 2 2 3 2 2" xfId="10723" xr:uid="{00000000-0005-0000-0000-0000F1280000}"/>
    <cellStyle name="Normal 9 2 2 3 3" xfId="10724" xr:uid="{00000000-0005-0000-0000-0000F2280000}"/>
    <cellStyle name="Normal 9 2 2 4" xfId="10725" xr:uid="{00000000-0005-0000-0000-0000F3280000}"/>
    <cellStyle name="Normal 9 2 2 4 2" xfId="10726" xr:uid="{00000000-0005-0000-0000-0000F4280000}"/>
    <cellStyle name="Normal 9 2 2 5" xfId="10727" xr:uid="{00000000-0005-0000-0000-0000F5280000}"/>
    <cellStyle name="Normal 9 2 2 6" xfId="10728" xr:uid="{00000000-0005-0000-0000-0000F6280000}"/>
    <cellStyle name="Normal 9 2 2 7" xfId="10729" xr:uid="{00000000-0005-0000-0000-0000F7280000}"/>
    <cellStyle name="Normal 9 2 3" xfId="10730" xr:uid="{00000000-0005-0000-0000-0000F8280000}"/>
    <cellStyle name="Normal 9 2 3 2" xfId="10731" xr:uid="{00000000-0005-0000-0000-0000F9280000}"/>
    <cellStyle name="Normal 9 2 3 2 2" xfId="10732" xr:uid="{00000000-0005-0000-0000-0000FA280000}"/>
    <cellStyle name="Normal 9 2 3 2 2 2" xfId="10733" xr:uid="{00000000-0005-0000-0000-0000FB280000}"/>
    <cellStyle name="Normal 9 2 3 2 3" xfId="10734" xr:uid="{00000000-0005-0000-0000-0000FC280000}"/>
    <cellStyle name="Normal 9 2 3 3" xfId="10735" xr:uid="{00000000-0005-0000-0000-0000FD280000}"/>
    <cellStyle name="Normal 9 2 3 3 2" xfId="10736" xr:uid="{00000000-0005-0000-0000-0000FE280000}"/>
    <cellStyle name="Normal 9 2 3 4" xfId="10737" xr:uid="{00000000-0005-0000-0000-0000FF280000}"/>
    <cellStyle name="Normal 9 2 3 5" xfId="10738" xr:uid="{00000000-0005-0000-0000-000000290000}"/>
    <cellStyle name="Normal 9 2 3 6" xfId="10739" xr:uid="{00000000-0005-0000-0000-000001290000}"/>
    <cellStyle name="Normal 9 2 4" xfId="10740" xr:uid="{00000000-0005-0000-0000-000002290000}"/>
    <cellStyle name="Normal 9 2 4 2" xfId="10741" xr:uid="{00000000-0005-0000-0000-000003290000}"/>
    <cellStyle name="Normal 9 2 4 2 2" xfId="10742" xr:uid="{00000000-0005-0000-0000-000004290000}"/>
    <cellStyle name="Normal 9 2 4 3" xfId="10743" xr:uid="{00000000-0005-0000-0000-000005290000}"/>
    <cellStyle name="Normal 9 2 4 4" xfId="10744" xr:uid="{00000000-0005-0000-0000-000006290000}"/>
    <cellStyle name="Normal 9 2 5" xfId="10745" xr:uid="{00000000-0005-0000-0000-000007290000}"/>
    <cellStyle name="Normal 9 2 5 2" xfId="10746" xr:uid="{00000000-0005-0000-0000-000008290000}"/>
    <cellStyle name="Normal 9 2 6" xfId="10747" xr:uid="{00000000-0005-0000-0000-000009290000}"/>
    <cellStyle name="Normal 9 2 7" xfId="10748" xr:uid="{00000000-0005-0000-0000-00000A290000}"/>
    <cellStyle name="Normal 9 2 8" xfId="10749" xr:uid="{00000000-0005-0000-0000-00000B290000}"/>
    <cellStyle name="Normal 9 3" xfId="10750" xr:uid="{00000000-0005-0000-0000-00000C290000}"/>
    <cellStyle name="Normal 9 3 2" xfId="10751" xr:uid="{00000000-0005-0000-0000-00000D290000}"/>
    <cellStyle name="Normal 9 3 2 2" xfId="10752" xr:uid="{00000000-0005-0000-0000-00000E290000}"/>
    <cellStyle name="Normal 9 3 2 2 2" xfId="10753" xr:uid="{00000000-0005-0000-0000-00000F290000}"/>
    <cellStyle name="Normal 9 3 2 2 2 2" xfId="10754" xr:uid="{00000000-0005-0000-0000-000010290000}"/>
    <cellStyle name="Normal 9 3 2 2 3" xfId="10755" xr:uid="{00000000-0005-0000-0000-000011290000}"/>
    <cellStyle name="Normal 9 3 2 3" xfId="10756" xr:uid="{00000000-0005-0000-0000-000012290000}"/>
    <cellStyle name="Normal 9 3 2 3 2" xfId="10757" xr:uid="{00000000-0005-0000-0000-000013290000}"/>
    <cellStyle name="Normal 9 3 2 4" xfId="10758" xr:uid="{00000000-0005-0000-0000-000014290000}"/>
    <cellStyle name="Normal 9 3 2 5" xfId="10759" xr:uid="{00000000-0005-0000-0000-000015290000}"/>
    <cellStyle name="Normal 9 3 2 6" xfId="10760" xr:uid="{00000000-0005-0000-0000-000016290000}"/>
    <cellStyle name="Normal 9 3 3" xfId="10761" xr:uid="{00000000-0005-0000-0000-000017290000}"/>
    <cellStyle name="Normal 9 3 3 2" xfId="10762" xr:uid="{00000000-0005-0000-0000-000018290000}"/>
    <cellStyle name="Normal 9 3 3 2 2" xfId="10763" xr:uid="{00000000-0005-0000-0000-000019290000}"/>
    <cellStyle name="Normal 9 3 3 3" xfId="10764" xr:uid="{00000000-0005-0000-0000-00001A290000}"/>
    <cellStyle name="Normal 9 3 3 4" xfId="10765" xr:uid="{00000000-0005-0000-0000-00001B290000}"/>
    <cellStyle name="Normal 9 3 4" xfId="10766" xr:uid="{00000000-0005-0000-0000-00001C290000}"/>
    <cellStyle name="Normal 9 3 4 2" xfId="10767" xr:uid="{00000000-0005-0000-0000-00001D290000}"/>
    <cellStyle name="Normal 9 3 5" xfId="10768" xr:uid="{00000000-0005-0000-0000-00001E290000}"/>
    <cellStyle name="Normal 9 3 6" xfId="10769" xr:uid="{00000000-0005-0000-0000-00001F290000}"/>
    <cellStyle name="Normal 9 3 7" xfId="10770" xr:uid="{00000000-0005-0000-0000-000020290000}"/>
    <cellStyle name="Normal 9 4" xfId="10771" xr:uid="{00000000-0005-0000-0000-000021290000}"/>
    <cellStyle name="Normal 9 4 2" xfId="10772" xr:uid="{00000000-0005-0000-0000-000022290000}"/>
    <cellStyle name="Normal 9 4 2 2" xfId="10773" xr:uid="{00000000-0005-0000-0000-000023290000}"/>
    <cellStyle name="Normal 9 4 2 2 2" xfId="10774" xr:uid="{00000000-0005-0000-0000-000024290000}"/>
    <cellStyle name="Normal 9 4 2 3" xfId="10775" xr:uid="{00000000-0005-0000-0000-000025290000}"/>
    <cellStyle name="Normal 9 4 3" xfId="10776" xr:uid="{00000000-0005-0000-0000-000026290000}"/>
    <cellStyle name="Normal 9 4 3 2" xfId="10777" xr:uid="{00000000-0005-0000-0000-000027290000}"/>
    <cellStyle name="Normal 9 4 4" xfId="10778" xr:uid="{00000000-0005-0000-0000-000028290000}"/>
    <cellStyle name="Normal 9 4 5" xfId="10779" xr:uid="{00000000-0005-0000-0000-000029290000}"/>
    <cellStyle name="Normal 9 4 6" xfId="10780" xr:uid="{00000000-0005-0000-0000-00002A290000}"/>
    <cellStyle name="Normal 9 5" xfId="10781" xr:uid="{00000000-0005-0000-0000-00002B290000}"/>
    <cellStyle name="Normal 9 5 2" xfId="10782" xr:uid="{00000000-0005-0000-0000-00002C290000}"/>
    <cellStyle name="Normal 9 5 2 2" xfId="10783" xr:uid="{00000000-0005-0000-0000-00002D290000}"/>
    <cellStyle name="Normal 9 5 3" xfId="10784" xr:uid="{00000000-0005-0000-0000-00002E290000}"/>
    <cellStyle name="Normal 9 5 4" xfId="10785" xr:uid="{00000000-0005-0000-0000-00002F290000}"/>
    <cellStyle name="Normal 9 6" xfId="10786" xr:uid="{00000000-0005-0000-0000-000030290000}"/>
    <cellStyle name="Normal 9 6 2" xfId="10787" xr:uid="{00000000-0005-0000-0000-000031290000}"/>
    <cellStyle name="Normal 9 7" xfId="10788" xr:uid="{00000000-0005-0000-0000-000032290000}"/>
    <cellStyle name="Normal 9 8" xfId="10789" xr:uid="{00000000-0005-0000-0000-000033290000}"/>
    <cellStyle name="Normal 9 9" xfId="10790" xr:uid="{00000000-0005-0000-0000-000034290000}"/>
    <cellStyle name="Note 10" xfId="1910" xr:uid="{00000000-0005-0000-0000-000035290000}"/>
    <cellStyle name="Note 10 10" xfId="10791" xr:uid="{00000000-0005-0000-0000-000036290000}"/>
    <cellStyle name="Note 10 10 2" xfId="10792" xr:uid="{00000000-0005-0000-0000-000037290000}"/>
    <cellStyle name="Note 10 11" xfId="10793" xr:uid="{00000000-0005-0000-0000-000038290000}"/>
    <cellStyle name="Note 10 12" xfId="10794" xr:uid="{00000000-0005-0000-0000-000039290000}"/>
    <cellStyle name="Note 10 13" xfId="10795" xr:uid="{00000000-0005-0000-0000-00003A290000}"/>
    <cellStyle name="Note 10 2" xfId="1911" xr:uid="{00000000-0005-0000-0000-00003B290000}"/>
    <cellStyle name="Note 10 2 10" xfId="10796" xr:uid="{00000000-0005-0000-0000-00003C290000}"/>
    <cellStyle name="Note 10 2 2" xfId="10797" xr:uid="{00000000-0005-0000-0000-00003D290000}"/>
    <cellStyle name="Note 10 2 2 2" xfId="10798" xr:uid="{00000000-0005-0000-0000-00003E290000}"/>
    <cellStyle name="Note 10 2 3" xfId="10799" xr:uid="{00000000-0005-0000-0000-00003F290000}"/>
    <cellStyle name="Note 10 2 3 2" xfId="10800" xr:uid="{00000000-0005-0000-0000-000040290000}"/>
    <cellStyle name="Note 10 2 4" xfId="10801" xr:uid="{00000000-0005-0000-0000-000041290000}"/>
    <cellStyle name="Note 10 2 4 2" xfId="10802" xr:uid="{00000000-0005-0000-0000-000042290000}"/>
    <cellStyle name="Note 10 2 5" xfId="10803" xr:uid="{00000000-0005-0000-0000-000043290000}"/>
    <cellStyle name="Note 10 2 5 2" xfId="10804" xr:uid="{00000000-0005-0000-0000-000044290000}"/>
    <cellStyle name="Note 10 2 6" xfId="10805" xr:uid="{00000000-0005-0000-0000-000045290000}"/>
    <cellStyle name="Note 10 2 6 2" xfId="10806" xr:uid="{00000000-0005-0000-0000-000046290000}"/>
    <cellStyle name="Note 10 2 7" xfId="10807" xr:uid="{00000000-0005-0000-0000-000047290000}"/>
    <cellStyle name="Note 10 2 7 2" xfId="10808" xr:uid="{00000000-0005-0000-0000-000048290000}"/>
    <cellStyle name="Note 10 2 8" xfId="10809" xr:uid="{00000000-0005-0000-0000-000049290000}"/>
    <cellStyle name="Note 10 2 8 2" xfId="10810" xr:uid="{00000000-0005-0000-0000-00004A290000}"/>
    <cellStyle name="Note 10 2 9" xfId="10811" xr:uid="{00000000-0005-0000-0000-00004B290000}"/>
    <cellStyle name="Note 10 2 9 2" xfId="10812" xr:uid="{00000000-0005-0000-0000-00004C290000}"/>
    <cellStyle name="Note 10 3" xfId="1912" xr:uid="{00000000-0005-0000-0000-00004D290000}"/>
    <cellStyle name="Note 10 3 2" xfId="10813" xr:uid="{00000000-0005-0000-0000-00004E290000}"/>
    <cellStyle name="Note 10 4" xfId="1913" xr:uid="{00000000-0005-0000-0000-00004F290000}"/>
    <cellStyle name="Note 10 4 2" xfId="10814" xr:uid="{00000000-0005-0000-0000-000050290000}"/>
    <cellStyle name="Note 10 5" xfId="1914" xr:uid="{00000000-0005-0000-0000-000051290000}"/>
    <cellStyle name="Note 10 5 2" xfId="10815" xr:uid="{00000000-0005-0000-0000-000052290000}"/>
    <cellStyle name="Note 10 6" xfId="10816" xr:uid="{00000000-0005-0000-0000-000053290000}"/>
    <cellStyle name="Note 10 6 2" xfId="10817" xr:uid="{00000000-0005-0000-0000-000054290000}"/>
    <cellStyle name="Note 10 7" xfId="10818" xr:uid="{00000000-0005-0000-0000-000055290000}"/>
    <cellStyle name="Note 10 7 2" xfId="10819" xr:uid="{00000000-0005-0000-0000-000056290000}"/>
    <cellStyle name="Note 10 8" xfId="10820" xr:uid="{00000000-0005-0000-0000-000057290000}"/>
    <cellStyle name="Note 10 8 2" xfId="10821" xr:uid="{00000000-0005-0000-0000-000058290000}"/>
    <cellStyle name="Note 10 9" xfId="10822" xr:uid="{00000000-0005-0000-0000-000059290000}"/>
    <cellStyle name="Note 10 9 2" xfId="10823" xr:uid="{00000000-0005-0000-0000-00005A290000}"/>
    <cellStyle name="Note 11" xfId="1915" xr:uid="{00000000-0005-0000-0000-00005B290000}"/>
    <cellStyle name="Note 11 10" xfId="10824" xr:uid="{00000000-0005-0000-0000-00005C290000}"/>
    <cellStyle name="Note 11 10 2" xfId="10825" xr:uid="{00000000-0005-0000-0000-00005D290000}"/>
    <cellStyle name="Note 11 11" xfId="10826" xr:uid="{00000000-0005-0000-0000-00005E290000}"/>
    <cellStyle name="Note 11 12" xfId="10827" xr:uid="{00000000-0005-0000-0000-00005F290000}"/>
    <cellStyle name="Note 11 13" xfId="10828" xr:uid="{00000000-0005-0000-0000-000060290000}"/>
    <cellStyle name="Note 11 2" xfId="1916" xr:uid="{00000000-0005-0000-0000-000061290000}"/>
    <cellStyle name="Note 11 2 10" xfId="10829" xr:uid="{00000000-0005-0000-0000-000062290000}"/>
    <cellStyle name="Note 11 2 2" xfId="10830" xr:uid="{00000000-0005-0000-0000-000063290000}"/>
    <cellStyle name="Note 11 2 2 2" xfId="10831" xr:uid="{00000000-0005-0000-0000-000064290000}"/>
    <cellStyle name="Note 11 2 3" xfId="10832" xr:uid="{00000000-0005-0000-0000-000065290000}"/>
    <cellStyle name="Note 11 2 3 2" xfId="10833" xr:uid="{00000000-0005-0000-0000-000066290000}"/>
    <cellStyle name="Note 11 2 4" xfId="10834" xr:uid="{00000000-0005-0000-0000-000067290000}"/>
    <cellStyle name="Note 11 2 4 2" xfId="10835" xr:uid="{00000000-0005-0000-0000-000068290000}"/>
    <cellStyle name="Note 11 2 5" xfId="10836" xr:uid="{00000000-0005-0000-0000-000069290000}"/>
    <cellStyle name="Note 11 2 5 2" xfId="10837" xr:uid="{00000000-0005-0000-0000-00006A290000}"/>
    <cellStyle name="Note 11 2 6" xfId="10838" xr:uid="{00000000-0005-0000-0000-00006B290000}"/>
    <cellStyle name="Note 11 2 6 2" xfId="10839" xr:uid="{00000000-0005-0000-0000-00006C290000}"/>
    <cellStyle name="Note 11 2 7" xfId="10840" xr:uid="{00000000-0005-0000-0000-00006D290000}"/>
    <cellStyle name="Note 11 2 7 2" xfId="10841" xr:uid="{00000000-0005-0000-0000-00006E290000}"/>
    <cellStyle name="Note 11 2 8" xfId="10842" xr:uid="{00000000-0005-0000-0000-00006F290000}"/>
    <cellStyle name="Note 11 2 8 2" xfId="10843" xr:uid="{00000000-0005-0000-0000-000070290000}"/>
    <cellStyle name="Note 11 2 9" xfId="10844" xr:uid="{00000000-0005-0000-0000-000071290000}"/>
    <cellStyle name="Note 11 2 9 2" xfId="10845" xr:uid="{00000000-0005-0000-0000-000072290000}"/>
    <cellStyle name="Note 11 3" xfId="1917" xr:uid="{00000000-0005-0000-0000-000073290000}"/>
    <cellStyle name="Note 11 3 2" xfId="10846" xr:uid="{00000000-0005-0000-0000-000074290000}"/>
    <cellStyle name="Note 11 4" xfId="1918" xr:uid="{00000000-0005-0000-0000-000075290000}"/>
    <cellStyle name="Note 11 4 2" xfId="10847" xr:uid="{00000000-0005-0000-0000-000076290000}"/>
    <cellStyle name="Note 11 5" xfId="1919" xr:uid="{00000000-0005-0000-0000-000077290000}"/>
    <cellStyle name="Note 11 5 2" xfId="10848" xr:uid="{00000000-0005-0000-0000-000078290000}"/>
    <cellStyle name="Note 11 6" xfId="10849" xr:uid="{00000000-0005-0000-0000-000079290000}"/>
    <cellStyle name="Note 11 6 2" xfId="10850" xr:uid="{00000000-0005-0000-0000-00007A290000}"/>
    <cellStyle name="Note 11 7" xfId="10851" xr:uid="{00000000-0005-0000-0000-00007B290000}"/>
    <cellStyle name="Note 11 7 2" xfId="10852" xr:uid="{00000000-0005-0000-0000-00007C290000}"/>
    <cellStyle name="Note 11 8" xfId="10853" xr:uid="{00000000-0005-0000-0000-00007D290000}"/>
    <cellStyle name="Note 11 8 2" xfId="10854" xr:uid="{00000000-0005-0000-0000-00007E290000}"/>
    <cellStyle name="Note 11 9" xfId="10855" xr:uid="{00000000-0005-0000-0000-00007F290000}"/>
    <cellStyle name="Note 11 9 2" xfId="10856" xr:uid="{00000000-0005-0000-0000-000080290000}"/>
    <cellStyle name="Note 12" xfId="1920" xr:uid="{00000000-0005-0000-0000-000081290000}"/>
    <cellStyle name="Note 12 10" xfId="10857" xr:uid="{00000000-0005-0000-0000-000082290000}"/>
    <cellStyle name="Note 12 10 2" xfId="10858" xr:uid="{00000000-0005-0000-0000-000083290000}"/>
    <cellStyle name="Note 12 11" xfId="10859" xr:uid="{00000000-0005-0000-0000-000084290000}"/>
    <cellStyle name="Note 12 12" xfId="10860" xr:uid="{00000000-0005-0000-0000-000085290000}"/>
    <cellStyle name="Note 12 13" xfId="10861" xr:uid="{00000000-0005-0000-0000-000086290000}"/>
    <cellStyle name="Note 12 2" xfId="10862" xr:uid="{00000000-0005-0000-0000-000087290000}"/>
    <cellStyle name="Note 12 2 10" xfId="10863" xr:uid="{00000000-0005-0000-0000-000088290000}"/>
    <cellStyle name="Note 12 2 2" xfId="10864" xr:uid="{00000000-0005-0000-0000-000089290000}"/>
    <cellStyle name="Note 12 2 2 2" xfId="10865" xr:uid="{00000000-0005-0000-0000-00008A290000}"/>
    <cellStyle name="Note 12 2 3" xfId="10866" xr:uid="{00000000-0005-0000-0000-00008B290000}"/>
    <cellStyle name="Note 12 2 3 2" xfId="10867" xr:uid="{00000000-0005-0000-0000-00008C290000}"/>
    <cellStyle name="Note 12 2 4" xfId="10868" xr:uid="{00000000-0005-0000-0000-00008D290000}"/>
    <cellStyle name="Note 12 2 4 2" xfId="10869" xr:uid="{00000000-0005-0000-0000-00008E290000}"/>
    <cellStyle name="Note 12 2 5" xfId="10870" xr:uid="{00000000-0005-0000-0000-00008F290000}"/>
    <cellStyle name="Note 12 2 5 2" xfId="10871" xr:uid="{00000000-0005-0000-0000-000090290000}"/>
    <cellStyle name="Note 12 2 6" xfId="10872" xr:uid="{00000000-0005-0000-0000-000091290000}"/>
    <cellStyle name="Note 12 2 6 2" xfId="10873" xr:uid="{00000000-0005-0000-0000-000092290000}"/>
    <cellStyle name="Note 12 2 7" xfId="10874" xr:uid="{00000000-0005-0000-0000-000093290000}"/>
    <cellStyle name="Note 12 2 7 2" xfId="10875" xr:uid="{00000000-0005-0000-0000-000094290000}"/>
    <cellStyle name="Note 12 2 8" xfId="10876" xr:uid="{00000000-0005-0000-0000-000095290000}"/>
    <cellStyle name="Note 12 2 8 2" xfId="10877" xr:uid="{00000000-0005-0000-0000-000096290000}"/>
    <cellStyle name="Note 12 2 9" xfId="10878" xr:uid="{00000000-0005-0000-0000-000097290000}"/>
    <cellStyle name="Note 12 2 9 2" xfId="10879" xr:uid="{00000000-0005-0000-0000-000098290000}"/>
    <cellStyle name="Note 12 3" xfId="10880" xr:uid="{00000000-0005-0000-0000-000099290000}"/>
    <cellStyle name="Note 12 3 2" xfId="10881" xr:uid="{00000000-0005-0000-0000-00009A290000}"/>
    <cellStyle name="Note 12 4" xfId="10882" xr:uid="{00000000-0005-0000-0000-00009B290000}"/>
    <cellStyle name="Note 12 4 2" xfId="10883" xr:uid="{00000000-0005-0000-0000-00009C290000}"/>
    <cellStyle name="Note 12 5" xfId="10884" xr:uid="{00000000-0005-0000-0000-00009D290000}"/>
    <cellStyle name="Note 12 5 2" xfId="10885" xr:uid="{00000000-0005-0000-0000-00009E290000}"/>
    <cellStyle name="Note 12 6" xfId="10886" xr:uid="{00000000-0005-0000-0000-00009F290000}"/>
    <cellStyle name="Note 12 6 2" xfId="10887" xr:uid="{00000000-0005-0000-0000-0000A0290000}"/>
    <cellStyle name="Note 12 7" xfId="10888" xr:uid="{00000000-0005-0000-0000-0000A1290000}"/>
    <cellStyle name="Note 12 7 2" xfId="10889" xr:uid="{00000000-0005-0000-0000-0000A2290000}"/>
    <cellStyle name="Note 12 8" xfId="10890" xr:uid="{00000000-0005-0000-0000-0000A3290000}"/>
    <cellStyle name="Note 12 8 2" xfId="10891" xr:uid="{00000000-0005-0000-0000-0000A4290000}"/>
    <cellStyle name="Note 12 9" xfId="10892" xr:uid="{00000000-0005-0000-0000-0000A5290000}"/>
    <cellStyle name="Note 12 9 2" xfId="10893" xr:uid="{00000000-0005-0000-0000-0000A6290000}"/>
    <cellStyle name="Note 13" xfId="1921" xr:uid="{00000000-0005-0000-0000-0000A7290000}"/>
    <cellStyle name="Note 13 10" xfId="10894" xr:uid="{00000000-0005-0000-0000-0000A8290000}"/>
    <cellStyle name="Note 13 10 2" xfId="10895" xr:uid="{00000000-0005-0000-0000-0000A9290000}"/>
    <cellStyle name="Note 13 11" xfId="10896" xr:uid="{00000000-0005-0000-0000-0000AA290000}"/>
    <cellStyle name="Note 13 12" xfId="10897" xr:uid="{00000000-0005-0000-0000-0000AB290000}"/>
    <cellStyle name="Note 13 13" xfId="10898" xr:uid="{00000000-0005-0000-0000-0000AC290000}"/>
    <cellStyle name="Note 13 2" xfId="10899" xr:uid="{00000000-0005-0000-0000-0000AD290000}"/>
    <cellStyle name="Note 13 2 10" xfId="10900" xr:uid="{00000000-0005-0000-0000-0000AE290000}"/>
    <cellStyle name="Note 13 2 2" xfId="10901" xr:uid="{00000000-0005-0000-0000-0000AF290000}"/>
    <cellStyle name="Note 13 2 2 2" xfId="10902" xr:uid="{00000000-0005-0000-0000-0000B0290000}"/>
    <cellStyle name="Note 13 2 3" xfId="10903" xr:uid="{00000000-0005-0000-0000-0000B1290000}"/>
    <cellStyle name="Note 13 2 3 2" xfId="10904" xr:uid="{00000000-0005-0000-0000-0000B2290000}"/>
    <cellStyle name="Note 13 2 4" xfId="10905" xr:uid="{00000000-0005-0000-0000-0000B3290000}"/>
    <cellStyle name="Note 13 2 4 2" xfId="10906" xr:uid="{00000000-0005-0000-0000-0000B4290000}"/>
    <cellStyle name="Note 13 2 5" xfId="10907" xr:uid="{00000000-0005-0000-0000-0000B5290000}"/>
    <cellStyle name="Note 13 2 5 2" xfId="10908" xr:uid="{00000000-0005-0000-0000-0000B6290000}"/>
    <cellStyle name="Note 13 2 6" xfId="10909" xr:uid="{00000000-0005-0000-0000-0000B7290000}"/>
    <cellStyle name="Note 13 2 6 2" xfId="10910" xr:uid="{00000000-0005-0000-0000-0000B8290000}"/>
    <cellStyle name="Note 13 2 7" xfId="10911" xr:uid="{00000000-0005-0000-0000-0000B9290000}"/>
    <cellStyle name="Note 13 2 7 2" xfId="10912" xr:uid="{00000000-0005-0000-0000-0000BA290000}"/>
    <cellStyle name="Note 13 2 8" xfId="10913" xr:uid="{00000000-0005-0000-0000-0000BB290000}"/>
    <cellStyle name="Note 13 2 8 2" xfId="10914" xr:uid="{00000000-0005-0000-0000-0000BC290000}"/>
    <cellStyle name="Note 13 2 9" xfId="10915" xr:uid="{00000000-0005-0000-0000-0000BD290000}"/>
    <cellStyle name="Note 13 2 9 2" xfId="10916" xr:uid="{00000000-0005-0000-0000-0000BE290000}"/>
    <cellStyle name="Note 13 3" xfId="10917" xr:uid="{00000000-0005-0000-0000-0000BF290000}"/>
    <cellStyle name="Note 13 3 2" xfId="10918" xr:uid="{00000000-0005-0000-0000-0000C0290000}"/>
    <cellStyle name="Note 13 4" xfId="10919" xr:uid="{00000000-0005-0000-0000-0000C1290000}"/>
    <cellStyle name="Note 13 4 2" xfId="10920" xr:uid="{00000000-0005-0000-0000-0000C2290000}"/>
    <cellStyle name="Note 13 5" xfId="10921" xr:uid="{00000000-0005-0000-0000-0000C3290000}"/>
    <cellStyle name="Note 13 5 2" xfId="10922" xr:uid="{00000000-0005-0000-0000-0000C4290000}"/>
    <cellStyle name="Note 13 6" xfId="10923" xr:uid="{00000000-0005-0000-0000-0000C5290000}"/>
    <cellStyle name="Note 13 6 2" xfId="10924" xr:uid="{00000000-0005-0000-0000-0000C6290000}"/>
    <cellStyle name="Note 13 7" xfId="10925" xr:uid="{00000000-0005-0000-0000-0000C7290000}"/>
    <cellStyle name="Note 13 7 2" xfId="10926" xr:uid="{00000000-0005-0000-0000-0000C8290000}"/>
    <cellStyle name="Note 13 8" xfId="10927" xr:uid="{00000000-0005-0000-0000-0000C9290000}"/>
    <cellStyle name="Note 13 8 2" xfId="10928" xr:uid="{00000000-0005-0000-0000-0000CA290000}"/>
    <cellStyle name="Note 13 9" xfId="10929" xr:uid="{00000000-0005-0000-0000-0000CB290000}"/>
    <cellStyle name="Note 13 9 2" xfId="10930" xr:uid="{00000000-0005-0000-0000-0000CC290000}"/>
    <cellStyle name="Note 14" xfId="1922" xr:uid="{00000000-0005-0000-0000-0000CD290000}"/>
    <cellStyle name="Note 14 10" xfId="10931" xr:uid="{00000000-0005-0000-0000-0000CE290000}"/>
    <cellStyle name="Note 14 10 2" xfId="10932" xr:uid="{00000000-0005-0000-0000-0000CF290000}"/>
    <cellStyle name="Note 14 11" xfId="10933" xr:uid="{00000000-0005-0000-0000-0000D0290000}"/>
    <cellStyle name="Note 14 12" xfId="10934" xr:uid="{00000000-0005-0000-0000-0000D1290000}"/>
    <cellStyle name="Note 14 13" xfId="10935" xr:uid="{00000000-0005-0000-0000-0000D2290000}"/>
    <cellStyle name="Note 14 2" xfId="10936" xr:uid="{00000000-0005-0000-0000-0000D3290000}"/>
    <cellStyle name="Note 14 2 10" xfId="10937" xr:uid="{00000000-0005-0000-0000-0000D4290000}"/>
    <cellStyle name="Note 14 2 2" xfId="10938" xr:uid="{00000000-0005-0000-0000-0000D5290000}"/>
    <cellStyle name="Note 14 2 2 2" xfId="10939" xr:uid="{00000000-0005-0000-0000-0000D6290000}"/>
    <cellStyle name="Note 14 2 3" xfId="10940" xr:uid="{00000000-0005-0000-0000-0000D7290000}"/>
    <cellStyle name="Note 14 2 3 2" xfId="10941" xr:uid="{00000000-0005-0000-0000-0000D8290000}"/>
    <cellStyle name="Note 14 2 4" xfId="10942" xr:uid="{00000000-0005-0000-0000-0000D9290000}"/>
    <cellStyle name="Note 14 2 4 2" xfId="10943" xr:uid="{00000000-0005-0000-0000-0000DA290000}"/>
    <cellStyle name="Note 14 2 5" xfId="10944" xr:uid="{00000000-0005-0000-0000-0000DB290000}"/>
    <cellStyle name="Note 14 2 5 2" xfId="10945" xr:uid="{00000000-0005-0000-0000-0000DC290000}"/>
    <cellStyle name="Note 14 2 6" xfId="10946" xr:uid="{00000000-0005-0000-0000-0000DD290000}"/>
    <cellStyle name="Note 14 2 6 2" xfId="10947" xr:uid="{00000000-0005-0000-0000-0000DE290000}"/>
    <cellStyle name="Note 14 2 7" xfId="10948" xr:uid="{00000000-0005-0000-0000-0000DF290000}"/>
    <cellStyle name="Note 14 2 7 2" xfId="10949" xr:uid="{00000000-0005-0000-0000-0000E0290000}"/>
    <cellStyle name="Note 14 2 8" xfId="10950" xr:uid="{00000000-0005-0000-0000-0000E1290000}"/>
    <cellStyle name="Note 14 2 8 2" xfId="10951" xr:uid="{00000000-0005-0000-0000-0000E2290000}"/>
    <cellStyle name="Note 14 2 9" xfId="10952" xr:uid="{00000000-0005-0000-0000-0000E3290000}"/>
    <cellStyle name="Note 14 2 9 2" xfId="10953" xr:uid="{00000000-0005-0000-0000-0000E4290000}"/>
    <cellStyle name="Note 14 3" xfId="10954" xr:uid="{00000000-0005-0000-0000-0000E5290000}"/>
    <cellStyle name="Note 14 3 2" xfId="10955" xr:uid="{00000000-0005-0000-0000-0000E6290000}"/>
    <cellStyle name="Note 14 4" xfId="10956" xr:uid="{00000000-0005-0000-0000-0000E7290000}"/>
    <cellStyle name="Note 14 4 2" xfId="10957" xr:uid="{00000000-0005-0000-0000-0000E8290000}"/>
    <cellStyle name="Note 14 5" xfId="10958" xr:uid="{00000000-0005-0000-0000-0000E9290000}"/>
    <cellStyle name="Note 14 5 2" xfId="10959" xr:uid="{00000000-0005-0000-0000-0000EA290000}"/>
    <cellStyle name="Note 14 6" xfId="10960" xr:uid="{00000000-0005-0000-0000-0000EB290000}"/>
    <cellStyle name="Note 14 6 2" xfId="10961" xr:uid="{00000000-0005-0000-0000-0000EC290000}"/>
    <cellStyle name="Note 14 7" xfId="10962" xr:uid="{00000000-0005-0000-0000-0000ED290000}"/>
    <cellStyle name="Note 14 7 2" xfId="10963" xr:uid="{00000000-0005-0000-0000-0000EE290000}"/>
    <cellStyle name="Note 14 8" xfId="10964" xr:uid="{00000000-0005-0000-0000-0000EF290000}"/>
    <cellStyle name="Note 14 8 2" xfId="10965" xr:uid="{00000000-0005-0000-0000-0000F0290000}"/>
    <cellStyle name="Note 14 9" xfId="10966" xr:uid="{00000000-0005-0000-0000-0000F1290000}"/>
    <cellStyle name="Note 14 9 2" xfId="10967" xr:uid="{00000000-0005-0000-0000-0000F2290000}"/>
    <cellStyle name="Note 15" xfId="1923" xr:uid="{00000000-0005-0000-0000-0000F3290000}"/>
    <cellStyle name="Note 15 10" xfId="10968" xr:uid="{00000000-0005-0000-0000-0000F4290000}"/>
    <cellStyle name="Note 15 10 2" xfId="10969" xr:uid="{00000000-0005-0000-0000-0000F5290000}"/>
    <cellStyle name="Note 15 11" xfId="10970" xr:uid="{00000000-0005-0000-0000-0000F6290000}"/>
    <cellStyle name="Note 15 12" xfId="10971" xr:uid="{00000000-0005-0000-0000-0000F7290000}"/>
    <cellStyle name="Note 15 2" xfId="1924" xr:uid="{00000000-0005-0000-0000-0000F8290000}"/>
    <cellStyle name="Note 15 2 10" xfId="10972" xr:uid="{00000000-0005-0000-0000-0000F9290000}"/>
    <cellStyle name="Note 15 2 2" xfId="10973" xr:uid="{00000000-0005-0000-0000-0000FA290000}"/>
    <cellStyle name="Note 15 2 2 2" xfId="10974" xr:uid="{00000000-0005-0000-0000-0000FB290000}"/>
    <cellStyle name="Note 15 2 3" xfId="10975" xr:uid="{00000000-0005-0000-0000-0000FC290000}"/>
    <cellStyle name="Note 15 2 3 2" xfId="10976" xr:uid="{00000000-0005-0000-0000-0000FD290000}"/>
    <cellStyle name="Note 15 2 4" xfId="10977" xr:uid="{00000000-0005-0000-0000-0000FE290000}"/>
    <cellStyle name="Note 15 2 4 2" xfId="10978" xr:uid="{00000000-0005-0000-0000-0000FF290000}"/>
    <cellStyle name="Note 15 2 5" xfId="10979" xr:uid="{00000000-0005-0000-0000-0000002A0000}"/>
    <cellStyle name="Note 15 2 5 2" xfId="10980" xr:uid="{00000000-0005-0000-0000-0000012A0000}"/>
    <cellStyle name="Note 15 2 6" xfId="10981" xr:uid="{00000000-0005-0000-0000-0000022A0000}"/>
    <cellStyle name="Note 15 2 6 2" xfId="10982" xr:uid="{00000000-0005-0000-0000-0000032A0000}"/>
    <cellStyle name="Note 15 2 7" xfId="10983" xr:uid="{00000000-0005-0000-0000-0000042A0000}"/>
    <cellStyle name="Note 15 2 7 2" xfId="10984" xr:uid="{00000000-0005-0000-0000-0000052A0000}"/>
    <cellStyle name="Note 15 2 8" xfId="10985" xr:uid="{00000000-0005-0000-0000-0000062A0000}"/>
    <cellStyle name="Note 15 2 8 2" xfId="10986" xr:uid="{00000000-0005-0000-0000-0000072A0000}"/>
    <cellStyle name="Note 15 2 9" xfId="10987" xr:uid="{00000000-0005-0000-0000-0000082A0000}"/>
    <cellStyle name="Note 15 2 9 2" xfId="10988" xr:uid="{00000000-0005-0000-0000-0000092A0000}"/>
    <cellStyle name="Note 15 3" xfId="1925" xr:uid="{00000000-0005-0000-0000-00000A2A0000}"/>
    <cellStyle name="Note 15 3 2" xfId="10989" xr:uid="{00000000-0005-0000-0000-00000B2A0000}"/>
    <cellStyle name="Note 15 4" xfId="1926" xr:uid="{00000000-0005-0000-0000-00000C2A0000}"/>
    <cellStyle name="Note 15 4 2" xfId="10990" xr:uid="{00000000-0005-0000-0000-00000D2A0000}"/>
    <cellStyle name="Note 15 5" xfId="1927" xr:uid="{00000000-0005-0000-0000-00000E2A0000}"/>
    <cellStyle name="Note 15 5 2" xfId="10991" xr:uid="{00000000-0005-0000-0000-00000F2A0000}"/>
    <cellStyle name="Note 15 6" xfId="10992" xr:uid="{00000000-0005-0000-0000-0000102A0000}"/>
    <cellStyle name="Note 15 6 2" xfId="10993" xr:uid="{00000000-0005-0000-0000-0000112A0000}"/>
    <cellStyle name="Note 15 7" xfId="10994" xr:uid="{00000000-0005-0000-0000-0000122A0000}"/>
    <cellStyle name="Note 15 7 2" xfId="10995" xr:uid="{00000000-0005-0000-0000-0000132A0000}"/>
    <cellStyle name="Note 15 8" xfId="10996" xr:uid="{00000000-0005-0000-0000-0000142A0000}"/>
    <cellStyle name="Note 15 8 2" xfId="10997" xr:uid="{00000000-0005-0000-0000-0000152A0000}"/>
    <cellStyle name="Note 15 9" xfId="10998" xr:uid="{00000000-0005-0000-0000-0000162A0000}"/>
    <cellStyle name="Note 15 9 2" xfId="10999" xr:uid="{00000000-0005-0000-0000-0000172A0000}"/>
    <cellStyle name="Note 16" xfId="1928" xr:uid="{00000000-0005-0000-0000-0000182A0000}"/>
    <cellStyle name="Note 16 10" xfId="11000" xr:uid="{00000000-0005-0000-0000-0000192A0000}"/>
    <cellStyle name="Note 16 10 2" xfId="11001" xr:uid="{00000000-0005-0000-0000-00001A2A0000}"/>
    <cellStyle name="Note 16 11" xfId="11002" xr:uid="{00000000-0005-0000-0000-00001B2A0000}"/>
    <cellStyle name="Note 16 2" xfId="1929" xr:uid="{00000000-0005-0000-0000-00001C2A0000}"/>
    <cellStyle name="Note 16 2 10" xfId="11003" xr:uid="{00000000-0005-0000-0000-00001D2A0000}"/>
    <cellStyle name="Note 16 2 2" xfId="11004" xr:uid="{00000000-0005-0000-0000-00001E2A0000}"/>
    <cellStyle name="Note 16 2 2 2" xfId="11005" xr:uid="{00000000-0005-0000-0000-00001F2A0000}"/>
    <cellStyle name="Note 16 2 3" xfId="11006" xr:uid="{00000000-0005-0000-0000-0000202A0000}"/>
    <cellStyle name="Note 16 2 3 2" xfId="11007" xr:uid="{00000000-0005-0000-0000-0000212A0000}"/>
    <cellStyle name="Note 16 2 4" xfId="11008" xr:uid="{00000000-0005-0000-0000-0000222A0000}"/>
    <cellStyle name="Note 16 2 4 2" xfId="11009" xr:uid="{00000000-0005-0000-0000-0000232A0000}"/>
    <cellStyle name="Note 16 2 5" xfId="11010" xr:uid="{00000000-0005-0000-0000-0000242A0000}"/>
    <cellStyle name="Note 16 2 5 2" xfId="11011" xr:uid="{00000000-0005-0000-0000-0000252A0000}"/>
    <cellStyle name="Note 16 2 6" xfId="11012" xr:uid="{00000000-0005-0000-0000-0000262A0000}"/>
    <cellStyle name="Note 16 2 6 2" xfId="11013" xr:uid="{00000000-0005-0000-0000-0000272A0000}"/>
    <cellStyle name="Note 16 2 7" xfId="11014" xr:uid="{00000000-0005-0000-0000-0000282A0000}"/>
    <cellStyle name="Note 16 2 7 2" xfId="11015" xr:uid="{00000000-0005-0000-0000-0000292A0000}"/>
    <cellStyle name="Note 16 2 8" xfId="11016" xr:uid="{00000000-0005-0000-0000-00002A2A0000}"/>
    <cellStyle name="Note 16 2 8 2" xfId="11017" xr:uid="{00000000-0005-0000-0000-00002B2A0000}"/>
    <cellStyle name="Note 16 2 9" xfId="11018" xr:uid="{00000000-0005-0000-0000-00002C2A0000}"/>
    <cellStyle name="Note 16 2 9 2" xfId="11019" xr:uid="{00000000-0005-0000-0000-00002D2A0000}"/>
    <cellStyle name="Note 16 3" xfId="1930" xr:uid="{00000000-0005-0000-0000-00002E2A0000}"/>
    <cellStyle name="Note 16 3 2" xfId="11020" xr:uid="{00000000-0005-0000-0000-00002F2A0000}"/>
    <cellStyle name="Note 16 4" xfId="1931" xr:uid="{00000000-0005-0000-0000-0000302A0000}"/>
    <cellStyle name="Note 16 4 2" xfId="11021" xr:uid="{00000000-0005-0000-0000-0000312A0000}"/>
    <cellStyle name="Note 16 5" xfId="1932" xr:uid="{00000000-0005-0000-0000-0000322A0000}"/>
    <cellStyle name="Note 16 5 2" xfId="11022" xr:uid="{00000000-0005-0000-0000-0000332A0000}"/>
    <cellStyle name="Note 16 6" xfId="11023" xr:uid="{00000000-0005-0000-0000-0000342A0000}"/>
    <cellStyle name="Note 16 6 2" xfId="11024" xr:uid="{00000000-0005-0000-0000-0000352A0000}"/>
    <cellStyle name="Note 16 7" xfId="11025" xr:uid="{00000000-0005-0000-0000-0000362A0000}"/>
    <cellStyle name="Note 16 7 2" xfId="11026" xr:uid="{00000000-0005-0000-0000-0000372A0000}"/>
    <cellStyle name="Note 16 8" xfId="11027" xr:uid="{00000000-0005-0000-0000-0000382A0000}"/>
    <cellStyle name="Note 16 8 2" xfId="11028" xr:uid="{00000000-0005-0000-0000-0000392A0000}"/>
    <cellStyle name="Note 16 9" xfId="11029" xr:uid="{00000000-0005-0000-0000-00003A2A0000}"/>
    <cellStyle name="Note 16 9 2" xfId="11030" xr:uid="{00000000-0005-0000-0000-00003B2A0000}"/>
    <cellStyle name="Note 17" xfId="1933" xr:uid="{00000000-0005-0000-0000-00003C2A0000}"/>
    <cellStyle name="Note 17 10" xfId="11031" xr:uid="{00000000-0005-0000-0000-00003D2A0000}"/>
    <cellStyle name="Note 17 10 2" xfId="11032" xr:uid="{00000000-0005-0000-0000-00003E2A0000}"/>
    <cellStyle name="Note 17 11" xfId="11033" xr:uid="{00000000-0005-0000-0000-00003F2A0000}"/>
    <cellStyle name="Note 17 2" xfId="11034" xr:uid="{00000000-0005-0000-0000-0000402A0000}"/>
    <cellStyle name="Note 17 2 10" xfId="11035" xr:uid="{00000000-0005-0000-0000-0000412A0000}"/>
    <cellStyle name="Note 17 2 2" xfId="11036" xr:uid="{00000000-0005-0000-0000-0000422A0000}"/>
    <cellStyle name="Note 17 2 2 2" xfId="11037" xr:uid="{00000000-0005-0000-0000-0000432A0000}"/>
    <cellStyle name="Note 17 2 3" xfId="11038" xr:uid="{00000000-0005-0000-0000-0000442A0000}"/>
    <cellStyle name="Note 17 2 3 2" xfId="11039" xr:uid="{00000000-0005-0000-0000-0000452A0000}"/>
    <cellStyle name="Note 17 2 4" xfId="11040" xr:uid="{00000000-0005-0000-0000-0000462A0000}"/>
    <cellStyle name="Note 17 2 4 2" xfId="11041" xr:uid="{00000000-0005-0000-0000-0000472A0000}"/>
    <cellStyle name="Note 17 2 5" xfId="11042" xr:uid="{00000000-0005-0000-0000-0000482A0000}"/>
    <cellStyle name="Note 17 2 5 2" xfId="11043" xr:uid="{00000000-0005-0000-0000-0000492A0000}"/>
    <cellStyle name="Note 17 2 6" xfId="11044" xr:uid="{00000000-0005-0000-0000-00004A2A0000}"/>
    <cellStyle name="Note 17 2 6 2" xfId="11045" xr:uid="{00000000-0005-0000-0000-00004B2A0000}"/>
    <cellStyle name="Note 17 2 7" xfId="11046" xr:uid="{00000000-0005-0000-0000-00004C2A0000}"/>
    <cellStyle name="Note 17 2 7 2" xfId="11047" xr:uid="{00000000-0005-0000-0000-00004D2A0000}"/>
    <cellStyle name="Note 17 2 8" xfId="11048" xr:uid="{00000000-0005-0000-0000-00004E2A0000}"/>
    <cellStyle name="Note 17 2 8 2" xfId="11049" xr:uid="{00000000-0005-0000-0000-00004F2A0000}"/>
    <cellStyle name="Note 17 2 9" xfId="11050" xr:uid="{00000000-0005-0000-0000-0000502A0000}"/>
    <cellStyle name="Note 17 2 9 2" xfId="11051" xr:uid="{00000000-0005-0000-0000-0000512A0000}"/>
    <cellStyle name="Note 17 3" xfId="11052" xr:uid="{00000000-0005-0000-0000-0000522A0000}"/>
    <cellStyle name="Note 17 3 2" xfId="11053" xr:uid="{00000000-0005-0000-0000-0000532A0000}"/>
    <cellStyle name="Note 17 4" xfId="11054" xr:uid="{00000000-0005-0000-0000-0000542A0000}"/>
    <cellStyle name="Note 17 4 2" xfId="11055" xr:uid="{00000000-0005-0000-0000-0000552A0000}"/>
    <cellStyle name="Note 17 5" xfId="11056" xr:uid="{00000000-0005-0000-0000-0000562A0000}"/>
    <cellStyle name="Note 17 5 2" xfId="11057" xr:uid="{00000000-0005-0000-0000-0000572A0000}"/>
    <cellStyle name="Note 17 6" xfId="11058" xr:uid="{00000000-0005-0000-0000-0000582A0000}"/>
    <cellStyle name="Note 17 6 2" xfId="11059" xr:uid="{00000000-0005-0000-0000-0000592A0000}"/>
    <cellStyle name="Note 17 7" xfId="11060" xr:uid="{00000000-0005-0000-0000-00005A2A0000}"/>
    <cellStyle name="Note 17 7 2" xfId="11061" xr:uid="{00000000-0005-0000-0000-00005B2A0000}"/>
    <cellStyle name="Note 17 8" xfId="11062" xr:uid="{00000000-0005-0000-0000-00005C2A0000}"/>
    <cellStyle name="Note 17 8 2" xfId="11063" xr:uid="{00000000-0005-0000-0000-00005D2A0000}"/>
    <cellStyle name="Note 17 9" xfId="11064" xr:uid="{00000000-0005-0000-0000-00005E2A0000}"/>
    <cellStyle name="Note 17 9 2" xfId="11065" xr:uid="{00000000-0005-0000-0000-00005F2A0000}"/>
    <cellStyle name="Note 18" xfId="1934" xr:uid="{00000000-0005-0000-0000-0000602A0000}"/>
    <cellStyle name="Note 18 10" xfId="11066" xr:uid="{00000000-0005-0000-0000-0000612A0000}"/>
    <cellStyle name="Note 18 10 2" xfId="11067" xr:uid="{00000000-0005-0000-0000-0000622A0000}"/>
    <cellStyle name="Note 18 11" xfId="11068" xr:uid="{00000000-0005-0000-0000-0000632A0000}"/>
    <cellStyle name="Note 18 2" xfId="1935" xr:uid="{00000000-0005-0000-0000-0000642A0000}"/>
    <cellStyle name="Note 18 2 10" xfId="11069" xr:uid="{00000000-0005-0000-0000-0000652A0000}"/>
    <cellStyle name="Note 18 2 2" xfId="11070" xr:uid="{00000000-0005-0000-0000-0000662A0000}"/>
    <cellStyle name="Note 18 2 2 2" xfId="11071" xr:uid="{00000000-0005-0000-0000-0000672A0000}"/>
    <cellStyle name="Note 18 2 3" xfId="11072" xr:uid="{00000000-0005-0000-0000-0000682A0000}"/>
    <cellStyle name="Note 18 2 3 2" xfId="11073" xr:uid="{00000000-0005-0000-0000-0000692A0000}"/>
    <cellStyle name="Note 18 2 4" xfId="11074" xr:uid="{00000000-0005-0000-0000-00006A2A0000}"/>
    <cellStyle name="Note 18 2 4 2" xfId="11075" xr:uid="{00000000-0005-0000-0000-00006B2A0000}"/>
    <cellStyle name="Note 18 2 5" xfId="11076" xr:uid="{00000000-0005-0000-0000-00006C2A0000}"/>
    <cellStyle name="Note 18 2 5 2" xfId="11077" xr:uid="{00000000-0005-0000-0000-00006D2A0000}"/>
    <cellStyle name="Note 18 2 6" xfId="11078" xr:uid="{00000000-0005-0000-0000-00006E2A0000}"/>
    <cellStyle name="Note 18 2 6 2" xfId="11079" xr:uid="{00000000-0005-0000-0000-00006F2A0000}"/>
    <cellStyle name="Note 18 2 7" xfId="11080" xr:uid="{00000000-0005-0000-0000-0000702A0000}"/>
    <cellStyle name="Note 18 2 7 2" xfId="11081" xr:uid="{00000000-0005-0000-0000-0000712A0000}"/>
    <cellStyle name="Note 18 2 8" xfId="11082" xr:uid="{00000000-0005-0000-0000-0000722A0000}"/>
    <cellStyle name="Note 18 2 8 2" xfId="11083" xr:uid="{00000000-0005-0000-0000-0000732A0000}"/>
    <cellStyle name="Note 18 2 9" xfId="11084" xr:uid="{00000000-0005-0000-0000-0000742A0000}"/>
    <cellStyle name="Note 18 2 9 2" xfId="11085" xr:uid="{00000000-0005-0000-0000-0000752A0000}"/>
    <cellStyle name="Note 18 3" xfId="1936" xr:uid="{00000000-0005-0000-0000-0000762A0000}"/>
    <cellStyle name="Note 18 3 2" xfId="11086" xr:uid="{00000000-0005-0000-0000-0000772A0000}"/>
    <cellStyle name="Note 18 4" xfId="1937" xr:uid="{00000000-0005-0000-0000-0000782A0000}"/>
    <cellStyle name="Note 18 4 2" xfId="11087" xr:uid="{00000000-0005-0000-0000-0000792A0000}"/>
    <cellStyle name="Note 18 5" xfId="1938" xr:uid="{00000000-0005-0000-0000-00007A2A0000}"/>
    <cellStyle name="Note 18 5 2" xfId="11088" xr:uid="{00000000-0005-0000-0000-00007B2A0000}"/>
    <cellStyle name="Note 18 6" xfId="11089" xr:uid="{00000000-0005-0000-0000-00007C2A0000}"/>
    <cellStyle name="Note 18 6 2" xfId="11090" xr:uid="{00000000-0005-0000-0000-00007D2A0000}"/>
    <cellStyle name="Note 18 7" xfId="11091" xr:uid="{00000000-0005-0000-0000-00007E2A0000}"/>
    <cellStyle name="Note 18 7 2" xfId="11092" xr:uid="{00000000-0005-0000-0000-00007F2A0000}"/>
    <cellStyle name="Note 18 8" xfId="11093" xr:uid="{00000000-0005-0000-0000-0000802A0000}"/>
    <cellStyle name="Note 18 8 2" xfId="11094" xr:uid="{00000000-0005-0000-0000-0000812A0000}"/>
    <cellStyle name="Note 18 9" xfId="11095" xr:uid="{00000000-0005-0000-0000-0000822A0000}"/>
    <cellStyle name="Note 18 9 2" xfId="11096" xr:uid="{00000000-0005-0000-0000-0000832A0000}"/>
    <cellStyle name="Note 19" xfId="1939" xr:uid="{00000000-0005-0000-0000-0000842A0000}"/>
    <cellStyle name="Note 19 10" xfId="11097" xr:uid="{00000000-0005-0000-0000-0000852A0000}"/>
    <cellStyle name="Note 19 10 2" xfId="11098" xr:uid="{00000000-0005-0000-0000-0000862A0000}"/>
    <cellStyle name="Note 19 11" xfId="11099" xr:uid="{00000000-0005-0000-0000-0000872A0000}"/>
    <cellStyle name="Note 19 2" xfId="11100" xr:uid="{00000000-0005-0000-0000-0000882A0000}"/>
    <cellStyle name="Note 19 2 10" xfId="11101" xr:uid="{00000000-0005-0000-0000-0000892A0000}"/>
    <cellStyle name="Note 19 2 2" xfId="11102" xr:uid="{00000000-0005-0000-0000-00008A2A0000}"/>
    <cellStyle name="Note 19 2 2 2" xfId="11103" xr:uid="{00000000-0005-0000-0000-00008B2A0000}"/>
    <cellStyle name="Note 19 2 3" xfId="11104" xr:uid="{00000000-0005-0000-0000-00008C2A0000}"/>
    <cellStyle name="Note 19 2 3 2" xfId="11105" xr:uid="{00000000-0005-0000-0000-00008D2A0000}"/>
    <cellStyle name="Note 19 2 4" xfId="11106" xr:uid="{00000000-0005-0000-0000-00008E2A0000}"/>
    <cellStyle name="Note 19 2 4 2" xfId="11107" xr:uid="{00000000-0005-0000-0000-00008F2A0000}"/>
    <cellStyle name="Note 19 2 5" xfId="11108" xr:uid="{00000000-0005-0000-0000-0000902A0000}"/>
    <cellStyle name="Note 19 2 5 2" xfId="11109" xr:uid="{00000000-0005-0000-0000-0000912A0000}"/>
    <cellStyle name="Note 19 2 6" xfId="11110" xr:uid="{00000000-0005-0000-0000-0000922A0000}"/>
    <cellStyle name="Note 19 2 6 2" xfId="11111" xr:uid="{00000000-0005-0000-0000-0000932A0000}"/>
    <cellStyle name="Note 19 2 7" xfId="11112" xr:uid="{00000000-0005-0000-0000-0000942A0000}"/>
    <cellStyle name="Note 19 2 7 2" xfId="11113" xr:uid="{00000000-0005-0000-0000-0000952A0000}"/>
    <cellStyle name="Note 19 2 8" xfId="11114" xr:uid="{00000000-0005-0000-0000-0000962A0000}"/>
    <cellStyle name="Note 19 2 8 2" xfId="11115" xr:uid="{00000000-0005-0000-0000-0000972A0000}"/>
    <cellStyle name="Note 19 2 9" xfId="11116" xr:uid="{00000000-0005-0000-0000-0000982A0000}"/>
    <cellStyle name="Note 19 2 9 2" xfId="11117" xr:uid="{00000000-0005-0000-0000-0000992A0000}"/>
    <cellStyle name="Note 19 3" xfId="11118" xr:uid="{00000000-0005-0000-0000-00009A2A0000}"/>
    <cellStyle name="Note 19 3 2" xfId="11119" xr:uid="{00000000-0005-0000-0000-00009B2A0000}"/>
    <cellStyle name="Note 19 4" xfId="11120" xr:uid="{00000000-0005-0000-0000-00009C2A0000}"/>
    <cellStyle name="Note 19 4 2" xfId="11121" xr:uid="{00000000-0005-0000-0000-00009D2A0000}"/>
    <cellStyle name="Note 19 5" xfId="11122" xr:uid="{00000000-0005-0000-0000-00009E2A0000}"/>
    <cellStyle name="Note 19 5 2" xfId="11123" xr:uid="{00000000-0005-0000-0000-00009F2A0000}"/>
    <cellStyle name="Note 19 6" xfId="11124" xr:uid="{00000000-0005-0000-0000-0000A02A0000}"/>
    <cellStyle name="Note 19 6 2" xfId="11125" xr:uid="{00000000-0005-0000-0000-0000A12A0000}"/>
    <cellStyle name="Note 19 7" xfId="11126" xr:uid="{00000000-0005-0000-0000-0000A22A0000}"/>
    <cellStyle name="Note 19 7 2" xfId="11127" xr:uid="{00000000-0005-0000-0000-0000A32A0000}"/>
    <cellStyle name="Note 19 8" xfId="11128" xr:uid="{00000000-0005-0000-0000-0000A42A0000}"/>
    <cellStyle name="Note 19 8 2" xfId="11129" xr:uid="{00000000-0005-0000-0000-0000A52A0000}"/>
    <cellStyle name="Note 19 9" xfId="11130" xr:uid="{00000000-0005-0000-0000-0000A62A0000}"/>
    <cellStyle name="Note 19 9 2" xfId="11131" xr:uid="{00000000-0005-0000-0000-0000A72A0000}"/>
    <cellStyle name="Note 2" xfId="1940" xr:uid="{00000000-0005-0000-0000-0000A82A0000}"/>
    <cellStyle name="Note 2 10" xfId="11132" xr:uid="{00000000-0005-0000-0000-0000A92A0000}"/>
    <cellStyle name="Note 2 10 2" xfId="11133" xr:uid="{00000000-0005-0000-0000-0000AA2A0000}"/>
    <cellStyle name="Note 2 11" xfId="11134" xr:uid="{00000000-0005-0000-0000-0000AB2A0000}"/>
    <cellStyle name="Note 2 12" xfId="11135" xr:uid="{00000000-0005-0000-0000-0000AC2A0000}"/>
    <cellStyle name="Note 2 12 2" xfId="11136" xr:uid="{00000000-0005-0000-0000-0000AD2A0000}"/>
    <cellStyle name="Note 2 12 3" xfId="11137" xr:uid="{00000000-0005-0000-0000-0000AE2A0000}"/>
    <cellStyle name="Note 2 12 4" xfId="11138" xr:uid="{00000000-0005-0000-0000-0000AF2A0000}"/>
    <cellStyle name="Note 2 13" xfId="11139" xr:uid="{00000000-0005-0000-0000-0000B02A0000}"/>
    <cellStyle name="Note 2 14" xfId="11140" xr:uid="{00000000-0005-0000-0000-0000B12A0000}"/>
    <cellStyle name="Note 2 15" xfId="11141" xr:uid="{00000000-0005-0000-0000-0000B22A0000}"/>
    <cellStyle name="Note 2 16" xfId="11142" xr:uid="{00000000-0005-0000-0000-0000B32A0000}"/>
    <cellStyle name="Note 2 2" xfId="1941" xr:uid="{00000000-0005-0000-0000-0000B42A0000}"/>
    <cellStyle name="Note 2 2 10" xfId="11143" xr:uid="{00000000-0005-0000-0000-0000B52A0000}"/>
    <cellStyle name="Note 2 2 11" xfId="11144" xr:uid="{00000000-0005-0000-0000-0000B62A0000}"/>
    <cellStyle name="Note 2 2 12" xfId="11145" xr:uid="{00000000-0005-0000-0000-0000B72A0000}"/>
    <cellStyle name="Note 2 2 2" xfId="11146" xr:uid="{00000000-0005-0000-0000-0000B82A0000}"/>
    <cellStyle name="Note 2 2 2 2" xfId="11147" xr:uid="{00000000-0005-0000-0000-0000B92A0000}"/>
    <cellStyle name="Note 2 2 2 2 2" xfId="11148" xr:uid="{00000000-0005-0000-0000-0000BA2A0000}"/>
    <cellStyle name="Note 2 2 2 2 2 2" xfId="11149" xr:uid="{00000000-0005-0000-0000-0000BB2A0000}"/>
    <cellStyle name="Note 2 2 2 2 2 2 2" xfId="11150" xr:uid="{00000000-0005-0000-0000-0000BC2A0000}"/>
    <cellStyle name="Note 2 2 2 2 2 3" xfId="11151" xr:uid="{00000000-0005-0000-0000-0000BD2A0000}"/>
    <cellStyle name="Note 2 2 2 2 3" xfId="11152" xr:uid="{00000000-0005-0000-0000-0000BE2A0000}"/>
    <cellStyle name="Note 2 2 2 2 3 2" xfId="11153" xr:uid="{00000000-0005-0000-0000-0000BF2A0000}"/>
    <cellStyle name="Note 2 2 2 2 4" xfId="11154" xr:uid="{00000000-0005-0000-0000-0000C02A0000}"/>
    <cellStyle name="Note 2 2 2 2 5" xfId="11155" xr:uid="{00000000-0005-0000-0000-0000C12A0000}"/>
    <cellStyle name="Note 2 2 2 3" xfId="11156" xr:uid="{00000000-0005-0000-0000-0000C22A0000}"/>
    <cellStyle name="Note 2 2 2 3 2" xfId="11157" xr:uid="{00000000-0005-0000-0000-0000C32A0000}"/>
    <cellStyle name="Note 2 2 2 3 2 2" xfId="11158" xr:uid="{00000000-0005-0000-0000-0000C42A0000}"/>
    <cellStyle name="Note 2 2 2 3 3" xfId="11159" xr:uid="{00000000-0005-0000-0000-0000C52A0000}"/>
    <cellStyle name="Note 2 2 2 3 4" xfId="11160" xr:uid="{00000000-0005-0000-0000-0000C62A0000}"/>
    <cellStyle name="Note 2 2 2 4" xfId="11161" xr:uid="{00000000-0005-0000-0000-0000C72A0000}"/>
    <cellStyle name="Note 2 2 2 4 2" xfId="11162" xr:uid="{00000000-0005-0000-0000-0000C82A0000}"/>
    <cellStyle name="Note 2 2 2 5" xfId="11163" xr:uid="{00000000-0005-0000-0000-0000C92A0000}"/>
    <cellStyle name="Note 2 2 2 6" xfId="11164" xr:uid="{00000000-0005-0000-0000-0000CA2A0000}"/>
    <cellStyle name="Note 2 2 2 7" xfId="11165" xr:uid="{00000000-0005-0000-0000-0000CB2A0000}"/>
    <cellStyle name="Note 2 2 3" xfId="11166" xr:uid="{00000000-0005-0000-0000-0000CC2A0000}"/>
    <cellStyle name="Note 2 2 3 2" xfId="11167" xr:uid="{00000000-0005-0000-0000-0000CD2A0000}"/>
    <cellStyle name="Note 2 2 3 2 2" xfId="11168" xr:uid="{00000000-0005-0000-0000-0000CE2A0000}"/>
    <cellStyle name="Note 2 2 3 2 2 2" xfId="11169" xr:uid="{00000000-0005-0000-0000-0000CF2A0000}"/>
    <cellStyle name="Note 2 2 3 2 3" xfId="11170" xr:uid="{00000000-0005-0000-0000-0000D02A0000}"/>
    <cellStyle name="Note 2 2 3 2 4" xfId="11171" xr:uid="{00000000-0005-0000-0000-0000D12A0000}"/>
    <cellStyle name="Note 2 2 3 2 5" xfId="11172" xr:uid="{00000000-0005-0000-0000-0000D22A0000}"/>
    <cellStyle name="Note 2 2 3 3" xfId="11173" xr:uid="{00000000-0005-0000-0000-0000D32A0000}"/>
    <cellStyle name="Note 2 2 3 3 2" xfId="11174" xr:uid="{00000000-0005-0000-0000-0000D42A0000}"/>
    <cellStyle name="Note 2 2 3 4" xfId="11175" xr:uid="{00000000-0005-0000-0000-0000D52A0000}"/>
    <cellStyle name="Note 2 2 3 5" xfId="11176" xr:uid="{00000000-0005-0000-0000-0000D62A0000}"/>
    <cellStyle name="Note 2 2 3 6" xfId="11177" xr:uid="{00000000-0005-0000-0000-0000D72A0000}"/>
    <cellStyle name="Note 2 2 4" xfId="11178" xr:uid="{00000000-0005-0000-0000-0000D82A0000}"/>
    <cellStyle name="Note 2 2 4 2" xfId="11179" xr:uid="{00000000-0005-0000-0000-0000D92A0000}"/>
    <cellStyle name="Note 2 2 4 2 2" xfId="11180" xr:uid="{00000000-0005-0000-0000-0000DA2A0000}"/>
    <cellStyle name="Note 2 2 4 2 3" xfId="11181" xr:uid="{00000000-0005-0000-0000-0000DB2A0000}"/>
    <cellStyle name="Note 2 2 4 2 4" xfId="11182" xr:uid="{00000000-0005-0000-0000-0000DC2A0000}"/>
    <cellStyle name="Note 2 2 4 3" xfId="11183" xr:uid="{00000000-0005-0000-0000-0000DD2A0000}"/>
    <cellStyle name="Note 2 2 4 4" xfId="11184" xr:uid="{00000000-0005-0000-0000-0000DE2A0000}"/>
    <cellStyle name="Note 2 2 4 5" xfId="11185" xr:uid="{00000000-0005-0000-0000-0000DF2A0000}"/>
    <cellStyle name="Note 2 2 5" xfId="11186" xr:uid="{00000000-0005-0000-0000-0000E02A0000}"/>
    <cellStyle name="Note 2 2 5 2" xfId="11187" xr:uid="{00000000-0005-0000-0000-0000E12A0000}"/>
    <cellStyle name="Note 2 2 5 3" xfId="11188" xr:uid="{00000000-0005-0000-0000-0000E22A0000}"/>
    <cellStyle name="Note 2 2 6" xfId="11189" xr:uid="{00000000-0005-0000-0000-0000E32A0000}"/>
    <cellStyle name="Note 2 2 6 2" xfId="11190" xr:uid="{00000000-0005-0000-0000-0000E42A0000}"/>
    <cellStyle name="Note 2 2 7" xfId="11191" xr:uid="{00000000-0005-0000-0000-0000E52A0000}"/>
    <cellStyle name="Note 2 2 7 2" xfId="11192" xr:uid="{00000000-0005-0000-0000-0000E62A0000}"/>
    <cellStyle name="Note 2 2 8" xfId="11193" xr:uid="{00000000-0005-0000-0000-0000E72A0000}"/>
    <cellStyle name="Note 2 2 8 2" xfId="11194" xr:uid="{00000000-0005-0000-0000-0000E82A0000}"/>
    <cellStyle name="Note 2 2 9" xfId="11195" xr:uid="{00000000-0005-0000-0000-0000E92A0000}"/>
    <cellStyle name="Note 2 2 9 2" xfId="11196" xr:uid="{00000000-0005-0000-0000-0000EA2A0000}"/>
    <cellStyle name="Note 2 3" xfId="11197" xr:uid="{00000000-0005-0000-0000-0000EB2A0000}"/>
    <cellStyle name="Note 2 3 2" xfId="11198" xr:uid="{00000000-0005-0000-0000-0000EC2A0000}"/>
    <cellStyle name="Note 2 3 2 2" xfId="11199" xr:uid="{00000000-0005-0000-0000-0000ED2A0000}"/>
    <cellStyle name="Note 2 3 2 2 2" xfId="11200" xr:uid="{00000000-0005-0000-0000-0000EE2A0000}"/>
    <cellStyle name="Note 2 3 2 2 2 2" xfId="11201" xr:uid="{00000000-0005-0000-0000-0000EF2A0000}"/>
    <cellStyle name="Note 2 3 2 2 3" xfId="11202" xr:uid="{00000000-0005-0000-0000-0000F02A0000}"/>
    <cellStyle name="Note 2 3 2 2 4" xfId="11203" xr:uid="{00000000-0005-0000-0000-0000F12A0000}"/>
    <cellStyle name="Note 2 3 2 3" xfId="11204" xr:uid="{00000000-0005-0000-0000-0000F22A0000}"/>
    <cellStyle name="Note 2 3 2 3 2" xfId="11205" xr:uid="{00000000-0005-0000-0000-0000F32A0000}"/>
    <cellStyle name="Note 2 3 2 4" xfId="11206" xr:uid="{00000000-0005-0000-0000-0000F42A0000}"/>
    <cellStyle name="Note 2 3 2 5" xfId="11207" xr:uid="{00000000-0005-0000-0000-0000F52A0000}"/>
    <cellStyle name="Note 2 3 3" xfId="11208" xr:uid="{00000000-0005-0000-0000-0000F62A0000}"/>
    <cellStyle name="Note 2 3 3 2" xfId="11209" xr:uid="{00000000-0005-0000-0000-0000F72A0000}"/>
    <cellStyle name="Note 2 3 3 2 2" xfId="11210" xr:uid="{00000000-0005-0000-0000-0000F82A0000}"/>
    <cellStyle name="Note 2 3 3 3" xfId="11211" xr:uid="{00000000-0005-0000-0000-0000F92A0000}"/>
    <cellStyle name="Note 2 3 3 4" xfId="11212" xr:uid="{00000000-0005-0000-0000-0000FA2A0000}"/>
    <cellStyle name="Note 2 3 3 5" xfId="11213" xr:uid="{00000000-0005-0000-0000-0000FB2A0000}"/>
    <cellStyle name="Note 2 3 4" xfId="11214" xr:uid="{00000000-0005-0000-0000-0000FC2A0000}"/>
    <cellStyle name="Note 2 3 4 2" xfId="11215" xr:uid="{00000000-0005-0000-0000-0000FD2A0000}"/>
    <cellStyle name="Note 2 3 5" xfId="11216" xr:uid="{00000000-0005-0000-0000-0000FE2A0000}"/>
    <cellStyle name="Note 2 3 6" xfId="11217" xr:uid="{00000000-0005-0000-0000-0000FF2A0000}"/>
    <cellStyle name="Note 2 3 7" xfId="11218" xr:uid="{00000000-0005-0000-0000-0000002B0000}"/>
    <cellStyle name="Note 2 4" xfId="11219" xr:uid="{00000000-0005-0000-0000-0000012B0000}"/>
    <cellStyle name="Note 2 4 2" xfId="11220" xr:uid="{00000000-0005-0000-0000-0000022B0000}"/>
    <cellStyle name="Note 2 4 2 2" xfId="11221" xr:uid="{00000000-0005-0000-0000-0000032B0000}"/>
    <cellStyle name="Note 2 4 2 2 2" xfId="11222" xr:uid="{00000000-0005-0000-0000-0000042B0000}"/>
    <cellStyle name="Note 2 4 2 2 3" xfId="11223" xr:uid="{00000000-0005-0000-0000-0000052B0000}"/>
    <cellStyle name="Note 2 4 2 3" xfId="11224" xr:uid="{00000000-0005-0000-0000-0000062B0000}"/>
    <cellStyle name="Note 2 4 2 4" xfId="11225" xr:uid="{00000000-0005-0000-0000-0000072B0000}"/>
    <cellStyle name="Note 2 4 2 5" xfId="11226" xr:uid="{00000000-0005-0000-0000-0000082B0000}"/>
    <cellStyle name="Note 2 4 3" xfId="11227" xr:uid="{00000000-0005-0000-0000-0000092B0000}"/>
    <cellStyle name="Note 2 4 3 2" xfId="11228" xr:uid="{00000000-0005-0000-0000-00000A2B0000}"/>
    <cellStyle name="Note 2 4 3 3" xfId="11229" xr:uid="{00000000-0005-0000-0000-00000B2B0000}"/>
    <cellStyle name="Note 2 4 4" xfId="11230" xr:uid="{00000000-0005-0000-0000-00000C2B0000}"/>
    <cellStyle name="Note 2 4 4 2" xfId="11231" xr:uid="{00000000-0005-0000-0000-00000D2B0000}"/>
    <cellStyle name="Note 2 4 5" xfId="11232" xr:uid="{00000000-0005-0000-0000-00000E2B0000}"/>
    <cellStyle name="Note 2 4 6" xfId="11233" xr:uid="{00000000-0005-0000-0000-00000F2B0000}"/>
    <cellStyle name="Note 2 4 7" xfId="11234" xr:uid="{00000000-0005-0000-0000-0000102B0000}"/>
    <cellStyle name="Note 2 5" xfId="11235" xr:uid="{00000000-0005-0000-0000-0000112B0000}"/>
    <cellStyle name="Note 2 5 2" xfId="11236" xr:uid="{00000000-0005-0000-0000-0000122B0000}"/>
    <cellStyle name="Note 2 5 2 2" xfId="11237" xr:uid="{00000000-0005-0000-0000-0000132B0000}"/>
    <cellStyle name="Note 2 5 2 3" xfId="11238" xr:uid="{00000000-0005-0000-0000-0000142B0000}"/>
    <cellStyle name="Note 2 5 2 4" xfId="11239" xr:uid="{00000000-0005-0000-0000-0000152B0000}"/>
    <cellStyle name="Note 2 5 2 5" xfId="11240" xr:uid="{00000000-0005-0000-0000-0000162B0000}"/>
    <cellStyle name="Note 2 5 3" xfId="11241" xr:uid="{00000000-0005-0000-0000-0000172B0000}"/>
    <cellStyle name="Note 2 5 4" xfId="11242" xr:uid="{00000000-0005-0000-0000-0000182B0000}"/>
    <cellStyle name="Note 2 5 5" xfId="11243" xr:uid="{00000000-0005-0000-0000-0000192B0000}"/>
    <cellStyle name="Note 2 6" xfId="11244" xr:uid="{00000000-0005-0000-0000-00001A2B0000}"/>
    <cellStyle name="Note 2 6 2" xfId="11245" xr:uid="{00000000-0005-0000-0000-00001B2B0000}"/>
    <cellStyle name="Note 2 6 2 2" xfId="11246" xr:uid="{00000000-0005-0000-0000-00001C2B0000}"/>
    <cellStyle name="Note 2 6 2 3" xfId="11247" xr:uid="{00000000-0005-0000-0000-00001D2B0000}"/>
    <cellStyle name="Note 2 6 2 4" xfId="11248" xr:uid="{00000000-0005-0000-0000-00001E2B0000}"/>
    <cellStyle name="Note 2 6 3" xfId="11249" xr:uid="{00000000-0005-0000-0000-00001F2B0000}"/>
    <cellStyle name="Note 2 6 4" xfId="11250" xr:uid="{00000000-0005-0000-0000-0000202B0000}"/>
    <cellStyle name="Note 2 6 5" xfId="11251" xr:uid="{00000000-0005-0000-0000-0000212B0000}"/>
    <cellStyle name="Note 2 7" xfId="11252" xr:uid="{00000000-0005-0000-0000-0000222B0000}"/>
    <cellStyle name="Note 2 7 2" xfId="11253" xr:uid="{00000000-0005-0000-0000-0000232B0000}"/>
    <cellStyle name="Note 2 7 2 2" xfId="11254" xr:uid="{00000000-0005-0000-0000-0000242B0000}"/>
    <cellStyle name="Note 2 7 2 3" xfId="11255" xr:uid="{00000000-0005-0000-0000-0000252B0000}"/>
    <cellStyle name="Note 2 7 2 4" xfId="11256" xr:uid="{00000000-0005-0000-0000-0000262B0000}"/>
    <cellStyle name="Note 2 7 3" xfId="11257" xr:uid="{00000000-0005-0000-0000-0000272B0000}"/>
    <cellStyle name="Note 2 7 4" xfId="11258" xr:uid="{00000000-0005-0000-0000-0000282B0000}"/>
    <cellStyle name="Note 2 7 5" xfId="11259" xr:uid="{00000000-0005-0000-0000-0000292B0000}"/>
    <cellStyle name="Note 2 8" xfId="11260" xr:uid="{00000000-0005-0000-0000-00002A2B0000}"/>
    <cellStyle name="Note 2 8 2" xfId="11261" xr:uid="{00000000-0005-0000-0000-00002B2B0000}"/>
    <cellStyle name="Note 2 9" xfId="11262" xr:uid="{00000000-0005-0000-0000-00002C2B0000}"/>
    <cellStyle name="Note 2 9 2" xfId="11263" xr:uid="{00000000-0005-0000-0000-00002D2B0000}"/>
    <cellStyle name="Note 20" xfId="1942" xr:uid="{00000000-0005-0000-0000-00002E2B0000}"/>
    <cellStyle name="Note 20 10" xfId="11264" xr:uid="{00000000-0005-0000-0000-00002F2B0000}"/>
    <cellStyle name="Note 20 10 2" xfId="11265" xr:uid="{00000000-0005-0000-0000-0000302B0000}"/>
    <cellStyle name="Note 20 11" xfId="11266" xr:uid="{00000000-0005-0000-0000-0000312B0000}"/>
    <cellStyle name="Note 20 2" xfId="11267" xr:uid="{00000000-0005-0000-0000-0000322B0000}"/>
    <cellStyle name="Note 20 2 10" xfId="11268" xr:uid="{00000000-0005-0000-0000-0000332B0000}"/>
    <cellStyle name="Note 20 2 2" xfId="11269" xr:uid="{00000000-0005-0000-0000-0000342B0000}"/>
    <cellStyle name="Note 20 2 2 2" xfId="11270" xr:uid="{00000000-0005-0000-0000-0000352B0000}"/>
    <cellStyle name="Note 20 2 3" xfId="11271" xr:uid="{00000000-0005-0000-0000-0000362B0000}"/>
    <cellStyle name="Note 20 2 3 2" xfId="11272" xr:uid="{00000000-0005-0000-0000-0000372B0000}"/>
    <cellStyle name="Note 20 2 4" xfId="11273" xr:uid="{00000000-0005-0000-0000-0000382B0000}"/>
    <cellStyle name="Note 20 2 4 2" xfId="11274" xr:uid="{00000000-0005-0000-0000-0000392B0000}"/>
    <cellStyle name="Note 20 2 5" xfId="11275" xr:uid="{00000000-0005-0000-0000-00003A2B0000}"/>
    <cellStyle name="Note 20 2 5 2" xfId="11276" xr:uid="{00000000-0005-0000-0000-00003B2B0000}"/>
    <cellStyle name="Note 20 2 6" xfId="11277" xr:uid="{00000000-0005-0000-0000-00003C2B0000}"/>
    <cellStyle name="Note 20 2 6 2" xfId="11278" xr:uid="{00000000-0005-0000-0000-00003D2B0000}"/>
    <cellStyle name="Note 20 2 7" xfId="11279" xr:uid="{00000000-0005-0000-0000-00003E2B0000}"/>
    <cellStyle name="Note 20 2 7 2" xfId="11280" xr:uid="{00000000-0005-0000-0000-00003F2B0000}"/>
    <cellStyle name="Note 20 2 8" xfId="11281" xr:uid="{00000000-0005-0000-0000-0000402B0000}"/>
    <cellStyle name="Note 20 2 8 2" xfId="11282" xr:uid="{00000000-0005-0000-0000-0000412B0000}"/>
    <cellStyle name="Note 20 2 9" xfId="11283" xr:uid="{00000000-0005-0000-0000-0000422B0000}"/>
    <cellStyle name="Note 20 2 9 2" xfId="11284" xr:uid="{00000000-0005-0000-0000-0000432B0000}"/>
    <cellStyle name="Note 20 3" xfId="11285" xr:uid="{00000000-0005-0000-0000-0000442B0000}"/>
    <cellStyle name="Note 20 3 2" xfId="11286" xr:uid="{00000000-0005-0000-0000-0000452B0000}"/>
    <cellStyle name="Note 20 4" xfId="11287" xr:uid="{00000000-0005-0000-0000-0000462B0000}"/>
    <cellStyle name="Note 20 4 2" xfId="11288" xr:uid="{00000000-0005-0000-0000-0000472B0000}"/>
    <cellStyle name="Note 20 5" xfId="11289" xr:uid="{00000000-0005-0000-0000-0000482B0000}"/>
    <cellStyle name="Note 20 5 2" xfId="11290" xr:uid="{00000000-0005-0000-0000-0000492B0000}"/>
    <cellStyle name="Note 20 6" xfId="11291" xr:uid="{00000000-0005-0000-0000-00004A2B0000}"/>
    <cellStyle name="Note 20 6 2" xfId="11292" xr:uid="{00000000-0005-0000-0000-00004B2B0000}"/>
    <cellStyle name="Note 20 7" xfId="11293" xr:uid="{00000000-0005-0000-0000-00004C2B0000}"/>
    <cellStyle name="Note 20 7 2" xfId="11294" xr:uid="{00000000-0005-0000-0000-00004D2B0000}"/>
    <cellStyle name="Note 20 8" xfId="11295" xr:uid="{00000000-0005-0000-0000-00004E2B0000}"/>
    <cellStyle name="Note 20 8 2" xfId="11296" xr:uid="{00000000-0005-0000-0000-00004F2B0000}"/>
    <cellStyle name="Note 20 9" xfId="11297" xr:uid="{00000000-0005-0000-0000-0000502B0000}"/>
    <cellStyle name="Note 20 9 2" xfId="11298" xr:uid="{00000000-0005-0000-0000-0000512B0000}"/>
    <cellStyle name="Note 21" xfId="1943" xr:uid="{00000000-0005-0000-0000-0000522B0000}"/>
    <cellStyle name="Note 21 10" xfId="11299" xr:uid="{00000000-0005-0000-0000-0000532B0000}"/>
    <cellStyle name="Note 21 10 2" xfId="11300" xr:uid="{00000000-0005-0000-0000-0000542B0000}"/>
    <cellStyle name="Note 21 11" xfId="11301" xr:uid="{00000000-0005-0000-0000-0000552B0000}"/>
    <cellStyle name="Note 21 2" xfId="11302" xr:uid="{00000000-0005-0000-0000-0000562B0000}"/>
    <cellStyle name="Note 21 2 10" xfId="11303" xr:uid="{00000000-0005-0000-0000-0000572B0000}"/>
    <cellStyle name="Note 21 2 2" xfId="11304" xr:uid="{00000000-0005-0000-0000-0000582B0000}"/>
    <cellStyle name="Note 21 2 2 2" xfId="11305" xr:uid="{00000000-0005-0000-0000-0000592B0000}"/>
    <cellStyle name="Note 21 2 3" xfId="11306" xr:uid="{00000000-0005-0000-0000-00005A2B0000}"/>
    <cellStyle name="Note 21 2 3 2" xfId="11307" xr:uid="{00000000-0005-0000-0000-00005B2B0000}"/>
    <cellStyle name="Note 21 2 4" xfId="11308" xr:uid="{00000000-0005-0000-0000-00005C2B0000}"/>
    <cellStyle name="Note 21 2 4 2" xfId="11309" xr:uid="{00000000-0005-0000-0000-00005D2B0000}"/>
    <cellStyle name="Note 21 2 5" xfId="11310" xr:uid="{00000000-0005-0000-0000-00005E2B0000}"/>
    <cellStyle name="Note 21 2 5 2" xfId="11311" xr:uid="{00000000-0005-0000-0000-00005F2B0000}"/>
    <cellStyle name="Note 21 2 6" xfId="11312" xr:uid="{00000000-0005-0000-0000-0000602B0000}"/>
    <cellStyle name="Note 21 2 6 2" xfId="11313" xr:uid="{00000000-0005-0000-0000-0000612B0000}"/>
    <cellStyle name="Note 21 2 7" xfId="11314" xr:uid="{00000000-0005-0000-0000-0000622B0000}"/>
    <cellStyle name="Note 21 2 7 2" xfId="11315" xr:uid="{00000000-0005-0000-0000-0000632B0000}"/>
    <cellStyle name="Note 21 2 8" xfId="11316" xr:uid="{00000000-0005-0000-0000-0000642B0000}"/>
    <cellStyle name="Note 21 2 8 2" xfId="11317" xr:uid="{00000000-0005-0000-0000-0000652B0000}"/>
    <cellStyle name="Note 21 2 9" xfId="11318" xr:uid="{00000000-0005-0000-0000-0000662B0000}"/>
    <cellStyle name="Note 21 2 9 2" xfId="11319" xr:uid="{00000000-0005-0000-0000-0000672B0000}"/>
    <cellStyle name="Note 21 3" xfId="11320" xr:uid="{00000000-0005-0000-0000-0000682B0000}"/>
    <cellStyle name="Note 21 3 2" xfId="11321" xr:uid="{00000000-0005-0000-0000-0000692B0000}"/>
    <cellStyle name="Note 21 4" xfId="11322" xr:uid="{00000000-0005-0000-0000-00006A2B0000}"/>
    <cellStyle name="Note 21 4 2" xfId="11323" xr:uid="{00000000-0005-0000-0000-00006B2B0000}"/>
    <cellStyle name="Note 21 5" xfId="11324" xr:uid="{00000000-0005-0000-0000-00006C2B0000}"/>
    <cellStyle name="Note 21 5 2" xfId="11325" xr:uid="{00000000-0005-0000-0000-00006D2B0000}"/>
    <cellStyle name="Note 21 6" xfId="11326" xr:uid="{00000000-0005-0000-0000-00006E2B0000}"/>
    <cellStyle name="Note 21 6 2" xfId="11327" xr:uid="{00000000-0005-0000-0000-00006F2B0000}"/>
    <cellStyle name="Note 21 7" xfId="11328" xr:uid="{00000000-0005-0000-0000-0000702B0000}"/>
    <cellStyle name="Note 21 7 2" xfId="11329" xr:uid="{00000000-0005-0000-0000-0000712B0000}"/>
    <cellStyle name="Note 21 8" xfId="11330" xr:uid="{00000000-0005-0000-0000-0000722B0000}"/>
    <cellStyle name="Note 21 8 2" xfId="11331" xr:uid="{00000000-0005-0000-0000-0000732B0000}"/>
    <cellStyle name="Note 21 9" xfId="11332" xr:uid="{00000000-0005-0000-0000-0000742B0000}"/>
    <cellStyle name="Note 21 9 2" xfId="11333" xr:uid="{00000000-0005-0000-0000-0000752B0000}"/>
    <cellStyle name="Note 22" xfId="1944" xr:uid="{00000000-0005-0000-0000-0000762B0000}"/>
    <cellStyle name="Note 22 10" xfId="11334" xr:uid="{00000000-0005-0000-0000-0000772B0000}"/>
    <cellStyle name="Note 22 2" xfId="11335" xr:uid="{00000000-0005-0000-0000-0000782B0000}"/>
    <cellStyle name="Note 22 2 2" xfId="11336" xr:uid="{00000000-0005-0000-0000-0000792B0000}"/>
    <cellStyle name="Note 22 3" xfId="11337" xr:uid="{00000000-0005-0000-0000-00007A2B0000}"/>
    <cellStyle name="Note 22 3 2" xfId="11338" xr:uid="{00000000-0005-0000-0000-00007B2B0000}"/>
    <cellStyle name="Note 22 4" xfId="11339" xr:uid="{00000000-0005-0000-0000-00007C2B0000}"/>
    <cellStyle name="Note 22 4 2" xfId="11340" xr:uid="{00000000-0005-0000-0000-00007D2B0000}"/>
    <cellStyle name="Note 22 5" xfId="11341" xr:uid="{00000000-0005-0000-0000-00007E2B0000}"/>
    <cellStyle name="Note 22 5 2" xfId="11342" xr:uid="{00000000-0005-0000-0000-00007F2B0000}"/>
    <cellStyle name="Note 22 6" xfId="11343" xr:uid="{00000000-0005-0000-0000-0000802B0000}"/>
    <cellStyle name="Note 22 6 2" xfId="11344" xr:uid="{00000000-0005-0000-0000-0000812B0000}"/>
    <cellStyle name="Note 22 7" xfId="11345" xr:uid="{00000000-0005-0000-0000-0000822B0000}"/>
    <cellStyle name="Note 22 7 2" xfId="11346" xr:uid="{00000000-0005-0000-0000-0000832B0000}"/>
    <cellStyle name="Note 22 8" xfId="11347" xr:uid="{00000000-0005-0000-0000-0000842B0000}"/>
    <cellStyle name="Note 22 8 2" xfId="11348" xr:uid="{00000000-0005-0000-0000-0000852B0000}"/>
    <cellStyle name="Note 22 9" xfId="11349" xr:uid="{00000000-0005-0000-0000-0000862B0000}"/>
    <cellStyle name="Note 22 9 2" xfId="11350" xr:uid="{00000000-0005-0000-0000-0000872B0000}"/>
    <cellStyle name="Note 23" xfId="1945" xr:uid="{00000000-0005-0000-0000-0000882B0000}"/>
    <cellStyle name="Note 23 2" xfId="11351" xr:uid="{00000000-0005-0000-0000-0000892B0000}"/>
    <cellStyle name="Note 23 2 2" xfId="11352" xr:uid="{00000000-0005-0000-0000-00008A2B0000}"/>
    <cellStyle name="Note 23 3" xfId="11353" xr:uid="{00000000-0005-0000-0000-00008B2B0000}"/>
    <cellStyle name="Note 23 4" xfId="11354" xr:uid="{00000000-0005-0000-0000-00008C2B0000}"/>
    <cellStyle name="Note 24" xfId="1946" xr:uid="{00000000-0005-0000-0000-00008D2B0000}"/>
    <cellStyle name="Note 25" xfId="1947" xr:uid="{00000000-0005-0000-0000-00008E2B0000}"/>
    <cellStyle name="Note 26" xfId="1948" xr:uid="{00000000-0005-0000-0000-00008F2B0000}"/>
    <cellStyle name="Note 27" xfId="1949" xr:uid="{00000000-0005-0000-0000-0000902B0000}"/>
    <cellStyle name="Note 28" xfId="1950" xr:uid="{00000000-0005-0000-0000-0000912B0000}"/>
    <cellStyle name="Note 29" xfId="1951" xr:uid="{00000000-0005-0000-0000-0000922B0000}"/>
    <cellStyle name="Note 3" xfId="1952" xr:uid="{00000000-0005-0000-0000-0000932B0000}"/>
    <cellStyle name="Note 3 10" xfId="11355" xr:uid="{00000000-0005-0000-0000-0000942B0000}"/>
    <cellStyle name="Note 3 10 2" xfId="11356" xr:uid="{00000000-0005-0000-0000-0000952B0000}"/>
    <cellStyle name="Note 3 11" xfId="11357" xr:uid="{00000000-0005-0000-0000-0000962B0000}"/>
    <cellStyle name="Note 3 12" xfId="11358" xr:uid="{00000000-0005-0000-0000-0000972B0000}"/>
    <cellStyle name="Note 3 2" xfId="11359" xr:uid="{00000000-0005-0000-0000-0000982B0000}"/>
    <cellStyle name="Note 3 2 10" xfId="11360" xr:uid="{00000000-0005-0000-0000-0000992B0000}"/>
    <cellStyle name="Note 3 2 11" xfId="11361" xr:uid="{00000000-0005-0000-0000-00009A2B0000}"/>
    <cellStyle name="Note 3 2 12" xfId="11362" xr:uid="{00000000-0005-0000-0000-00009B2B0000}"/>
    <cellStyle name="Note 3 2 2" xfId="11363" xr:uid="{00000000-0005-0000-0000-00009C2B0000}"/>
    <cellStyle name="Note 3 2 2 2" xfId="11364" xr:uid="{00000000-0005-0000-0000-00009D2B0000}"/>
    <cellStyle name="Note 3 2 2 2 2" xfId="11365" xr:uid="{00000000-0005-0000-0000-00009E2B0000}"/>
    <cellStyle name="Note 3 2 2 2 2 2" xfId="11366" xr:uid="{00000000-0005-0000-0000-00009F2B0000}"/>
    <cellStyle name="Note 3 2 2 2 2 2 2" xfId="11367" xr:uid="{00000000-0005-0000-0000-0000A02B0000}"/>
    <cellStyle name="Note 3 2 2 2 2 3" xfId="11368" xr:uid="{00000000-0005-0000-0000-0000A12B0000}"/>
    <cellStyle name="Note 3 2 2 2 3" xfId="11369" xr:uid="{00000000-0005-0000-0000-0000A22B0000}"/>
    <cellStyle name="Note 3 2 2 2 3 2" xfId="11370" xr:uid="{00000000-0005-0000-0000-0000A32B0000}"/>
    <cellStyle name="Note 3 2 2 2 4" xfId="11371" xr:uid="{00000000-0005-0000-0000-0000A42B0000}"/>
    <cellStyle name="Note 3 2 2 3" xfId="11372" xr:uid="{00000000-0005-0000-0000-0000A52B0000}"/>
    <cellStyle name="Note 3 2 2 3 2" xfId="11373" xr:uid="{00000000-0005-0000-0000-0000A62B0000}"/>
    <cellStyle name="Note 3 2 2 3 2 2" xfId="11374" xr:uid="{00000000-0005-0000-0000-0000A72B0000}"/>
    <cellStyle name="Note 3 2 2 3 3" xfId="11375" xr:uid="{00000000-0005-0000-0000-0000A82B0000}"/>
    <cellStyle name="Note 3 2 2 4" xfId="11376" xr:uid="{00000000-0005-0000-0000-0000A92B0000}"/>
    <cellStyle name="Note 3 2 2 4 2" xfId="11377" xr:uid="{00000000-0005-0000-0000-0000AA2B0000}"/>
    <cellStyle name="Note 3 2 2 5" xfId="11378" xr:uid="{00000000-0005-0000-0000-0000AB2B0000}"/>
    <cellStyle name="Note 3 2 2 6" xfId="11379" xr:uid="{00000000-0005-0000-0000-0000AC2B0000}"/>
    <cellStyle name="Note 3 2 3" xfId="11380" xr:uid="{00000000-0005-0000-0000-0000AD2B0000}"/>
    <cellStyle name="Note 3 2 3 2" xfId="11381" xr:uid="{00000000-0005-0000-0000-0000AE2B0000}"/>
    <cellStyle name="Note 3 2 3 2 2" xfId="11382" xr:uid="{00000000-0005-0000-0000-0000AF2B0000}"/>
    <cellStyle name="Note 3 2 3 2 2 2" xfId="11383" xr:uid="{00000000-0005-0000-0000-0000B02B0000}"/>
    <cellStyle name="Note 3 2 3 2 3" xfId="11384" xr:uid="{00000000-0005-0000-0000-0000B12B0000}"/>
    <cellStyle name="Note 3 2 3 3" xfId="11385" xr:uid="{00000000-0005-0000-0000-0000B22B0000}"/>
    <cellStyle name="Note 3 2 3 3 2" xfId="11386" xr:uid="{00000000-0005-0000-0000-0000B32B0000}"/>
    <cellStyle name="Note 3 2 3 4" xfId="11387" xr:uid="{00000000-0005-0000-0000-0000B42B0000}"/>
    <cellStyle name="Note 3 2 3 5" xfId="11388" xr:uid="{00000000-0005-0000-0000-0000B52B0000}"/>
    <cellStyle name="Note 3 2 4" xfId="11389" xr:uid="{00000000-0005-0000-0000-0000B62B0000}"/>
    <cellStyle name="Note 3 2 4 2" xfId="11390" xr:uid="{00000000-0005-0000-0000-0000B72B0000}"/>
    <cellStyle name="Note 3 2 4 2 2" xfId="11391" xr:uid="{00000000-0005-0000-0000-0000B82B0000}"/>
    <cellStyle name="Note 3 2 4 3" xfId="11392" xr:uid="{00000000-0005-0000-0000-0000B92B0000}"/>
    <cellStyle name="Note 3 2 4 4" xfId="11393" xr:uid="{00000000-0005-0000-0000-0000BA2B0000}"/>
    <cellStyle name="Note 3 2 5" xfId="11394" xr:uid="{00000000-0005-0000-0000-0000BB2B0000}"/>
    <cellStyle name="Note 3 2 5 2" xfId="11395" xr:uid="{00000000-0005-0000-0000-0000BC2B0000}"/>
    <cellStyle name="Note 3 2 5 3" xfId="11396" xr:uid="{00000000-0005-0000-0000-0000BD2B0000}"/>
    <cellStyle name="Note 3 2 6" xfId="11397" xr:uid="{00000000-0005-0000-0000-0000BE2B0000}"/>
    <cellStyle name="Note 3 2 6 2" xfId="11398" xr:uid="{00000000-0005-0000-0000-0000BF2B0000}"/>
    <cellStyle name="Note 3 2 7" xfId="11399" xr:uid="{00000000-0005-0000-0000-0000C02B0000}"/>
    <cellStyle name="Note 3 2 7 2" xfId="11400" xr:uid="{00000000-0005-0000-0000-0000C12B0000}"/>
    <cellStyle name="Note 3 2 8" xfId="11401" xr:uid="{00000000-0005-0000-0000-0000C22B0000}"/>
    <cellStyle name="Note 3 2 8 2" xfId="11402" xr:uid="{00000000-0005-0000-0000-0000C32B0000}"/>
    <cellStyle name="Note 3 2 9" xfId="11403" xr:uid="{00000000-0005-0000-0000-0000C42B0000}"/>
    <cellStyle name="Note 3 2 9 2" xfId="11404" xr:uid="{00000000-0005-0000-0000-0000C52B0000}"/>
    <cellStyle name="Note 3 3" xfId="11405" xr:uid="{00000000-0005-0000-0000-0000C62B0000}"/>
    <cellStyle name="Note 3 3 2" xfId="11406" xr:uid="{00000000-0005-0000-0000-0000C72B0000}"/>
    <cellStyle name="Note 3 3 2 2" xfId="11407" xr:uid="{00000000-0005-0000-0000-0000C82B0000}"/>
    <cellStyle name="Note 3 3 2 2 2" xfId="11408" xr:uid="{00000000-0005-0000-0000-0000C92B0000}"/>
    <cellStyle name="Note 3 3 2 2 2 2" xfId="11409" xr:uid="{00000000-0005-0000-0000-0000CA2B0000}"/>
    <cellStyle name="Note 3 3 2 2 3" xfId="11410" xr:uid="{00000000-0005-0000-0000-0000CB2B0000}"/>
    <cellStyle name="Note 3 3 2 3" xfId="11411" xr:uid="{00000000-0005-0000-0000-0000CC2B0000}"/>
    <cellStyle name="Note 3 3 2 3 2" xfId="11412" xr:uid="{00000000-0005-0000-0000-0000CD2B0000}"/>
    <cellStyle name="Note 3 3 2 4" xfId="11413" xr:uid="{00000000-0005-0000-0000-0000CE2B0000}"/>
    <cellStyle name="Note 3 3 3" xfId="11414" xr:uid="{00000000-0005-0000-0000-0000CF2B0000}"/>
    <cellStyle name="Note 3 3 3 2" xfId="11415" xr:uid="{00000000-0005-0000-0000-0000D02B0000}"/>
    <cellStyle name="Note 3 3 3 2 2" xfId="11416" xr:uid="{00000000-0005-0000-0000-0000D12B0000}"/>
    <cellStyle name="Note 3 3 3 3" xfId="11417" xr:uid="{00000000-0005-0000-0000-0000D22B0000}"/>
    <cellStyle name="Note 3 3 4" xfId="11418" xr:uid="{00000000-0005-0000-0000-0000D32B0000}"/>
    <cellStyle name="Note 3 3 4 2" xfId="11419" xr:uid="{00000000-0005-0000-0000-0000D42B0000}"/>
    <cellStyle name="Note 3 3 5" xfId="11420" xr:uid="{00000000-0005-0000-0000-0000D52B0000}"/>
    <cellStyle name="Note 3 3 6" xfId="11421" xr:uid="{00000000-0005-0000-0000-0000D62B0000}"/>
    <cellStyle name="Note 3 3 7" xfId="11422" xr:uid="{00000000-0005-0000-0000-0000D72B0000}"/>
    <cellStyle name="Note 3 4" xfId="11423" xr:uid="{00000000-0005-0000-0000-0000D82B0000}"/>
    <cellStyle name="Note 3 4 2" xfId="11424" xr:uid="{00000000-0005-0000-0000-0000D92B0000}"/>
    <cellStyle name="Note 3 4 2 2" xfId="11425" xr:uid="{00000000-0005-0000-0000-0000DA2B0000}"/>
    <cellStyle name="Note 3 4 2 2 2" xfId="11426" xr:uid="{00000000-0005-0000-0000-0000DB2B0000}"/>
    <cellStyle name="Note 3 4 2 3" xfId="11427" xr:uid="{00000000-0005-0000-0000-0000DC2B0000}"/>
    <cellStyle name="Note 3 4 2 4" xfId="11428" xr:uid="{00000000-0005-0000-0000-0000DD2B0000}"/>
    <cellStyle name="Note 3 4 3" xfId="11429" xr:uid="{00000000-0005-0000-0000-0000DE2B0000}"/>
    <cellStyle name="Note 3 4 3 2" xfId="11430" xr:uid="{00000000-0005-0000-0000-0000DF2B0000}"/>
    <cellStyle name="Note 3 4 4" xfId="11431" xr:uid="{00000000-0005-0000-0000-0000E02B0000}"/>
    <cellStyle name="Note 3 4 5" xfId="11432" xr:uid="{00000000-0005-0000-0000-0000E12B0000}"/>
    <cellStyle name="Note 3 5" xfId="11433" xr:uid="{00000000-0005-0000-0000-0000E22B0000}"/>
    <cellStyle name="Note 3 5 2" xfId="11434" xr:uid="{00000000-0005-0000-0000-0000E32B0000}"/>
    <cellStyle name="Note 3 5 2 2" xfId="11435" xr:uid="{00000000-0005-0000-0000-0000E42B0000}"/>
    <cellStyle name="Note 3 5 3" xfId="11436" xr:uid="{00000000-0005-0000-0000-0000E52B0000}"/>
    <cellStyle name="Note 3 5 4" xfId="11437" xr:uid="{00000000-0005-0000-0000-0000E62B0000}"/>
    <cellStyle name="Note 3 6" xfId="11438" xr:uid="{00000000-0005-0000-0000-0000E72B0000}"/>
    <cellStyle name="Note 3 6 2" xfId="11439" xr:uid="{00000000-0005-0000-0000-0000E82B0000}"/>
    <cellStyle name="Note 3 6 3" xfId="11440" xr:uid="{00000000-0005-0000-0000-0000E92B0000}"/>
    <cellStyle name="Note 3 7" xfId="11441" xr:uid="{00000000-0005-0000-0000-0000EA2B0000}"/>
    <cellStyle name="Note 3 7 2" xfId="11442" xr:uid="{00000000-0005-0000-0000-0000EB2B0000}"/>
    <cellStyle name="Note 3 8" xfId="11443" xr:uid="{00000000-0005-0000-0000-0000EC2B0000}"/>
    <cellStyle name="Note 3 8 2" xfId="11444" xr:uid="{00000000-0005-0000-0000-0000ED2B0000}"/>
    <cellStyle name="Note 3 9" xfId="11445" xr:uid="{00000000-0005-0000-0000-0000EE2B0000}"/>
    <cellStyle name="Note 3 9 2" xfId="11446" xr:uid="{00000000-0005-0000-0000-0000EF2B0000}"/>
    <cellStyle name="Note 30" xfId="1953" xr:uid="{00000000-0005-0000-0000-0000F02B0000}"/>
    <cellStyle name="Note 31" xfId="1954" xr:uid="{00000000-0005-0000-0000-0000F12B0000}"/>
    <cellStyle name="Note 32" xfId="1955" xr:uid="{00000000-0005-0000-0000-0000F22B0000}"/>
    <cellStyle name="Note 33" xfId="1956" xr:uid="{00000000-0005-0000-0000-0000F32B0000}"/>
    <cellStyle name="Note 34" xfId="1957" xr:uid="{00000000-0005-0000-0000-0000F42B0000}"/>
    <cellStyle name="Note 35" xfId="15195" xr:uid="{00000000-0005-0000-0000-0000F52B0000}"/>
    <cellStyle name="Note 4" xfId="1958" xr:uid="{00000000-0005-0000-0000-0000F62B0000}"/>
    <cellStyle name="Note 4 10" xfId="11447" xr:uid="{00000000-0005-0000-0000-0000F72B0000}"/>
    <cellStyle name="Note 4 10 2" xfId="11448" xr:uid="{00000000-0005-0000-0000-0000F82B0000}"/>
    <cellStyle name="Note 4 11" xfId="11449" xr:uid="{00000000-0005-0000-0000-0000F92B0000}"/>
    <cellStyle name="Note 4 12" xfId="11450" xr:uid="{00000000-0005-0000-0000-0000FA2B0000}"/>
    <cellStyle name="Note 4 13" xfId="11451" xr:uid="{00000000-0005-0000-0000-0000FB2B0000}"/>
    <cellStyle name="Note 4 2" xfId="11452" xr:uid="{00000000-0005-0000-0000-0000FC2B0000}"/>
    <cellStyle name="Note 4 2 10" xfId="11453" xr:uid="{00000000-0005-0000-0000-0000FD2B0000}"/>
    <cellStyle name="Note 4 2 11" xfId="11454" xr:uid="{00000000-0005-0000-0000-0000FE2B0000}"/>
    <cellStyle name="Note 4 2 12" xfId="11455" xr:uid="{00000000-0005-0000-0000-0000FF2B0000}"/>
    <cellStyle name="Note 4 2 2" xfId="11456" xr:uid="{00000000-0005-0000-0000-0000002C0000}"/>
    <cellStyle name="Note 4 2 2 2" xfId="11457" xr:uid="{00000000-0005-0000-0000-0000012C0000}"/>
    <cellStyle name="Note 4 2 2 2 2" xfId="11458" xr:uid="{00000000-0005-0000-0000-0000022C0000}"/>
    <cellStyle name="Note 4 2 2 2 2 2" xfId="11459" xr:uid="{00000000-0005-0000-0000-0000032C0000}"/>
    <cellStyle name="Note 4 2 2 2 2 2 2" xfId="11460" xr:uid="{00000000-0005-0000-0000-0000042C0000}"/>
    <cellStyle name="Note 4 2 2 2 2 3" xfId="11461" xr:uid="{00000000-0005-0000-0000-0000052C0000}"/>
    <cellStyle name="Note 4 2 2 2 3" xfId="11462" xr:uid="{00000000-0005-0000-0000-0000062C0000}"/>
    <cellStyle name="Note 4 2 2 2 3 2" xfId="11463" xr:uid="{00000000-0005-0000-0000-0000072C0000}"/>
    <cellStyle name="Note 4 2 2 2 4" xfId="11464" xr:uid="{00000000-0005-0000-0000-0000082C0000}"/>
    <cellStyle name="Note 4 2 2 3" xfId="11465" xr:uid="{00000000-0005-0000-0000-0000092C0000}"/>
    <cellStyle name="Note 4 2 2 3 2" xfId="11466" xr:uid="{00000000-0005-0000-0000-00000A2C0000}"/>
    <cellStyle name="Note 4 2 2 3 2 2" xfId="11467" xr:uid="{00000000-0005-0000-0000-00000B2C0000}"/>
    <cellStyle name="Note 4 2 2 3 3" xfId="11468" xr:uid="{00000000-0005-0000-0000-00000C2C0000}"/>
    <cellStyle name="Note 4 2 2 4" xfId="11469" xr:uid="{00000000-0005-0000-0000-00000D2C0000}"/>
    <cellStyle name="Note 4 2 2 4 2" xfId="11470" xr:uid="{00000000-0005-0000-0000-00000E2C0000}"/>
    <cellStyle name="Note 4 2 2 5" xfId="11471" xr:uid="{00000000-0005-0000-0000-00000F2C0000}"/>
    <cellStyle name="Note 4 2 2 6" xfId="11472" xr:uid="{00000000-0005-0000-0000-0000102C0000}"/>
    <cellStyle name="Note 4 2 3" xfId="11473" xr:uid="{00000000-0005-0000-0000-0000112C0000}"/>
    <cellStyle name="Note 4 2 3 2" xfId="11474" xr:uid="{00000000-0005-0000-0000-0000122C0000}"/>
    <cellStyle name="Note 4 2 3 2 2" xfId="11475" xr:uid="{00000000-0005-0000-0000-0000132C0000}"/>
    <cellStyle name="Note 4 2 3 2 2 2" xfId="11476" xr:uid="{00000000-0005-0000-0000-0000142C0000}"/>
    <cellStyle name="Note 4 2 3 2 3" xfId="11477" xr:uid="{00000000-0005-0000-0000-0000152C0000}"/>
    <cellStyle name="Note 4 2 3 3" xfId="11478" xr:uid="{00000000-0005-0000-0000-0000162C0000}"/>
    <cellStyle name="Note 4 2 3 3 2" xfId="11479" xr:uid="{00000000-0005-0000-0000-0000172C0000}"/>
    <cellStyle name="Note 4 2 3 4" xfId="11480" xr:uid="{00000000-0005-0000-0000-0000182C0000}"/>
    <cellStyle name="Note 4 2 3 5" xfId="11481" xr:uid="{00000000-0005-0000-0000-0000192C0000}"/>
    <cellStyle name="Note 4 2 4" xfId="11482" xr:uid="{00000000-0005-0000-0000-00001A2C0000}"/>
    <cellStyle name="Note 4 2 4 2" xfId="11483" xr:uid="{00000000-0005-0000-0000-00001B2C0000}"/>
    <cellStyle name="Note 4 2 4 2 2" xfId="11484" xr:uid="{00000000-0005-0000-0000-00001C2C0000}"/>
    <cellStyle name="Note 4 2 4 3" xfId="11485" xr:uid="{00000000-0005-0000-0000-00001D2C0000}"/>
    <cellStyle name="Note 4 2 4 4" xfId="11486" xr:uid="{00000000-0005-0000-0000-00001E2C0000}"/>
    <cellStyle name="Note 4 2 5" xfId="11487" xr:uid="{00000000-0005-0000-0000-00001F2C0000}"/>
    <cellStyle name="Note 4 2 5 2" xfId="11488" xr:uid="{00000000-0005-0000-0000-0000202C0000}"/>
    <cellStyle name="Note 4 2 5 3" xfId="11489" xr:uid="{00000000-0005-0000-0000-0000212C0000}"/>
    <cellStyle name="Note 4 2 6" xfId="11490" xr:uid="{00000000-0005-0000-0000-0000222C0000}"/>
    <cellStyle name="Note 4 2 6 2" xfId="11491" xr:uid="{00000000-0005-0000-0000-0000232C0000}"/>
    <cellStyle name="Note 4 2 7" xfId="11492" xr:uid="{00000000-0005-0000-0000-0000242C0000}"/>
    <cellStyle name="Note 4 2 7 2" xfId="11493" xr:uid="{00000000-0005-0000-0000-0000252C0000}"/>
    <cellStyle name="Note 4 2 8" xfId="11494" xr:uid="{00000000-0005-0000-0000-0000262C0000}"/>
    <cellStyle name="Note 4 2 8 2" xfId="11495" xr:uid="{00000000-0005-0000-0000-0000272C0000}"/>
    <cellStyle name="Note 4 2 9" xfId="11496" xr:uid="{00000000-0005-0000-0000-0000282C0000}"/>
    <cellStyle name="Note 4 2 9 2" xfId="11497" xr:uid="{00000000-0005-0000-0000-0000292C0000}"/>
    <cellStyle name="Note 4 3" xfId="11498" xr:uid="{00000000-0005-0000-0000-00002A2C0000}"/>
    <cellStyle name="Note 4 3 2" xfId="11499" xr:uid="{00000000-0005-0000-0000-00002B2C0000}"/>
    <cellStyle name="Note 4 3 2 2" xfId="11500" xr:uid="{00000000-0005-0000-0000-00002C2C0000}"/>
    <cellStyle name="Note 4 3 2 2 2" xfId="11501" xr:uid="{00000000-0005-0000-0000-00002D2C0000}"/>
    <cellStyle name="Note 4 3 2 2 2 2" xfId="11502" xr:uid="{00000000-0005-0000-0000-00002E2C0000}"/>
    <cellStyle name="Note 4 3 2 2 3" xfId="11503" xr:uid="{00000000-0005-0000-0000-00002F2C0000}"/>
    <cellStyle name="Note 4 3 2 3" xfId="11504" xr:uid="{00000000-0005-0000-0000-0000302C0000}"/>
    <cellStyle name="Note 4 3 2 3 2" xfId="11505" xr:uid="{00000000-0005-0000-0000-0000312C0000}"/>
    <cellStyle name="Note 4 3 2 4" xfId="11506" xr:uid="{00000000-0005-0000-0000-0000322C0000}"/>
    <cellStyle name="Note 4 3 3" xfId="11507" xr:uid="{00000000-0005-0000-0000-0000332C0000}"/>
    <cellStyle name="Note 4 3 3 2" xfId="11508" xr:uid="{00000000-0005-0000-0000-0000342C0000}"/>
    <cellStyle name="Note 4 3 3 2 2" xfId="11509" xr:uid="{00000000-0005-0000-0000-0000352C0000}"/>
    <cellStyle name="Note 4 3 3 3" xfId="11510" xr:uid="{00000000-0005-0000-0000-0000362C0000}"/>
    <cellStyle name="Note 4 3 4" xfId="11511" xr:uid="{00000000-0005-0000-0000-0000372C0000}"/>
    <cellStyle name="Note 4 3 4 2" xfId="11512" xr:uid="{00000000-0005-0000-0000-0000382C0000}"/>
    <cellStyle name="Note 4 3 5" xfId="11513" xr:uid="{00000000-0005-0000-0000-0000392C0000}"/>
    <cellStyle name="Note 4 3 6" xfId="11514" xr:uid="{00000000-0005-0000-0000-00003A2C0000}"/>
    <cellStyle name="Note 4 3 7" xfId="11515" xr:uid="{00000000-0005-0000-0000-00003B2C0000}"/>
    <cellStyle name="Note 4 4" xfId="11516" xr:uid="{00000000-0005-0000-0000-00003C2C0000}"/>
    <cellStyle name="Note 4 4 2" xfId="11517" xr:uid="{00000000-0005-0000-0000-00003D2C0000}"/>
    <cellStyle name="Note 4 4 2 2" xfId="11518" xr:uid="{00000000-0005-0000-0000-00003E2C0000}"/>
    <cellStyle name="Note 4 4 2 2 2" xfId="11519" xr:uid="{00000000-0005-0000-0000-00003F2C0000}"/>
    <cellStyle name="Note 4 4 2 3" xfId="11520" xr:uid="{00000000-0005-0000-0000-0000402C0000}"/>
    <cellStyle name="Note 4 4 3" xfId="11521" xr:uid="{00000000-0005-0000-0000-0000412C0000}"/>
    <cellStyle name="Note 4 4 3 2" xfId="11522" xr:uid="{00000000-0005-0000-0000-0000422C0000}"/>
    <cellStyle name="Note 4 4 4" xfId="11523" xr:uid="{00000000-0005-0000-0000-0000432C0000}"/>
    <cellStyle name="Note 4 4 5" xfId="11524" xr:uid="{00000000-0005-0000-0000-0000442C0000}"/>
    <cellStyle name="Note 4 5" xfId="11525" xr:uid="{00000000-0005-0000-0000-0000452C0000}"/>
    <cellStyle name="Note 4 5 2" xfId="11526" xr:uid="{00000000-0005-0000-0000-0000462C0000}"/>
    <cellStyle name="Note 4 5 2 2" xfId="11527" xr:uid="{00000000-0005-0000-0000-0000472C0000}"/>
    <cellStyle name="Note 4 5 3" xfId="11528" xr:uid="{00000000-0005-0000-0000-0000482C0000}"/>
    <cellStyle name="Note 4 5 4" xfId="11529" xr:uid="{00000000-0005-0000-0000-0000492C0000}"/>
    <cellStyle name="Note 4 6" xfId="11530" xr:uid="{00000000-0005-0000-0000-00004A2C0000}"/>
    <cellStyle name="Note 4 6 2" xfId="11531" xr:uid="{00000000-0005-0000-0000-00004B2C0000}"/>
    <cellStyle name="Note 4 6 3" xfId="11532" xr:uid="{00000000-0005-0000-0000-00004C2C0000}"/>
    <cellStyle name="Note 4 7" xfId="11533" xr:uid="{00000000-0005-0000-0000-00004D2C0000}"/>
    <cellStyle name="Note 4 7 2" xfId="11534" xr:uid="{00000000-0005-0000-0000-00004E2C0000}"/>
    <cellStyle name="Note 4 8" xfId="11535" xr:uid="{00000000-0005-0000-0000-00004F2C0000}"/>
    <cellStyle name="Note 4 8 2" xfId="11536" xr:uid="{00000000-0005-0000-0000-0000502C0000}"/>
    <cellStyle name="Note 4 9" xfId="11537" xr:uid="{00000000-0005-0000-0000-0000512C0000}"/>
    <cellStyle name="Note 4 9 2" xfId="11538" xr:uid="{00000000-0005-0000-0000-0000522C0000}"/>
    <cellStyle name="Note 5" xfId="1959" xr:uid="{00000000-0005-0000-0000-0000532C0000}"/>
    <cellStyle name="Note 5 10" xfId="11539" xr:uid="{00000000-0005-0000-0000-0000542C0000}"/>
    <cellStyle name="Note 5 10 2" xfId="11540" xr:uid="{00000000-0005-0000-0000-0000552C0000}"/>
    <cellStyle name="Note 5 11" xfId="11541" xr:uid="{00000000-0005-0000-0000-0000562C0000}"/>
    <cellStyle name="Note 5 12" xfId="11542" xr:uid="{00000000-0005-0000-0000-0000572C0000}"/>
    <cellStyle name="Note 5 13" xfId="11543" xr:uid="{00000000-0005-0000-0000-0000582C0000}"/>
    <cellStyle name="Note 5 2" xfId="11544" xr:uid="{00000000-0005-0000-0000-0000592C0000}"/>
    <cellStyle name="Note 5 2 10" xfId="11545" xr:uid="{00000000-0005-0000-0000-00005A2C0000}"/>
    <cellStyle name="Note 5 2 11" xfId="11546" xr:uid="{00000000-0005-0000-0000-00005B2C0000}"/>
    <cellStyle name="Note 5 2 12" xfId="11547" xr:uid="{00000000-0005-0000-0000-00005C2C0000}"/>
    <cellStyle name="Note 5 2 2" xfId="11548" xr:uid="{00000000-0005-0000-0000-00005D2C0000}"/>
    <cellStyle name="Note 5 2 2 2" xfId="11549" xr:uid="{00000000-0005-0000-0000-00005E2C0000}"/>
    <cellStyle name="Note 5 2 2 3" xfId="11550" xr:uid="{00000000-0005-0000-0000-00005F2C0000}"/>
    <cellStyle name="Note 5 2 3" xfId="11551" xr:uid="{00000000-0005-0000-0000-0000602C0000}"/>
    <cellStyle name="Note 5 2 3 2" xfId="11552" xr:uid="{00000000-0005-0000-0000-0000612C0000}"/>
    <cellStyle name="Note 5 2 4" xfId="11553" xr:uid="{00000000-0005-0000-0000-0000622C0000}"/>
    <cellStyle name="Note 5 2 4 2" xfId="11554" xr:uid="{00000000-0005-0000-0000-0000632C0000}"/>
    <cellStyle name="Note 5 2 5" xfId="11555" xr:uid="{00000000-0005-0000-0000-0000642C0000}"/>
    <cellStyle name="Note 5 2 5 2" xfId="11556" xr:uid="{00000000-0005-0000-0000-0000652C0000}"/>
    <cellStyle name="Note 5 2 6" xfId="11557" xr:uid="{00000000-0005-0000-0000-0000662C0000}"/>
    <cellStyle name="Note 5 2 6 2" xfId="11558" xr:uid="{00000000-0005-0000-0000-0000672C0000}"/>
    <cellStyle name="Note 5 2 7" xfId="11559" xr:uid="{00000000-0005-0000-0000-0000682C0000}"/>
    <cellStyle name="Note 5 2 7 2" xfId="11560" xr:uid="{00000000-0005-0000-0000-0000692C0000}"/>
    <cellStyle name="Note 5 2 8" xfId="11561" xr:uid="{00000000-0005-0000-0000-00006A2C0000}"/>
    <cellStyle name="Note 5 2 8 2" xfId="11562" xr:uid="{00000000-0005-0000-0000-00006B2C0000}"/>
    <cellStyle name="Note 5 2 9" xfId="11563" xr:uid="{00000000-0005-0000-0000-00006C2C0000}"/>
    <cellStyle name="Note 5 2 9 2" xfId="11564" xr:uid="{00000000-0005-0000-0000-00006D2C0000}"/>
    <cellStyle name="Note 5 3" xfId="11565" xr:uid="{00000000-0005-0000-0000-00006E2C0000}"/>
    <cellStyle name="Note 5 3 2" xfId="11566" xr:uid="{00000000-0005-0000-0000-00006F2C0000}"/>
    <cellStyle name="Note 5 3 3" xfId="11567" xr:uid="{00000000-0005-0000-0000-0000702C0000}"/>
    <cellStyle name="Note 5 3 4" xfId="11568" xr:uid="{00000000-0005-0000-0000-0000712C0000}"/>
    <cellStyle name="Note 5 4" xfId="11569" xr:uid="{00000000-0005-0000-0000-0000722C0000}"/>
    <cellStyle name="Note 5 4 2" xfId="11570" xr:uid="{00000000-0005-0000-0000-0000732C0000}"/>
    <cellStyle name="Note 5 5" xfId="11571" xr:uid="{00000000-0005-0000-0000-0000742C0000}"/>
    <cellStyle name="Note 5 5 2" xfId="11572" xr:uid="{00000000-0005-0000-0000-0000752C0000}"/>
    <cellStyle name="Note 5 6" xfId="11573" xr:uid="{00000000-0005-0000-0000-0000762C0000}"/>
    <cellStyle name="Note 5 6 2" xfId="11574" xr:uid="{00000000-0005-0000-0000-0000772C0000}"/>
    <cellStyle name="Note 5 7" xfId="11575" xr:uid="{00000000-0005-0000-0000-0000782C0000}"/>
    <cellStyle name="Note 5 7 2" xfId="11576" xr:uid="{00000000-0005-0000-0000-0000792C0000}"/>
    <cellStyle name="Note 5 8" xfId="11577" xr:uid="{00000000-0005-0000-0000-00007A2C0000}"/>
    <cellStyle name="Note 5 8 2" xfId="11578" xr:uid="{00000000-0005-0000-0000-00007B2C0000}"/>
    <cellStyle name="Note 5 9" xfId="11579" xr:uid="{00000000-0005-0000-0000-00007C2C0000}"/>
    <cellStyle name="Note 5 9 2" xfId="11580" xr:uid="{00000000-0005-0000-0000-00007D2C0000}"/>
    <cellStyle name="Note 6" xfId="1960" xr:uid="{00000000-0005-0000-0000-00007E2C0000}"/>
    <cellStyle name="Note 6 10" xfId="11581" xr:uid="{00000000-0005-0000-0000-00007F2C0000}"/>
    <cellStyle name="Note 6 10 2" xfId="11582" xr:uid="{00000000-0005-0000-0000-0000802C0000}"/>
    <cellStyle name="Note 6 11" xfId="11583" xr:uid="{00000000-0005-0000-0000-0000812C0000}"/>
    <cellStyle name="Note 6 12" xfId="11584" xr:uid="{00000000-0005-0000-0000-0000822C0000}"/>
    <cellStyle name="Note 6 13" xfId="11585" xr:uid="{00000000-0005-0000-0000-0000832C0000}"/>
    <cellStyle name="Note 6 2" xfId="11586" xr:uid="{00000000-0005-0000-0000-0000842C0000}"/>
    <cellStyle name="Note 6 2 10" xfId="11587" xr:uid="{00000000-0005-0000-0000-0000852C0000}"/>
    <cellStyle name="Note 6 2 11" xfId="11588" xr:uid="{00000000-0005-0000-0000-0000862C0000}"/>
    <cellStyle name="Note 6 2 12" xfId="11589" xr:uid="{00000000-0005-0000-0000-0000872C0000}"/>
    <cellStyle name="Note 6 2 2" xfId="11590" xr:uid="{00000000-0005-0000-0000-0000882C0000}"/>
    <cellStyle name="Note 6 2 2 2" xfId="11591" xr:uid="{00000000-0005-0000-0000-0000892C0000}"/>
    <cellStyle name="Note 6 2 2 3" xfId="11592" xr:uid="{00000000-0005-0000-0000-00008A2C0000}"/>
    <cellStyle name="Note 6 2 3" xfId="11593" xr:uid="{00000000-0005-0000-0000-00008B2C0000}"/>
    <cellStyle name="Note 6 2 3 2" xfId="11594" xr:uid="{00000000-0005-0000-0000-00008C2C0000}"/>
    <cellStyle name="Note 6 2 4" xfId="11595" xr:uid="{00000000-0005-0000-0000-00008D2C0000}"/>
    <cellStyle name="Note 6 2 4 2" xfId="11596" xr:uid="{00000000-0005-0000-0000-00008E2C0000}"/>
    <cellStyle name="Note 6 2 5" xfId="11597" xr:uid="{00000000-0005-0000-0000-00008F2C0000}"/>
    <cellStyle name="Note 6 2 5 2" xfId="11598" xr:uid="{00000000-0005-0000-0000-0000902C0000}"/>
    <cellStyle name="Note 6 2 6" xfId="11599" xr:uid="{00000000-0005-0000-0000-0000912C0000}"/>
    <cellStyle name="Note 6 2 6 2" xfId="11600" xr:uid="{00000000-0005-0000-0000-0000922C0000}"/>
    <cellStyle name="Note 6 2 7" xfId="11601" xr:uid="{00000000-0005-0000-0000-0000932C0000}"/>
    <cellStyle name="Note 6 2 7 2" xfId="11602" xr:uid="{00000000-0005-0000-0000-0000942C0000}"/>
    <cellStyle name="Note 6 2 8" xfId="11603" xr:uid="{00000000-0005-0000-0000-0000952C0000}"/>
    <cellStyle name="Note 6 2 8 2" xfId="11604" xr:uid="{00000000-0005-0000-0000-0000962C0000}"/>
    <cellStyle name="Note 6 2 9" xfId="11605" xr:uid="{00000000-0005-0000-0000-0000972C0000}"/>
    <cellStyle name="Note 6 2 9 2" xfId="11606" xr:uid="{00000000-0005-0000-0000-0000982C0000}"/>
    <cellStyle name="Note 6 3" xfId="11607" xr:uid="{00000000-0005-0000-0000-0000992C0000}"/>
    <cellStyle name="Note 6 3 2" xfId="11608" xr:uid="{00000000-0005-0000-0000-00009A2C0000}"/>
    <cellStyle name="Note 6 3 3" xfId="11609" xr:uid="{00000000-0005-0000-0000-00009B2C0000}"/>
    <cellStyle name="Note 6 3 4" xfId="11610" xr:uid="{00000000-0005-0000-0000-00009C2C0000}"/>
    <cellStyle name="Note 6 4" xfId="11611" xr:uid="{00000000-0005-0000-0000-00009D2C0000}"/>
    <cellStyle name="Note 6 4 2" xfId="11612" xr:uid="{00000000-0005-0000-0000-00009E2C0000}"/>
    <cellStyle name="Note 6 5" xfId="11613" xr:uid="{00000000-0005-0000-0000-00009F2C0000}"/>
    <cellStyle name="Note 6 5 2" xfId="11614" xr:uid="{00000000-0005-0000-0000-0000A02C0000}"/>
    <cellStyle name="Note 6 6" xfId="11615" xr:uid="{00000000-0005-0000-0000-0000A12C0000}"/>
    <cellStyle name="Note 6 6 2" xfId="11616" xr:uid="{00000000-0005-0000-0000-0000A22C0000}"/>
    <cellStyle name="Note 6 7" xfId="11617" xr:uid="{00000000-0005-0000-0000-0000A32C0000}"/>
    <cellStyle name="Note 6 7 2" xfId="11618" xr:uid="{00000000-0005-0000-0000-0000A42C0000}"/>
    <cellStyle name="Note 6 8" xfId="11619" xr:uid="{00000000-0005-0000-0000-0000A52C0000}"/>
    <cellStyle name="Note 6 8 2" xfId="11620" xr:uid="{00000000-0005-0000-0000-0000A62C0000}"/>
    <cellStyle name="Note 6 9" xfId="11621" xr:uid="{00000000-0005-0000-0000-0000A72C0000}"/>
    <cellStyle name="Note 6 9 2" xfId="11622" xr:uid="{00000000-0005-0000-0000-0000A82C0000}"/>
    <cellStyle name="Note 7" xfId="1961" xr:uid="{00000000-0005-0000-0000-0000A92C0000}"/>
    <cellStyle name="Note 7 10" xfId="11623" xr:uid="{00000000-0005-0000-0000-0000AA2C0000}"/>
    <cellStyle name="Note 7 10 2" xfId="11624" xr:uid="{00000000-0005-0000-0000-0000AB2C0000}"/>
    <cellStyle name="Note 7 11" xfId="11625" xr:uid="{00000000-0005-0000-0000-0000AC2C0000}"/>
    <cellStyle name="Note 7 12" xfId="11626" xr:uid="{00000000-0005-0000-0000-0000AD2C0000}"/>
    <cellStyle name="Note 7 13" xfId="11627" xr:uid="{00000000-0005-0000-0000-0000AE2C0000}"/>
    <cellStyle name="Note 7 2" xfId="11628" xr:uid="{00000000-0005-0000-0000-0000AF2C0000}"/>
    <cellStyle name="Note 7 2 10" xfId="11629" xr:uid="{00000000-0005-0000-0000-0000B02C0000}"/>
    <cellStyle name="Note 7 2 11" xfId="11630" xr:uid="{00000000-0005-0000-0000-0000B12C0000}"/>
    <cellStyle name="Note 7 2 12" xfId="11631" xr:uid="{00000000-0005-0000-0000-0000B22C0000}"/>
    <cellStyle name="Note 7 2 2" xfId="11632" xr:uid="{00000000-0005-0000-0000-0000B32C0000}"/>
    <cellStyle name="Note 7 2 2 2" xfId="11633" xr:uid="{00000000-0005-0000-0000-0000B42C0000}"/>
    <cellStyle name="Note 7 2 3" xfId="11634" xr:uid="{00000000-0005-0000-0000-0000B52C0000}"/>
    <cellStyle name="Note 7 2 3 2" xfId="11635" xr:uid="{00000000-0005-0000-0000-0000B62C0000}"/>
    <cellStyle name="Note 7 2 4" xfId="11636" xr:uid="{00000000-0005-0000-0000-0000B72C0000}"/>
    <cellStyle name="Note 7 2 4 2" xfId="11637" xr:uid="{00000000-0005-0000-0000-0000B82C0000}"/>
    <cellStyle name="Note 7 2 5" xfId="11638" xr:uid="{00000000-0005-0000-0000-0000B92C0000}"/>
    <cellStyle name="Note 7 2 5 2" xfId="11639" xr:uid="{00000000-0005-0000-0000-0000BA2C0000}"/>
    <cellStyle name="Note 7 2 6" xfId="11640" xr:uid="{00000000-0005-0000-0000-0000BB2C0000}"/>
    <cellStyle name="Note 7 2 6 2" xfId="11641" xr:uid="{00000000-0005-0000-0000-0000BC2C0000}"/>
    <cellStyle name="Note 7 2 7" xfId="11642" xr:uid="{00000000-0005-0000-0000-0000BD2C0000}"/>
    <cellStyle name="Note 7 2 7 2" xfId="11643" xr:uid="{00000000-0005-0000-0000-0000BE2C0000}"/>
    <cellStyle name="Note 7 2 8" xfId="11644" xr:uid="{00000000-0005-0000-0000-0000BF2C0000}"/>
    <cellStyle name="Note 7 2 8 2" xfId="11645" xr:uid="{00000000-0005-0000-0000-0000C02C0000}"/>
    <cellStyle name="Note 7 2 9" xfId="11646" xr:uid="{00000000-0005-0000-0000-0000C12C0000}"/>
    <cellStyle name="Note 7 2 9 2" xfId="11647" xr:uid="{00000000-0005-0000-0000-0000C22C0000}"/>
    <cellStyle name="Note 7 3" xfId="11648" xr:uid="{00000000-0005-0000-0000-0000C32C0000}"/>
    <cellStyle name="Note 7 3 2" xfId="11649" xr:uid="{00000000-0005-0000-0000-0000C42C0000}"/>
    <cellStyle name="Note 7 3 3" xfId="11650" xr:uid="{00000000-0005-0000-0000-0000C52C0000}"/>
    <cellStyle name="Note 7 4" xfId="11651" xr:uid="{00000000-0005-0000-0000-0000C62C0000}"/>
    <cellStyle name="Note 7 4 2" xfId="11652" xr:uid="{00000000-0005-0000-0000-0000C72C0000}"/>
    <cellStyle name="Note 7 5" xfId="11653" xr:uid="{00000000-0005-0000-0000-0000C82C0000}"/>
    <cellStyle name="Note 7 5 2" xfId="11654" xr:uid="{00000000-0005-0000-0000-0000C92C0000}"/>
    <cellStyle name="Note 7 6" xfId="11655" xr:uid="{00000000-0005-0000-0000-0000CA2C0000}"/>
    <cellStyle name="Note 7 6 2" xfId="11656" xr:uid="{00000000-0005-0000-0000-0000CB2C0000}"/>
    <cellStyle name="Note 7 7" xfId="11657" xr:uid="{00000000-0005-0000-0000-0000CC2C0000}"/>
    <cellStyle name="Note 7 7 2" xfId="11658" xr:uid="{00000000-0005-0000-0000-0000CD2C0000}"/>
    <cellStyle name="Note 7 8" xfId="11659" xr:uid="{00000000-0005-0000-0000-0000CE2C0000}"/>
    <cellStyle name="Note 7 8 2" xfId="11660" xr:uid="{00000000-0005-0000-0000-0000CF2C0000}"/>
    <cellStyle name="Note 7 9" xfId="11661" xr:uid="{00000000-0005-0000-0000-0000D02C0000}"/>
    <cellStyle name="Note 7 9 2" xfId="11662" xr:uid="{00000000-0005-0000-0000-0000D12C0000}"/>
    <cellStyle name="Note 8" xfId="1962" xr:uid="{00000000-0005-0000-0000-0000D22C0000}"/>
    <cellStyle name="Note 8 10" xfId="11663" xr:uid="{00000000-0005-0000-0000-0000D32C0000}"/>
    <cellStyle name="Note 8 10 2" xfId="11664" xr:uid="{00000000-0005-0000-0000-0000D42C0000}"/>
    <cellStyle name="Note 8 11" xfId="11665" xr:uid="{00000000-0005-0000-0000-0000D52C0000}"/>
    <cellStyle name="Note 8 12" xfId="11666" xr:uid="{00000000-0005-0000-0000-0000D62C0000}"/>
    <cellStyle name="Note 8 13" xfId="11667" xr:uid="{00000000-0005-0000-0000-0000D72C0000}"/>
    <cellStyle name="Note 8 2" xfId="11668" xr:uid="{00000000-0005-0000-0000-0000D82C0000}"/>
    <cellStyle name="Note 8 2 10" xfId="11669" xr:uid="{00000000-0005-0000-0000-0000D92C0000}"/>
    <cellStyle name="Note 8 2 11" xfId="11670" xr:uid="{00000000-0005-0000-0000-0000DA2C0000}"/>
    <cellStyle name="Note 8 2 12" xfId="11671" xr:uid="{00000000-0005-0000-0000-0000DB2C0000}"/>
    <cellStyle name="Note 8 2 2" xfId="11672" xr:uid="{00000000-0005-0000-0000-0000DC2C0000}"/>
    <cellStyle name="Note 8 2 2 2" xfId="11673" xr:uid="{00000000-0005-0000-0000-0000DD2C0000}"/>
    <cellStyle name="Note 8 2 3" xfId="11674" xr:uid="{00000000-0005-0000-0000-0000DE2C0000}"/>
    <cellStyle name="Note 8 2 3 2" xfId="11675" xr:uid="{00000000-0005-0000-0000-0000DF2C0000}"/>
    <cellStyle name="Note 8 2 4" xfId="11676" xr:uid="{00000000-0005-0000-0000-0000E02C0000}"/>
    <cellStyle name="Note 8 2 4 2" xfId="11677" xr:uid="{00000000-0005-0000-0000-0000E12C0000}"/>
    <cellStyle name="Note 8 2 5" xfId="11678" xr:uid="{00000000-0005-0000-0000-0000E22C0000}"/>
    <cellStyle name="Note 8 2 5 2" xfId="11679" xr:uid="{00000000-0005-0000-0000-0000E32C0000}"/>
    <cellStyle name="Note 8 2 6" xfId="11680" xr:uid="{00000000-0005-0000-0000-0000E42C0000}"/>
    <cellStyle name="Note 8 2 6 2" xfId="11681" xr:uid="{00000000-0005-0000-0000-0000E52C0000}"/>
    <cellStyle name="Note 8 2 7" xfId="11682" xr:uid="{00000000-0005-0000-0000-0000E62C0000}"/>
    <cellStyle name="Note 8 2 7 2" xfId="11683" xr:uid="{00000000-0005-0000-0000-0000E72C0000}"/>
    <cellStyle name="Note 8 2 8" xfId="11684" xr:uid="{00000000-0005-0000-0000-0000E82C0000}"/>
    <cellStyle name="Note 8 2 8 2" xfId="11685" xr:uid="{00000000-0005-0000-0000-0000E92C0000}"/>
    <cellStyle name="Note 8 2 9" xfId="11686" xr:uid="{00000000-0005-0000-0000-0000EA2C0000}"/>
    <cellStyle name="Note 8 2 9 2" xfId="11687" xr:uid="{00000000-0005-0000-0000-0000EB2C0000}"/>
    <cellStyle name="Note 8 3" xfId="11688" xr:uid="{00000000-0005-0000-0000-0000EC2C0000}"/>
    <cellStyle name="Note 8 3 2" xfId="11689" xr:uid="{00000000-0005-0000-0000-0000ED2C0000}"/>
    <cellStyle name="Note 8 3 3" xfId="11690" xr:uid="{00000000-0005-0000-0000-0000EE2C0000}"/>
    <cellStyle name="Note 8 4" xfId="11691" xr:uid="{00000000-0005-0000-0000-0000EF2C0000}"/>
    <cellStyle name="Note 8 4 2" xfId="11692" xr:uid="{00000000-0005-0000-0000-0000F02C0000}"/>
    <cellStyle name="Note 8 5" xfId="11693" xr:uid="{00000000-0005-0000-0000-0000F12C0000}"/>
    <cellStyle name="Note 8 5 2" xfId="11694" xr:uid="{00000000-0005-0000-0000-0000F22C0000}"/>
    <cellStyle name="Note 8 6" xfId="11695" xr:uid="{00000000-0005-0000-0000-0000F32C0000}"/>
    <cellStyle name="Note 8 6 2" xfId="11696" xr:uid="{00000000-0005-0000-0000-0000F42C0000}"/>
    <cellStyle name="Note 8 7" xfId="11697" xr:uid="{00000000-0005-0000-0000-0000F52C0000}"/>
    <cellStyle name="Note 8 7 2" xfId="11698" xr:uid="{00000000-0005-0000-0000-0000F62C0000}"/>
    <cellStyle name="Note 8 8" xfId="11699" xr:uid="{00000000-0005-0000-0000-0000F72C0000}"/>
    <cellStyle name="Note 8 8 2" xfId="11700" xr:uid="{00000000-0005-0000-0000-0000F82C0000}"/>
    <cellStyle name="Note 8 9" xfId="11701" xr:uid="{00000000-0005-0000-0000-0000F92C0000}"/>
    <cellStyle name="Note 8 9 2" xfId="11702" xr:uid="{00000000-0005-0000-0000-0000FA2C0000}"/>
    <cellStyle name="Note 9" xfId="1963" xr:uid="{00000000-0005-0000-0000-0000FB2C0000}"/>
    <cellStyle name="Note 9 10" xfId="11703" xr:uid="{00000000-0005-0000-0000-0000FC2C0000}"/>
    <cellStyle name="Note 9 10 2" xfId="11704" xr:uid="{00000000-0005-0000-0000-0000FD2C0000}"/>
    <cellStyle name="Note 9 11" xfId="11705" xr:uid="{00000000-0005-0000-0000-0000FE2C0000}"/>
    <cellStyle name="Note 9 12" xfId="11706" xr:uid="{00000000-0005-0000-0000-0000FF2C0000}"/>
    <cellStyle name="Note 9 13" xfId="11707" xr:uid="{00000000-0005-0000-0000-0000002D0000}"/>
    <cellStyle name="Note 9 2" xfId="1964" xr:uid="{00000000-0005-0000-0000-0000012D0000}"/>
    <cellStyle name="Note 9 2 10" xfId="11708" xr:uid="{00000000-0005-0000-0000-0000022D0000}"/>
    <cellStyle name="Note 9 2 11" xfId="11709" xr:uid="{00000000-0005-0000-0000-0000032D0000}"/>
    <cellStyle name="Note 9 2 2" xfId="11710" xr:uid="{00000000-0005-0000-0000-0000042D0000}"/>
    <cellStyle name="Note 9 2 2 2" xfId="11711" xr:uid="{00000000-0005-0000-0000-0000052D0000}"/>
    <cellStyle name="Note 9 2 3" xfId="11712" xr:uid="{00000000-0005-0000-0000-0000062D0000}"/>
    <cellStyle name="Note 9 2 3 2" xfId="11713" xr:uid="{00000000-0005-0000-0000-0000072D0000}"/>
    <cellStyle name="Note 9 2 4" xfId="11714" xr:uid="{00000000-0005-0000-0000-0000082D0000}"/>
    <cellStyle name="Note 9 2 4 2" xfId="11715" xr:uid="{00000000-0005-0000-0000-0000092D0000}"/>
    <cellStyle name="Note 9 2 5" xfId="11716" xr:uid="{00000000-0005-0000-0000-00000A2D0000}"/>
    <cellStyle name="Note 9 2 5 2" xfId="11717" xr:uid="{00000000-0005-0000-0000-00000B2D0000}"/>
    <cellStyle name="Note 9 2 6" xfId="11718" xr:uid="{00000000-0005-0000-0000-00000C2D0000}"/>
    <cellStyle name="Note 9 2 6 2" xfId="11719" xr:uid="{00000000-0005-0000-0000-00000D2D0000}"/>
    <cellStyle name="Note 9 2 7" xfId="11720" xr:uid="{00000000-0005-0000-0000-00000E2D0000}"/>
    <cellStyle name="Note 9 2 7 2" xfId="11721" xr:uid="{00000000-0005-0000-0000-00000F2D0000}"/>
    <cellStyle name="Note 9 2 8" xfId="11722" xr:uid="{00000000-0005-0000-0000-0000102D0000}"/>
    <cellStyle name="Note 9 2 8 2" xfId="11723" xr:uid="{00000000-0005-0000-0000-0000112D0000}"/>
    <cellStyle name="Note 9 2 9" xfId="11724" xr:uid="{00000000-0005-0000-0000-0000122D0000}"/>
    <cellStyle name="Note 9 2 9 2" xfId="11725" xr:uid="{00000000-0005-0000-0000-0000132D0000}"/>
    <cellStyle name="Note 9 3" xfId="1965" xr:uid="{00000000-0005-0000-0000-0000142D0000}"/>
    <cellStyle name="Note 9 3 2" xfId="11726" xr:uid="{00000000-0005-0000-0000-0000152D0000}"/>
    <cellStyle name="Note 9 4" xfId="1966" xr:uid="{00000000-0005-0000-0000-0000162D0000}"/>
    <cellStyle name="Note 9 4 2" xfId="11727" xr:uid="{00000000-0005-0000-0000-0000172D0000}"/>
    <cellStyle name="Note 9 5" xfId="1967" xr:uid="{00000000-0005-0000-0000-0000182D0000}"/>
    <cellStyle name="Note 9 5 2" xfId="11728" xr:uid="{00000000-0005-0000-0000-0000192D0000}"/>
    <cellStyle name="Note 9 6" xfId="11729" xr:uid="{00000000-0005-0000-0000-00001A2D0000}"/>
    <cellStyle name="Note 9 6 2" xfId="11730" xr:uid="{00000000-0005-0000-0000-00001B2D0000}"/>
    <cellStyle name="Note 9 7" xfId="11731" xr:uid="{00000000-0005-0000-0000-00001C2D0000}"/>
    <cellStyle name="Note 9 7 2" xfId="11732" xr:uid="{00000000-0005-0000-0000-00001D2D0000}"/>
    <cellStyle name="Note 9 8" xfId="11733" xr:uid="{00000000-0005-0000-0000-00001E2D0000}"/>
    <cellStyle name="Note 9 8 2" xfId="11734" xr:uid="{00000000-0005-0000-0000-00001F2D0000}"/>
    <cellStyle name="Note 9 9" xfId="11735" xr:uid="{00000000-0005-0000-0000-0000202D0000}"/>
    <cellStyle name="Note 9 9 2" xfId="11736" xr:uid="{00000000-0005-0000-0000-0000212D0000}"/>
    <cellStyle name="Output" xfId="15170" builtinId="21" customBuiltin="1"/>
    <cellStyle name="Output 10" xfId="1968" xr:uid="{00000000-0005-0000-0000-0000232D0000}"/>
    <cellStyle name="Output 11" xfId="1969" xr:uid="{00000000-0005-0000-0000-0000242D0000}"/>
    <cellStyle name="Output 12" xfId="1970" xr:uid="{00000000-0005-0000-0000-0000252D0000}"/>
    <cellStyle name="Output 13" xfId="1971" xr:uid="{00000000-0005-0000-0000-0000262D0000}"/>
    <cellStyle name="Output 14" xfId="1972" xr:uid="{00000000-0005-0000-0000-0000272D0000}"/>
    <cellStyle name="Output 15" xfId="1973" xr:uid="{00000000-0005-0000-0000-0000282D0000}"/>
    <cellStyle name="Output 16" xfId="1974" xr:uid="{00000000-0005-0000-0000-0000292D0000}"/>
    <cellStyle name="Output 17" xfId="1975" xr:uid="{00000000-0005-0000-0000-00002A2D0000}"/>
    <cellStyle name="Output 17 2" xfId="11737" xr:uid="{00000000-0005-0000-0000-00002B2D0000}"/>
    <cellStyle name="Output 18" xfId="1976" xr:uid="{00000000-0005-0000-0000-00002C2D0000}"/>
    <cellStyle name="Output 19" xfId="1977" xr:uid="{00000000-0005-0000-0000-00002D2D0000}"/>
    <cellStyle name="Output 2" xfId="1978" xr:uid="{00000000-0005-0000-0000-00002E2D0000}"/>
    <cellStyle name="Output 2 2" xfId="1979" xr:uid="{00000000-0005-0000-0000-00002F2D0000}"/>
    <cellStyle name="Output 2 2 2" xfId="1980" xr:uid="{00000000-0005-0000-0000-0000302D0000}"/>
    <cellStyle name="Output 2 2 2 2" xfId="1981" xr:uid="{00000000-0005-0000-0000-0000312D0000}"/>
    <cellStyle name="Output 2 2 2 3" xfId="1982" xr:uid="{00000000-0005-0000-0000-0000322D0000}"/>
    <cellStyle name="Output 2 2 2 4" xfId="1983" xr:uid="{00000000-0005-0000-0000-0000332D0000}"/>
    <cellStyle name="Output 2 2 2 5" xfId="1984" xr:uid="{00000000-0005-0000-0000-0000342D0000}"/>
    <cellStyle name="Output 2 2 3" xfId="1985" xr:uid="{00000000-0005-0000-0000-0000352D0000}"/>
    <cellStyle name="Output 2 2 4" xfId="1986" xr:uid="{00000000-0005-0000-0000-0000362D0000}"/>
    <cellStyle name="Output 2 2 5" xfId="1987" xr:uid="{00000000-0005-0000-0000-0000372D0000}"/>
    <cellStyle name="Output 2 3" xfId="1988" xr:uid="{00000000-0005-0000-0000-0000382D0000}"/>
    <cellStyle name="Output 2 3 2" xfId="11738" xr:uid="{00000000-0005-0000-0000-0000392D0000}"/>
    <cellStyle name="Output 2 4" xfId="1989" xr:uid="{00000000-0005-0000-0000-00003A2D0000}"/>
    <cellStyle name="Output 2 4 2" xfId="11739" xr:uid="{00000000-0005-0000-0000-00003B2D0000}"/>
    <cellStyle name="Output 2 5" xfId="1990" xr:uid="{00000000-0005-0000-0000-00003C2D0000}"/>
    <cellStyle name="Output 2 5 2" xfId="11740" xr:uid="{00000000-0005-0000-0000-00003D2D0000}"/>
    <cellStyle name="Output 2 6" xfId="1991" xr:uid="{00000000-0005-0000-0000-00003E2D0000}"/>
    <cellStyle name="Output 2 6 2" xfId="11741" xr:uid="{00000000-0005-0000-0000-00003F2D0000}"/>
    <cellStyle name="Output 2 7" xfId="1992" xr:uid="{00000000-0005-0000-0000-0000402D0000}"/>
    <cellStyle name="Output 2 8" xfId="1993" xr:uid="{00000000-0005-0000-0000-0000412D0000}"/>
    <cellStyle name="Output 2 9" xfId="1994" xr:uid="{00000000-0005-0000-0000-0000422D0000}"/>
    <cellStyle name="Output 20" xfId="1995" xr:uid="{00000000-0005-0000-0000-0000432D0000}"/>
    <cellStyle name="Output 21" xfId="1996" xr:uid="{00000000-0005-0000-0000-0000442D0000}"/>
    <cellStyle name="Output 22" xfId="1997" xr:uid="{00000000-0005-0000-0000-0000452D0000}"/>
    <cellStyle name="Output 3" xfId="1998" xr:uid="{00000000-0005-0000-0000-0000462D0000}"/>
    <cellStyle name="Output 3 2" xfId="11742" xr:uid="{00000000-0005-0000-0000-0000472D0000}"/>
    <cellStyle name="Output 3 3" xfId="11743" xr:uid="{00000000-0005-0000-0000-0000482D0000}"/>
    <cellStyle name="Output 4" xfId="1999" xr:uid="{00000000-0005-0000-0000-0000492D0000}"/>
    <cellStyle name="Output 5" xfId="2000" xr:uid="{00000000-0005-0000-0000-00004A2D0000}"/>
    <cellStyle name="Output 6" xfId="2001" xr:uid="{00000000-0005-0000-0000-00004B2D0000}"/>
    <cellStyle name="Output 7" xfId="2002" xr:uid="{00000000-0005-0000-0000-00004C2D0000}"/>
    <cellStyle name="Output 8" xfId="2003" xr:uid="{00000000-0005-0000-0000-00004D2D0000}"/>
    <cellStyle name="Output 9" xfId="2004" xr:uid="{00000000-0005-0000-0000-00004E2D0000}"/>
    <cellStyle name="Output Amounts" xfId="25" xr:uid="{00000000-0005-0000-0000-00004F2D0000}"/>
    <cellStyle name="OUTPUT AMOUNTS 10" xfId="11744" xr:uid="{00000000-0005-0000-0000-0000502D0000}"/>
    <cellStyle name="Output Amounts 11" xfId="11745" xr:uid="{00000000-0005-0000-0000-0000512D0000}"/>
    <cellStyle name="Output Amounts 2" xfId="11746" xr:uid="{00000000-0005-0000-0000-0000522D0000}"/>
    <cellStyle name="Output Amounts 2 10" xfId="11747" xr:uid="{00000000-0005-0000-0000-0000532D0000}"/>
    <cellStyle name="OUTPUT AMOUNTS 2 11" xfId="11748" xr:uid="{00000000-0005-0000-0000-0000542D0000}"/>
    <cellStyle name="OUTPUT AMOUNTS 2 2" xfId="11749" xr:uid="{00000000-0005-0000-0000-0000552D0000}"/>
    <cellStyle name="OUTPUT AMOUNTS 2 3" xfId="11750" xr:uid="{00000000-0005-0000-0000-0000562D0000}"/>
    <cellStyle name="Output Amounts 2 3 2" xfId="11751" xr:uid="{00000000-0005-0000-0000-0000572D0000}"/>
    <cellStyle name="Output Amounts 2 4" xfId="11752" xr:uid="{00000000-0005-0000-0000-0000582D0000}"/>
    <cellStyle name="Output Amounts 2 5" xfId="11753" xr:uid="{00000000-0005-0000-0000-0000592D0000}"/>
    <cellStyle name="Output Amounts 2 6" xfId="11754" xr:uid="{00000000-0005-0000-0000-00005A2D0000}"/>
    <cellStyle name="Output Amounts 2 7" xfId="11755" xr:uid="{00000000-0005-0000-0000-00005B2D0000}"/>
    <cellStyle name="Output Amounts 2 8" xfId="11756" xr:uid="{00000000-0005-0000-0000-00005C2D0000}"/>
    <cellStyle name="Output Amounts 2 9" xfId="11757" xr:uid="{00000000-0005-0000-0000-00005D2D0000}"/>
    <cellStyle name="Output Amounts 3" xfId="11758" xr:uid="{00000000-0005-0000-0000-00005E2D0000}"/>
    <cellStyle name="OUTPUT AMOUNTS 3 2" xfId="11759" xr:uid="{00000000-0005-0000-0000-00005F2D0000}"/>
    <cellStyle name="Output Amounts 3 3" xfId="11760" xr:uid="{00000000-0005-0000-0000-0000602D0000}"/>
    <cellStyle name="Output Amounts 3 4" xfId="11761" xr:uid="{00000000-0005-0000-0000-0000612D0000}"/>
    <cellStyle name="Output Amounts 3 5" xfId="11762" xr:uid="{00000000-0005-0000-0000-0000622D0000}"/>
    <cellStyle name="Output Amounts 3 6" xfId="11763" xr:uid="{00000000-0005-0000-0000-0000632D0000}"/>
    <cellStyle name="Output Amounts 3 7" xfId="11764" xr:uid="{00000000-0005-0000-0000-0000642D0000}"/>
    <cellStyle name="Output Amounts 3 8" xfId="11765" xr:uid="{00000000-0005-0000-0000-0000652D0000}"/>
    <cellStyle name="Output Amounts 3 9" xfId="11766" xr:uid="{00000000-0005-0000-0000-0000662D0000}"/>
    <cellStyle name="Output Amounts 4" xfId="11767" xr:uid="{00000000-0005-0000-0000-0000672D0000}"/>
    <cellStyle name="OUTPUT AMOUNTS 5" xfId="11768" xr:uid="{00000000-0005-0000-0000-0000682D0000}"/>
    <cellStyle name="OUTPUT AMOUNTS 6" xfId="11769" xr:uid="{00000000-0005-0000-0000-0000692D0000}"/>
    <cellStyle name="OUTPUT AMOUNTS 7" xfId="11770" xr:uid="{00000000-0005-0000-0000-00006A2D0000}"/>
    <cellStyle name="OUTPUT AMOUNTS 8" xfId="11771" xr:uid="{00000000-0005-0000-0000-00006B2D0000}"/>
    <cellStyle name="OUTPUT AMOUNTS 9" xfId="11772" xr:uid="{00000000-0005-0000-0000-00006C2D0000}"/>
    <cellStyle name="Output Amounts_d1" xfId="11773" xr:uid="{00000000-0005-0000-0000-00006D2D0000}"/>
    <cellStyle name="Output Column Headings" xfId="26" xr:uid="{00000000-0005-0000-0000-00006E2D0000}"/>
    <cellStyle name="OUTPUT COLUMN HEADINGS 10" xfId="11774" xr:uid="{00000000-0005-0000-0000-00006F2D0000}"/>
    <cellStyle name="OUTPUT COLUMN HEADINGS 10 2" xfId="11775" xr:uid="{00000000-0005-0000-0000-0000702D0000}"/>
    <cellStyle name="OUTPUT COLUMN HEADINGS 10 3" xfId="11776" xr:uid="{00000000-0005-0000-0000-0000712D0000}"/>
    <cellStyle name="Output Column Headings 11" xfId="11777" xr:uid="{00000000-0005-0000-0000-0000722D0000}"/>
    <cellStyle name="Output Column Headings 12" xfId="2005" xr:uid="{00000000-0005-0000-0000-0000732D0000}"/>
    <cellStyle name="Output Column Headings 2" xfId="2006" xr:uid="{00000000-0005-0000-0000-0000742D0000}"/>
    <cellStyle name="Output Column Headings 2 2" xfId="11778" xr:uid="{00000000-0005-0000-0000-0000752D0000}"/>
    <cellStyle name="OUTPUT COLUMN HEADINGS 2 2 2" xfId="11779" xr:uid="{00000000-0005-0000-0000-0000762D0000}"/>
    <cellStyle name="Output Column Headings 2 2 3" xfId="11780" xr:uid="{00000000-0005-0000-0000-0000772D0000}"/>
    <cellStyle name="Output Column Headings 2 2 4" xfId="11781" xr:uid="{00000000-0005-0000-0000-0000782D0000}"/>
    <cellStyle name="Output Column Headings 2 2 5" xfId="11782" xr:uid="{00000000-0005-0000-0000-0000792D0000}"/>
    <cellStyle name="Output Column Headings 2 2 6" xfId="11783" xr:uid="{00000000-0005-0000-0000-00007A2D0000}"/>
    <cellStyle name="Output Column Headings 2 2 7" xfId="11784" xr:uid="{00000000-0005-0000-0000-00007B2D0000}"/>
    <cellStyle name="OUTPUT COLUMN HEADINGS 2 3" xfId="11785" xr:uid="{00000000-0005-0000-0000-00007C2D0000}"/>
    <cellStyle name="OUTPUT COLUMN HEADINGS 2 3 2" xfId="11786" xr:uid="{00000000-0005-0000-0000-00007D2D0000}"/>
    <cellStyle name="Output Column Headings 2 4" xfId="11787" xr:uid="{00000000-0005-0000-0000-00007E2D0000}"/>
    <cellStyle name="Output Column Headings 2 5" xfId="11788" xr:uid="{00000000-0005-0000-0000-00007F2D0000}"/>
    <cellStyle name="Output Column Headings 2 6" xfId="11789" xr:uid="{00000000-0005-0000-0000-0000802D0000}"/>
    <cellStyle name="Output Column Headings 3" xfId="2007" xr:uid="{00000000-0005-0000-0000-0000812D0000}"/>
    <cellStyle name="Output Column Headings 4" xfId="2008" xr:uid="{00000000-0005-0000-0000-0000822D0000}"/>
    <cellStyle name="Output Column Headings 4 2" xfId="11790" xr:uid="{00000000-0005-0000-0000-0000832D0000}"/>
    <cellStyle name="Output Column Headings 5" xfId="2009" xr:uid="{00000000-0005-0000-0000-0000842D0000}"/>
    <cellStyle name="Output Column Headings 6" xfId="2010" xr:uid="{00000000-0005-0000-0000-0000852D0000}"/>
    <cellStyle name="Output Column Headings 7" xfId="2011" xr:uid="{00000000-0005-0000-0000-0000862D0000}"/>
    <cellStyle name="Output Column Headings 8" xfId="11791" xr:uid="{00000000-0005-0000-0000-0000872D0000}"/>
    <cellStyle name="Output Column Headings 9" xfId="11792" xr:uid="{00000000-0005-0000-0000-0000882D0000}"/>
    <cellStyle name="Output Column Headings_d1" xfId="11793" xr:uid="{00000000-0005-0000-0000-0000892D0000}"/>
    <cellStyle name="Output Line Items" xfId="27" xr:uid="{00000000-0005-0000-0000-00008A2D0000}"/>
    <cellStyle name="OUTPUT LINE ITEMS 10" xfId="11794" xr:uid="{00000000-0005-0000-0000-00008B2D0000}"/>
    <cellStyle name="OUTPUT LINE ITEMS 10 2" xfId="11795" xr:uid="{00000000-0005-0000-0000-00008C2D0000}"/>
    <cellStyle name="OUTPUT LINE ITEMS 10 3" xfId="11796" xr:uid="{00000000-0005-0000-0000-00008D2D0000}"/>
    <cellStyle name="Output Line Items 11" xfId="11797" xr:uid="{00000000-0005-0000-0000-00008E2D0000}"/>
    <cellStyle name="Output Line Items 12" xfId="2012" xr:uid="{00000000-0005-0000-0000-00008F2D0000}"/>
    <cellStyle name="Output Line Items 2" xfId="2013" xr:uid="{00000000-0005-0000-0000-0000902D0000}"/>
    <cellStyle name="Output Line Items 2 2" xfId="11798" xr:uid="{00000000-0005-0000-0000-0000912D0000}"/>
    <cellStyle name="Output Line Items 2 2 2" xfId="11799" xr:uid="{00000000-0005-0000-0000-0000922D0000}"/>
    <cellStyle name="Output Line Items 2 2 3" xfId="11800" xr:uid="{00000000-0005-0000-0000-0000932D0000}"/>
    <cellStyle name="Output Line Items 2 3" xfId="11801" xr:uid="{00000000-0005-0000-0000-0000942D0000}"/>
    <cellStyle name="OUTPUT LINE ITEMS 2 3 2" xfId="11802" xr:uid="{00000000-0005-0000-0000-0000952D0000}"/>
    <cellStyle name="Output Line Items 2 3 3" xfId="11803" xr:uid="{00000000-0005-0000-0000-0000962D0000}"/>
    <cellStyle name="Output Line Items 2 3 4" xfId="11804" xr:uid="{00000000-0005-0000-0000-0000972D0000}"/>
    <cellStyle name="Output Line Items 2 3 5" xfId="11805" xr:uid="{00000000-0005-0000-0000-0000982D0000}"/>
    <cellStyle name="Output Line Items 2 3 6" xfId="11806" xr:uid="{00000000-0005-0000-0000-0000992D0000}"/>
    <cellStyle name="Output Line Items 2 3 7" xfId="11807" xr:uid="{00000000-0005-0000-0000-00009A2D0000}"/>
    <cellStyle name="OUTPUT LINE ITEMS 2 4" xfId="11808" xr:uid="{00000000-0005-0000-0000-00009B2D0000}"/>
    <cellStyle name="Output Line Items 2 5" xfId="11809" xr:uid="{00000000-0005-0000-0000-00009C2D0000}"/>
    <cellStyle name="Output Line Items 2 6" xfId="11810" xr:uid="{00000000-0005-0000-0000-00009D2D0000}"/>
    <cellStyle name="Output Line Items 2 7" xfId="11811" xr:uid="{00000000-0005-0000-0000-00009E2D0000}"/>
    <cellStyle name="Output Line Items 3" xfId="2014" xr:uid="{00000000-0005-0000-0000-00009F2D0000}"/>
    <cellStyle name="Output Line Items 4" xfId="2015" xr:uid="{00000000-0005-0000-0000-0000A02D0000}"/>
    <cellStyle name="Output Line Items 4 2" xfId="11812" xr:uid="{00000000-0005-0000-0000-0000A12D0000}"/>
    <cellStyle name="Output Line Items 5" xfId="2016" xr:uid="{00000000-0005-0000-0000-0000A22D0000}"/>
    <cellStyle name="Output Line Items 6" xfId="2017" xr:uid="{00000000-0005-0000-0000-0000A32D0000}"/>
    <cellStyle name="Output Line Items 7" xfId="2018" xr:uid="{00000000-0005-0000-0000-0000A42D0000}"/>
    <cellStyle name="Output Line Items 8" xfId="11813" xr:uid="{00000000-0005-0000-0000-0000A52D0000}"/>
    <cellStyle name="Output Line Items 9" xfId="11814" xr:uid="{00000000-0005-0000-0000-0000A62D0000}"/>
    <cellStyle name="Output Line Items_d1" xfId="11815" xr:uid="{00000000-0005-0000-0000-0000A72D0000}"/>
    <cellStyle name="Output Report Heading" xfId="28" xr:uid="{00000000-0005-0000-0000-0000A82D0000}"/>
    <cellStyle name="OUTPUT REPORT HEADING 10" xfId="11816" xr:uid="{00000000-0005-0000-0000-0000A92D0000}"/>
    <cellStyle name="OUTPUT REPORT HEADING 10 2" xfId="11817" xr:uid="{00000000-0005-0000-0000-0000AA2D0000}"/>
    <cellStyle name="OUTPUT REPORT HEADING 10 3" xfId="11818" xr:uid="{00000000-0005-0000-0000-0000AB2D0000}"/>
    <cellStyle name="Output Report Heading 11" xfId="11819" xr:uid="{00000000-0005-0000-0000-0000AC2D0000}"/>
    <cellStyle name="Output Report Heading 12" xfId="2019" xr:uid="{00000000-0005-0000-0000-0000AD2D0000}"/>
    <cellStyle name="Output Report Heading 2" xfId="2020" xr:uid="{00000000-0005-0000-0000-0000AE2D0000}"/>
    <cellStyle name="Output Report Heading 2 2" xfId="11820" xr:uid="{00000000-0005-0000-0000-0000AF2D0000}"/>
    <cellStyle name="OUTPUT REPORT HEADING 2 2 2" xfId="11821" xr:uid="{00000000-0005-0000-0000-0000B02D0000}"/>
    <cellStyle name="Output Report Heading 2 2 3" xfId="11822" xr:uid="{00000000-0005-0000-0000-0000B12D0000}"/>
    <cellStyle name="Output Report Heading 2 2 4" xfId="11823" xr:uid="{00000000-0005-0000-0000-0000B22D0000}"/>
    <cellStyle name="Output Report Heading 2 2 5" xfId="11824" xr:uid="{00000000-0005-0000-0000-0000B32D0000}"/>
    <cellStyle name="Output Report Heading 2 2 6" xfId="11825" xr:uid="{00000000-0005-0000-0000-0000B42D0000}"/>
    <cellStyle name="Output Report Heading 2 2 7" xfId="11826" xr:uid="{00000000-0005-0000-0000-0000B52D0000}"/>
    <cellStyle name="OUTPUT REPORT HEADING 2 3" xfId="11827" xr:uid="{00000000-0005-0000-0000-0000B62D0000}"/>
    <cellStyle name="OUTPUT REPORT HEADING 2 3 2" xfId="11828" xr:uid="{00000000-0005-0000-0000-0000B72D0000}"/>
    <cellStyle name="Output Report Heading 2 4" xfId="11829" xr:uid="{00000000-0005-0000-0000-0000B82D0000}"/>
    <cellStyle name="Output Report Heading 2 5" xfId="11830" xr:uid="{00000000-0005-0000-0000-0000B92D0000}"/>
    <cellStyle name="Output Report Heading 2 6" xfId="11831" xr:uid="{00000000-0005-0000-0000-0000BA2D0000}"/>
    <cellStyle name="Output Report Heading 3" xfId="2021" xr:uid="{00000000-0005-0000-0000-0000BB2D0000}"/>
    <cellStyle name="Output Report Heading 4" xfId="2022" xr:uid="{00000000-0005-0000-0000-0000BC2D0000}"/>
    <cellStyle name="Output Report Heading 4 2" xfId="11832" xr:uid="{00000000-0005-0000-0000-0000BD2D0000}"/>
    <cellStyle name="Output Report Heading 5" xfId="2023" xr:uid="{00000000-0005-0000-0000-0000BE2D0000}"/>
    <cellStyle name="Output Report Heading 6" xfId="2024" xr:uid="{00000000-0005-0000-0000-0000BF2D0000}"/>
    <cellStyle name="Output Report Heading 7" xfId="2025" xr:uid="{00000000-0005-0000-0000-0000C02D0000}"/>
    <cellStyle name="Output Report Heading 8" xfId="11833" xr:uid="{00000000-0005-0000-0000-0000C12D0000}"/>
    <cellStyle name="Output Report Heading 9" xfId="11834" xr:uid="{00000000-0005-0000-0000-0000C22D0000}"/>
    <cellStyle name="Output Report Heading_d1" xfId="11835" xr:uid="{00000000-0005-0000-0000-0000C32D0000}"/>
    <cellStyle name="Output Report Title" xfId="29" xr:uid="{00000000-0005-0000-0000-0000C42D0000}"/>
    <cellStyle name="OUTPUT REPORT TITLE 10" xfId="11836" xr:uid="{00000000-0005-0000-0000-0000C52D0000}"/>
    <cellStyle name="OUTPUT REPORT TITLE 10 2" xfId="11837" xr:uid="{00000000-0005-0000-0000-0000C62D0000}"/>
    <cellStyle name="OUTPUT REPORT TITLE 10 3" xfId="11838" xr:uid="{00000000-0005-0000-0000-0000C72D0000}"/>
    <cellStyle name="OUTPUT REPORT TITLE 11" xfId="11839" xr:uid="{00000000-0005-0000-0000-0000C82D0000}"/>
    <cellStyle name="Output Report Title 12" xfId="11840" xr:uid="{00000000-0005-0000-0000-0000C92D0000}"/>
    <cellStyle name="Output Report Title 13" xfId="2026" xr:uid="{00000000-0005-0000-0000-0000CA2D0000}"/>
    <cellStyle name="Output Report Title 2" xfId="2027" xr:uid="{00000000-0005-0000-0000-0000CB2D0000}"/>
    <cellStyle name="Output Report Title 2 2" xfId="11841" xr:uid="{00000000-0005-0000-0000-0000CC2D0000}"/>
    <cellStyle name="OUTPUT REPORT TITLE 2 2 2" xfId="11842" xr:uid="{00000000-0005-0000-0000-0000CD2D0000}"/>
    <cellStyle name="Output Report Title 2 2 3" xfId="11843" xr:uid="{00000000-0005-0000-0000-0000CE2D0000}"/>
    <cellStyle name="Output Report Title 2 2 4" xfId="11844" xr:uid="{00000000-0005-0000-0000-0000CF2D0000}"/>
    <cellStyle name="Output Report Title 2 2 5" xfId="11845" xr:uid="{00000000-0005-0000-0000-0000D02D0000}"/>
    <cellStyle name="Output Report Title 2 2 6" xfId="11846" xr:uid="{00000000-0005-0000-0000-0000D12D0000}"/>
    <cellStyle name="Output Report Title 2 2 7" xfId="11847" xr:uid="{00000000-0005-0000-0000-0000D22D0000}"/>
    <cellStyle name="OUTPUT REPORT TITLE 2 3" xfId="11848" xr:uid="{00000000-0005-0000-0000-0000D32D0000}"/>
    <cellStyle name="OUTPUT REPORT TITLE 2 3 2" xfId="11849" xr:uid="{00000000-0005-0000-0000-0000D42D0000}"/>
    <cellStyle name="Output Report Title 2 4" xfId="11850" xr:uid="{00000000-0005-0000-0000-0000D52D0000}"/>
    <cellStyle name="Output Report Title 2 5" xfId="11851" xr:uid="{00000000-0005-0000-0000-0000D62D0000}"/>
    <cellStyle name="Output Report Title 2 6" xfId="11852" xr:uid="{00000000-0005-0000-0000-0000D72D0000}"/>
    <cellStyle name="Output Report Title 3" xfId="2028" xr:uid="{00000000-0005-0000-0000-0000D82D0000}"/>
    <cellStyle name="Output Report Title 4" xfId="2029" xr:uid="{00000000-0005-0000-0000-0000D92D0000}"/>
    <cellStyle name="Output Report Title 4 2" xfId="11853" xr:uid="{00000000-0005-0000-0000-0000DA2D0000}"/>
    <cellStyle name="Output Report Title 5" xfId="2030" xr:uid="{00000000-0005-0000-0000-0000DB2D0000}"/>
    <cellStyle name="Output Report Title 6" xfId="2031" xr:uid="{00000000-0005-0000-0000-0000DC2D0000}"/>
    <cellStyle name="Output Report Title 7" xfId="2032" xr:uid="{00000000-0005-0000-0000-0000DD2D0000}"/>
    <cellStyle name="Output Report Title 8" xfId="11854" xr:uid="{00000000-0005-0000-0000-0000DE2D0000}"/>
    <cellStyle name="Output Report Title 9" xfId="11855" xr:uid="{00000000-0005-0000-0000-0000DF2D0000}"/>
    <cellStyle name="Output Report Title_d1" xfId="11856" xr:uid="{00000000-0005-0000-0000-0000E02D0000}"/>
    <cellStyle name="Percent" xfId="30" builtinId="5"/>
    <cellStyle name="Percent 10" xfId="11857" xr:uid="{00000000-0005-0000-0000-0000E22D0000}"/>
    <cellStyle name="Percent 10 2" xfId="11858" xr:uid="{00000000-0005-0000-0000-0000E32D0000}"/>
    <cellStyle name="Percent 10 2 2" xfId="11859" xr:uid="{00000000-0005-0000-0000-0000E42D0000}"/>
    <cellStyle name="Percent 10 2 3" xfId="11860" xr:uid="{00000000-0005-0000-0000-0000E52D0000}"/>
    <cellStyle name="Percent 10 3" xfId="11861" xr:uid="{00000000-0005-0000-0000-0000E62D0000}"/>
    <cellStyle name="Percent 10 3 2" xfId="11862" xr:uid="{00000000-0005-0000-0000-0000E72D0000}"/>
    <cellStyle name="Percent 10 4" xfId="11863" xr:uid="{00000000-0005-0000-0000-0000E82D0000}"/>
    <cellStyle name="Percent 10 5" xfId="11864" xr:uid="{00000000-0005-0000-0000-0000E92D0000}"/>
    <cellStyle name="Percent 10 6" xfId="11865" xr:uid="{00000000-0005-0000-0000-0000EA2D0000}"/>
    <cellStyle name="Percent 11" xfId="11866" xr:uid="{00000000-0005-0000-0000-0000EB2D0000}"/>
    <cellStyle name="Percent 11 2" xfId="11867" xr:uid="{00000000-0005-0000-0000-0000EC2D0000}"/>
    <cellStyle name="Percent 11 3" xfId="11868" xr:uid="{00000000-0005-0000-0000-0000ED2D0000}"/>
    <cellStyle name="Percent 12" xfId="11869" xr:uid="{00000000-0005-0000-0000-0000EE2D0000}"/>
    <cellStyle name="Percent 13" xfId="11870" xr:uid="{00000000-0005-0000-0000-0000EF2D0000}"/>
    <cellStyle name="Percent 13 2" xfId="11871" xr:uid="{00000000-0005-0000-0000-0000F02D0000}"/>
    <cellStyle name="Percent 14" xfId="11872" xr:uid="{00000000-0005-0000-0000-0000F12D0000}"/>
    <cellStyle name="Percent 15" xfId="11873" xr:uid="{00000000-0005-0000-0000-0000F22D0000}"/>
    <cellStyle name="Percent 16" xfId="56" xr:uid="{00000000-0005-0000-0000-0000F32D0000}"/>
    <cellStyle name="Percent 2" xfId="2033" xr:uid="{00000000-0005-0000-0000-0000F42D0000}"/>
    <cellStyle name="Percent 2 2" xfId="2034" xr:uid="{00000000-0005-0000-0000-0000F52D0000}"/>
    <cellStyle name="Percent 2 2 2" xfId="11874" xr:uid="{00000000-0005-0000-0000-0000F62D0000}"/>
    <cellStyle name="Percent 2 2 2 2" xfId="11875" xr:uid="{00000000-0005-0000-0000-0000F72D0000}"/>
    <cellStyle name="Percent 2 2 2 2 2" xfId="11876" xr:uid="{00000000-0005-0000-0000-0000F82D0000}"/>
    <cellStyle name="Percent 2 2 2 2 2 2" xfId="11877" xr:uid="{00000000-0005-0000-0000-0000F92D0000}"/>
    <cellStyle name="Percent 2 2 2 2 2 2 2" xfId="11878" xr:uid="{00000000-0005-0000-0000-0000FA2D0000}"/>
    <cellStyle name="Percent 2 2 2 2 2 3" xfId="11879" xr:uid="{00000000-0005-0000-0000-0000FB2D0000}"/>
    <cellStyle name="Percent 2 2 2 2 3" xfId="11880" xr:uid="{00000000-0005-0000-0000-0000FC2D0000}"/>
    <cellStyle name="Percent 2 2 2 2 3 2" xfId="11881" xr:uid="{00000000-0005-0000-0000-0000FD2D0000}"/>
    <cellStyle name="Percent 2 2 2 2 4" xfId="11882" xr:uid="{00000000-0005-0000-0000-0000FE2D0000}"/>
    <cellStyle name="Percent 2 2 2 3" xfId="11883" xr:uid="{00000000-0005-0000-0000-0000FF2D0000}"/>
    <cellStyle name="Percent 2 2 2 3 2" xfId="11884" xr:uid="{00000000-0005-0000-0000-0000002E0000}"/>
    <cellStyle name="Percent 2 2 2 3 2 2" xfId="11885" xr:uid="{00000000-0005-0000-0000-0000012E0000}"/>
    <cellStyle name="Percent 2 2 2 3 3" xfId="11886" xr:uid="{00000000-0005-0000-0000-0000022E0000}"/>
    <cellStyle name="Percent 2 2 2 4" xfId="11887" xr:uid="{00000000-0005-0000-0000-0000032E0000}"/>
    <cellStyle name="Percent 2 2 2 4 2" xfId="11888" xr:uid="{00000000-0005-0000-0000-0000042E0000}"/>
    <cellStyle name="Percent 2 2 2 5" xfId="11889" xr:uid="{00000000-0005-0000-0000-0000052E0000}"/>
    <cellStyle name="Percent 2 2 3" xfId="11890" xr:uid="{00000000-0005-0000-0000-0000062E0000}"/>
    <cellStyle name="Percent 2 2 3 2" xfId="11891" xr:uid="{00000000-0005-0000-0000-0000072E0000}"/>
    <cellStyle name="Percent 2 2 3 2 2" xfId="11892" xr:uid="{00000000-0005-0000-0000-0000082E0000}"/>
    <cellStyle name="Percent 2 2 3 2 2 2" xfId="11893" xr:uid="{00000000-0005-0000-0000-0000092E0000}"/>
    <cellStyle name="Percent 2 2 3 2 3" xfId="11894" xr:uid="{00000000-0005-0000-0000-00000A2E0000}"/>
    <cellStyle name="Percent 2 2 3 3" xfId="11895" xr:uid="{00000000-0005-0000-0000-00000B2E0000}"/>
    <cellStyle name="Percent 2 2 3 3 2" xfId="11896" xr:uid="{00000000-0005-0000-0000-00000C2E0000}"/>
    <cellStyle name="Percent 2 2 3 4" xfId="11897" xr:uid="{00000000-0005-0000-0000-00000D2E0000}"/>
    <cellStyle name="Percent 2 2 4" xfId="11898" xr:uid="{00000000-0005-0000-0000-00000E2E0000}"/>
    <cellStyle name="Percent 2 2 4 2" xfId="11899" xr:uid="{00000000-0005-0000-0000-00000F2E0000}"/>
    <cellStyle name="Percent 2 2 4 2 2" xfId="11900" xr:uid="{00000000-0005-0000-0000-0000102E0000}"/>
    <cellStyle name="Percent 2 2 4 3" xfId="11901" xr:uid="{00000000-0005-0000-0000-0000112E0000}"/>
    <cellStyle name="Percent 2 2 5" xfId="11902" xr:uid="{00000000-0005-0000-0000-0000122E0000}"/>
    <cellStyle name="Percent 2 2 5 2" xfId="11903" xr:uid="{00000000-0005-0000-0000-0000132E0000}"/>
    <cellStyle name="Percent 2 2 6" xfId="11904" xr:uid="{00000000-0005-0000-0000-0000142E0000}"/>
    <cellStyle name="Percent 2 2 7" xfId="11905" xr:uid="{00000000-0005-0000-0000-0000152E0000}"/>
    <cellStyle name="Percent 2 3" xfId="2035" xr:uid="{00000000-0005-0000-0000-0000162E0000}"/>
    <cellStyle name="Percent 2 3 2" xfId="11906" xr:uid="{00000000-0005-0000-0000-0000172E0000}"/>
    <cellStyle name="Percent 2 3 2 2" xfId="11907" xr:uid="{00000000-0005-0000-0000-0000182E0000}"/>
    <cellStyle name="Percent 2 3 2 2 2" xfId="11908" xr:uid="{00000000-0005-0000-0000-0000192E0000}"/>
    <cellStyle name="Percent 2 3 2 3" xfId="11909" xr:uid="{00000000-0005-0000-0000-00001A2E0000}"/>
    <cellStyle name="Percent 2 3 2 4" xfId="11910" xr:uid="{00000000-0005-0000-0000-00001B2E0000}"/>
    <cellStyle name="Percent 2 3 3" xfId="11911" xr:uid="{00000000-0005-0000-0000-00001C2E0000}"/>
    <cellStyle name="Percent 2 3 3 2" xfId="11912" xr:uid="{00000000-0005-0000-0000-00001D2E0000}"/>
    <cellStyle name="Percent 2 3 4" xfId="11913" xr:uid="{00000000-0005-0000-0000-00001E2E0000}"/>
    <cellStyle name="Percent 2 3 5" xfId="11914" xr:uid="{00000000-0005-0000-0000-00001F2E0000}"/>
    <cellStyle name="Percent 2 4" xfId="2036" xr:uid="{00000000-0005-0000-0000-0000202E0000}"/>
    <cellStyle name="Percent 2 4 2" xfId="11915" xr:uid="{00000000-0005-0000-0000-0000212E0000}"/>
    <cellStyle name="Percent 2 5" xfId="2037" xr:uid="{00000000-0005-0000-0000-0000222E0000}"/>
    <cellStyle name="Percent 3" xfId="2151" xr:uid="{00000000-0005-0000-0000-0000232E0000}"/>
    <cellStyle name="Percent 3 10" xfId="11916" xr:uid="{00000000-0005-0000-0000-0000242E0000}"/>
    <cellStyle name="Percent 3 2" xfId="11917" xr:uid="{00000000-0005-0000-0000-0000252E0000}"/>
    <cellStyle name="Percent 3 2 2" xfId="11918" xr:uid="{00000000-0005-0000-0000-0000262E0000}"/>
    <cellStyle name="Percent 3 2 2 2" xfId="11919" xr:uid="{00000000-0005-0000-0000-0000272E0000}"/>
    <cellStyle name="Percent 3 2 2 2 2" xfId="11920" xr:uid="{00000000-0005-0000-0000-0000282E0000}"/>
    <cellStyle name="Percent 3 2 2 2 2 2" xfId="11921" xr:uid="{00000000-0005-0000-0000-0000292E0000}"/>
    <cellStyle name="Percent 3 2 2 2 2 2 2" xfId="11922" xr:uid="{00000000-0005-0000-0000-00002A2E0000}"/>
    <cellStyle name="Percent 3 2 2 2 2 2 2 2" xfId="11923" xr:uid="{00000000-0005-0000-0000-00002B2E0000}"/>
    <cellStyle name="Percent 3 2 2 2 2 2 3" xfId="11924" xr:uid="{00000000-0005-0000-0000-00002C2E0000}"/>
    <cellStyle name="Percent 3 2 2 2 2 3" xfId="11925" xr:uid="{00000000-0005-0000-0000-00002D2E0000}"/>
    <cellStyle name="Percent 3 2 2 2 2 3 2" xfId="11926" xr:uid="{00000000-0005-0000-0000-00002E2E0000}"/>
    <cellStyle name="Percent 3 2 2 2 2 4" xfId="11927" xr:uid="{00000000-0005-0000-0000-00002F2E0000}"/>
    <cellStyle name="Percent 3 2 2 2 3" xfId="11928" xr:uid="{00000000-0005-0000-0000-0000302E0000}"/>
    <cellStyle name="Percent 3 2 2 2 3 2" xfId="11929" xr:uid="{00000000-0005-0000-0000-0000312E0000}"/>
    <cellStyle name="Percent 3 2 2 2 3 2 2" xfId="11930" xr:uid="{00000000-0005-0000-0000-0000322E0000}"/>
    <cellStyle name="Percent 3 2 2 2 3 3" xfId="11931" xr:uid="{00000000-0005-0000-0000-0000332E0000}"/>
    <cellStyle name="Percent 3 2 2 2 4" xfId="11932" xr:uid="{00000000-0005-0000-0000-0000342E0000}"/>
    <cellStyle name="Percent 3 2 2 2 4 2" xfId="11933" xr:uid="{00000000-0005-0000-0000-0000352E0000}"/>
    <cellStyle name="Percent 3 2 2 2 5" xfId="11934" xr:uid="{00000000-0005-0000-0000-0000362E0000}"/>
    <cellStyle name="Percent 3 2 2 2 6" xfId="11935" xr:uid="{00000000-0005-0000-0000-0000372E0000}"/>
    <cellStyle name="Percent 3 2 2 3" xfId="11936" xr:uid="{00000000-0005-0000-0000-0000382E0000}"/>
    <cellStyle name="Percent 3 2 2 3 2" xfId="11937" xr:uid="{00000000-0005-0000-0000-0000392E0000}"/>
    <cellStyle name="Percent 3 2 2 3 2 2" xfId="11938" xr:uid="{00000000-0005-0000-0000-00003A2E0000}"/>
    <cellStyle name="Percent 3 2 2 3 2 2 2" xfId="11939" xr:uid="{00000000-0005-0000-0000-00003B2E0000}"/>
    <cellStyle name="Percent 3 2 2 3 2 3" xfId="11940" xr:uid="{00000000-0005-0000-0000-00003C2E0000}"/>
    <cellStyle name="Percent 3 2 2 3 3" xfId="11941" xr:uid="{00000000-0005-0000-0000-00003D2E0000}"/>
    <cellStyle name="Percent 3 2 2 3 3 2" xfId="11942" xr:uid="{00000000-0005-0000-0000-00003E2E0000}"/>
    <cellStyle name="Percent 3 2 2 3 4" xfId="11943" xr:uid="{00000000-0005-0000-0000-00003F2E0000}"/>
    <cellStyle name="Percent 3 2 2 4" xfId="11944" xr:uid="{00000000-0005-0000-0000-0000402E0000}"/>
    <cellStyle name="Percent 3 2 2 4 2" xfId="11945" xr:uid="{00000000-0005-0000-0000-0000412E0000}"/>
    <cellStyle name="Percent 3 2 2 4 2 2" xfId="11946" xr:uid="{00000000-0005-0000-0000-0000422E0000}"/>
    <cellStyle name="Percent 3 2 2 4 3" xfId="11947" xr:uid="{00000000-0005-0000-0000-0000432E0000}"/>
    <cellStyle name="Percent 3 2 2 5" xfId="11948" xr:uid="{00000000-0005-0000-0000-0000442E0000}"/>
    <cellStyle name="Percent 3 2 2 5 2" xfId="11949" xr:uid="{00000000-0005-0000-0000-0000452E0000}"/>
    <cellStyle name="Percent 3 2 2 6" xfId="11950" xr:uid="{00000000-0005-0000-0000-0000462E0000}"/>
    <cellStyle name="Percent 3 2 2 7" xfId="11951" xr:uid="{00000000-0005-0000-0000-0000472E0000}"/>
    <cellStyle name="Percent 3 2 3" xfId="11952" xr:uid="{00000000-0005-0000-0000-0000482E0000}"/>
    <cellStyle name="Percent 3 2 3 2" xfId="11953" xr:uid="{00000000-0005-0000-0000-0000492E0000}"/>
    <cellStyle name="Percent 3 2 3 2 2" xfId="11954" xr:uid="{00000000-0005-0000-0000-00004A2E0000}"/>
    <cellStyle name="Percent 3 2 3 2 2 2" xfId="11955" xr:uid="{00000000-0005-0000-0000-00004B2E0000}"/>
    <cellStyle name="Percent 3 2 3 2 2 2 2" xfId="11956" xr:uid="{00000000-0005-0000-0000-00004C2E0000}"/>
    <cellStyle name="Percent 3 2 3 2 2 3" xfId="11957" xr:uid="{00000000-0005-0000-0000-00004D2E0000}"/>
    <cellStyle name="Percent 3 2 3 2 3" xfId="11958" xr:uid="{00000000-0005-0000-0000-00004E2E0000}"/>
    <cellStyle name="Percent 3 2 3 2 3 2" xfId="11959" xr:uid="{00000000-0005-0000-0000-00004F2E0000}"/>
    <cellStyle name="Percent 3 2 3 2 4" xfId="11960" xr:uid="{00000000-0005-0000-0000-0000502E0000}"/>
    <cellStyle name="Percent 3 2 3 3" xfId="11961" xr:uid="{00000000-0005-0000-0000-0000512E0000}"/>
    <cellStyle name="Percent 3 2 3 3 2" xfId="11962" xr:uid="{00000000-0005-0000-0000-0000522E0000}"/>
    <cellStyle name="Percent 3 2 3 3 2 2" xfId="11963" xr:uid="{00000000-0005-0000-0000-0000532E0000}"/>
    <cellStyle name="Percent 3 2 3 3 3" xfId="11964" xr:uid="{00000000-0005-0000-0000-0000542E0000}"/>
    <cellStyle name="Percent 3 2 3 4" xfId="11965" xr:uid="{00000000-0005-0000-0000-0000552E0000}"/>
    <cellStyle name="Percent 3 2 3 4 2" xfId="11966" xr:uid="{00000000-0005-0000-0000-0000562E0000}"/>
    <cellStyle name="Percent 3 2 3 5" xfId="11967" xr:uid="{00000000-0005-0000-0000-0000572E0000}"/>
    <cellStyle name="Percent 3 2 3 6" xfId="11968" xr:uid="{00000000-0005-0000-0000-0000582E0000}"/>
    <cellStyle name="Percent 3 2 4" xfId="11969" xr:uid="{00000000-0005-0000-0000-0000592E0000}"/>
    <cellStyle name="Percent 3 2 4 2" xfId="11970" xr:uid="{00000000-0005-0000-0000-00005A2E0000}"/>
    <cellStyle name="Percent 3 2 4 2 2" xfId="11971" xr:uid="{00000000-0005-0000-0000-00005B2E0000}"/>
    <cellStyle name="Percent 3 2 4 2 2 2" xfId="11972" xr:uid="{00000000-0005-0000-0000-00005C2E0000}"/>
    <cellStyle name="Percent 3 2 4 2 2 2 2" xfId="11973" xr:uid="{00000000-0005-0000-0000-00005D2E0000}"/>
    <cellStyle name="Percent 3 2 4 2 2 3" xfId="11974" xr:uid="{00000000-0005-0000-0000-00005E2E0000}"/>
    <cellStyle name="Percent 3 2 4 2 3" xfId="11975" xr:uid="{00000000-0005-0000-0000-00005F2E0000}"/>
    <cellStyle name="Percent 3 2 4 2 3 2" xfId="11976" xr:uid="{00000000-0005-0000-0000-0000602E0000}"/>
    <cellStyle name="Percent 3 2 4 2 4" xfId="11977" xr:uid="{00000000-0005-0000-0000-0000612E0000}"/>
    <cellStyle name="Percent 3 2 4 3" xfId="11978" xr:uid="{00000000-0005-0000-0000-0000622E0000}"/>
    <cellStyle name="Percent 3 2 4 3 2" xfId="11979" xr:uid="{00000000-0005-0000-0000-0000632E0000}"/>
    <cellStyle name="Percent 3 2 4 3 2 2" xfId="11980" xr:uid="{00000000-0005-0000-0000-0000642E0000}"/>
    <cellStyle name="Percent 3 2 4 3 3" xfId="11981" xr:uid="{00000000-0005-0000-0000-0000652E0000}"/>
    <cellStyle name="Percent 3 2 4 4" xfId="11982" xr:uid="{00000000-0005-0000-0000-0000662E0000}"/>
    <cellStyle name="Percent 3 2 4 4 2" xfId="11983" xr:uid="{00000000-0005-0000-0000-0000672E0000}"/>
    <cellStyle name="Percent 3 2 4 5" xfId="11984" xr:uid="{00000000-0005-0000-0000-0000682E0000}"/>
    <cellStyle name="Percent 3 2 5" xfId="11985" xr:uid="{00000000-0005-0000-0000-0000692E0000}"/>
    <cellStyle name="Percent 3 2 5 2" xfId="11986" xr:uid="{00000000-0005-0000-0000-00006A2E0000}"/>
    <cellStyle name="Percent 3 2 5 2 2" xfId="11987" xr:uid="{00000000-0005-0000-0000-00006B2E0000}"/>
    <cellStyle name="Percent 3 2 5 2 2 2" xfId="11988" xr:uid="{00000000-0005-0000-0000-00006C2E0000}"/>
    <cellStyle name="Percent 3 2 5 2 3" xfId="11989" xr:uid="{00000000-0005-0000-0000-00006D2E0000}"/>
    <cellStyle name="Percent 3 2 5 3" xfId="11990" xr:uid="{00000000-0005-0000-0000-00006E2E0000}"/>
    <cellStyle name="Percent 3 2 5 3 2" xfId="11991" xr:uid="{00000000-0005-0000-0000-00006F2E0000}"/>
    <cellStyle name="Percent 3 2 5 4" xfId="11992" xr:uid="{00000000-0005-0000-0000-0000702E0000}"/>
    <cellStyle name="Percent 3 2 6" xfId="11993" xr:uid="{00000000-0005-0000-0000-0000712E0000}"/>
    <cellStyle name="Percent 3 2 6 2" xfId="11994" xr:uid="{00000000-0005-0000-0000-0000722E0000}"/>
    <cellStyle name="Percent 3 2 6 2 2" xfId="11995" xr:uid="{00000000-0005-0000-0000-0000732E0000}"/>
    <cellStyle name="Percent 3 2 6 3" xfId="11996" xr:uid="{00000000-0005-0000-0000-0000742E0000}"/>
    <cellStyle name="Percent 3 2 7" xfId="11997" xr:uid="{00000000-0005-0000-0000-0000752E0000}"/>
    <cellStyle name="Percent 3 2 7 2" xfId="11998" xr:uid="{00000000-0005-0000-0000-0000762E0000}"/>
    <cellStyle name="Percent 3 2 8" xfId="11999" xr:uid="{00000000-0005-0000-0000-0000772E0000}"/>
    <cellStyle name="Percent 3 2 9" xfId="12000" xr:uid="{00000000-0005-0000-0000-0000782E0000}"/>
    <cellStyle name="Percent 3 3" xfId="12001" xr:uid="{00000000-0005-0000-0000-0000792E0000}"/>
    <cellStyle name="Percent 3 3 2" xfId="12002" xr:uid="{00000000-0005-0000-0000-00007A2E0000}"/>
    <cellStyle name="Percent 3 3 2 2" xfId="12003" xr:uid="{00000000-0005-0000-0000-00007B2E0000}"/>
    <cellStyle name="Percent 3 3 2 2 2" xfId="12004" xr:uid="{00000000-0005-0000-0000-00007C2E0000}"/>
    <cellStyle name="Percent 3 3 2 2 2 2" xfId="12005" xr:uid="{00000000-0005-0000-0000-00007D2E0000}"/>
    <cellStyle name="Percent 3 3 2 2 2 2 2" xfId="12006" xr:uid="{00000000-0005-0000-0000-00007E2E0000}"/>
    <cellStyle name="Percent 3 3 2 2 2 3" xfId="12007" xr:uid="{00000000-0005-0000-0000-00007F2E0000}"/>
    <cellStyle name="Percent 3 3 2 2 3" xfId="12008" xr:uid="{00000000-0005-0000-0000-0000802E0000}"/>
    <cellStyle name="Percent 3 3 2 2 3 2" xfId="12009" xr:uid="{00000000-0005-0000-0000-0000812E0000}"/>
    <cellStyle name="Percent 3 3 2 2 4" xfId="12010" xr:uid="{00000000-0005-0000-0000-0000822E0000}"/>
    <cellStyle name="Percent 3 3 2 3" xfId="12011" xr:uid="{00000000-0005-0000-0000-0000832E0000}"/>
    <cellStyle name="Percent 3 3 2 3 2" xfId="12012" xr:uid="{00000000-0005-0000-0000-0000842E0000}"/>
    <cellStyle name="Percent 3 3 2 3 2 2" xfId="12013" xr:uid="{00000000-0005-0000-0000-0000852E0000}"/>
    <cellStyle name="Percent 3 3 2 3 3" xfId="12014" xr:uid="{00000000-0005-0000-0000-0000862E0000}"/>
    <cellStyle name="Percent 3 3 2 4" xfId="12015" xr:uid="{00000000-0005-0000-0000-0000872E0000}"/>
    <cellStyle name="Percent 3 3 2 4 2" xfId="12016" xr:uid="{00000000-0005-0000-0000-0000882E0000}"/>
    <cellStyle name="Percent 3 3 2 5" xfId="12017" xr:uid="{00000000-0005-0000-0000-0000892E0000}"/>
    <cellStyle name="Percent 3 3 3" xfId="12018" xr:uid="{00000000-0005-0000-0000-00008A2E0000}"/>
    <cellStyle name="Percent 3 3 3 2" xfId="12019" xr:uid="{00000000-0005-0000-0000-00008B2E0000}"/>
    <cellStyle name="Percent 3 3 3 2 2" xfId="12020" xr:uid="{00000000-0005-0000-0000-00008C2E0000}"/>
    <cellStyle name="Percent 3 3 3 2 2 2" xfId="12021" xr:uid="{00000000-0005-0000-0000-00008D2E0000}"/>
    <cellStyle name="Percent 3 3 3 2 3" xfId="12022" xr:uid="{00000000-0005-0000-0000-00008E2E0000}"/>
    <cellStyle name="Percent 3 3 3 3" xfId="12023" xr:uid="{00000000-0005-0000-0000-00008F2E0000}"/>
    <cellStyle name="Percent 3 3 3 3 2" xfId="12024" xr:uid="{00000000-0005-0000-0000-0000902E0000}"/>
    <cellStyle name="Percent 3 3 3 4" xfId="12025" xr:uid="{00000000-0005-0000-0000-0000912E0000}"/>
    <cellStyle name="Percent 3 3 4" xfId="12026" xr:uid="{00000000-0005-0000-0000-0000922E0000}"/>
    <cellStyle name="Percent 3 3 4 2" xfId="12027" xr:uid="{00000000-0005-0000-0000-0000932E0000}"/>
    <cellStyle name="Percent 3 3 4 2 2" xfId="12028" xr:uid="{00000000-0005-0000-0000-0000942E0000}"/>
    <cellStyle name="Percent 3 3 4 3" xfId="12029" xr:uid="{00000000-0005-0000-0000-0000952E0000}"/>
    <cellStyle name="Percent 3 3 5" xfId="12030" xr:uid="{00000000-0005-0000-0000-0000962E0000}"/>
    <cellStyle name="Percent 3 3 5 2" xfId="12031" xr:uid="{00000000-0005-0000-0000-0000972E0000}"/>
    <cellStyle name="Percent 3 3 6" xfId="12032" xr:uid="{00000000-0005-0000-0000-0000982E0000}"/>
    <cellStyle name="Percent 3 3 7" xfId="12033" xr:uid="{00000000-0005-0000-0000-0000992E0000}"/>
    <cellStyle name="Percent 3 4" xfId="12034" xr:uid="{00000000-0005-0000-0000-00009A2E0000}"/>
    <cellStyle name="Percent 3 4 2" xfId="12035" xr:uid="{00000000-0005-0000-0000-00009B2E0000}"/>
    <cellStyle name="Percent 3 4 2 2" xfId="12036" xr:uid="{00000000-0005-0000-0000-00009C2E0000}"/>
    <cellStyle name="Percent 3 4 2 2 2" xfId="12037" xr:uid="{00000000-0005-0000-0000-00009D2E0000}"/>
    <cellStyle name="Percent 3 4 2 2 2 2" xfId="12038" xr:uid="{00000000-0005-0000-0000-00009E2E0000}"/>
    <cellStyle name="Percent 3 4 2 2 3" xfId="12039" xr:uid="{00000000-0005-0000-0000-00009F2E0000}"/>
    <cellStyle name="Percent 3 4 2 3" xfId="12040" xr:uid="{00000000-0005-0000-0000-0000A02E0000}"/>
    <cellStyle name="Percent 3 4 2 3 2" xfId="12041" xr:uid="{00000000-0005-0000-0000-0000A12E0000}"/>
    <cellStyle name="Percent 3 4 2 4" xfId="12042" xr:uid="{00000000-0005-0000-0000-0000A22E0000}"/>
    <cellStyle name="Percent 3 4 2 5" xfId="12043" xr:uid="{00000000-0005-0000-0000-0000A32E0000}"/>
    <cellStyle name="Percent 3 4 3" xfId="12044" xr:uid="{00000000-0005-0000-0000-0000A42E0000}"/>
    <cellStyle name="Percent 3 4 3 2" xfId="12045" xr:uid="{00000000-0005-0000-0000-0000A52E0000}"/>
    <cellStyle name="Percent 3 4 3 2 2" xfId="12046" xr:uid="{00000000-0005-0000-0000-0000A62E0000}"/>
    <cellStyle name="Percent 3 4 3 3" xfId="12047" xr:uid="{00000000-0005-0000-0000-0000A72E0000}"/>
    <cellStyle name="Percent 3 4 4" xfId="12048" xr:uid="{00000000-0005-0000-0000-0000A82E0000}"/>
    <cellStyle name="Percent 3 4 4 2" xfId="12049" xr:uid="{00000000-0005-0000-0000-0000A92E0000}"/>
    <cellStyle name="Percent 3 4 5" xfId="12050" xr:uid="{00000000-0005-0000-0000-0000AA2E0000}"/>
    <cellStyle name="Percent 3 4 6" xfId="12051" xr:uid="{00000000-0005-0000-0000-0000AB2E0000}"/>
    <cellStyle name="Percent 3 5" xfId="12052" xr:uid="{00000000-0005-0000-0000-0000AC2E0000}"/>
    <cellStyle name="Percent 3 5 2" xfId="12053" xr:uid="{00000000-0005-0000-0000-0000AD2E0000}"/>
    <cellStyle name="Percent 3 5 2 2" xfId="12054" xr:uid="{00000000-0005-0000-0000-0000AE2E0000}"/>
    <cellStyle name="Percent 3 5 2 2 2" xfId="12055" xr:uid="{00000000-0005-0000-0000-0000AF2E0000}"/>
    <cellStyle name="Percent 3 5 2 2 2 2" xfId="12056" xr:uid="{00000000-0005-0000-0000-0000B02E0000}"/>
    <cellStyle name="Percent 3 5 2 2 3" xfId="12057" xr:uid="{00000000-0005-0000-0000-0000B12E0000}"/>
    <cellStyle name="Percent 3 5 2 3" xfId="12058" xr:uid="{00000000-0005-0000-0000-0000B22E0000}"/>
    <cellStyle name="Percent 3 5 2 3 2" xfId="12059" xr:uid="{00000000-0005-0000-0000-0000B32E0000}"/>
    <cellStyle name="Percent 3 5 2 4" xfId="12060" xr:uid="{00000000-0005-0000-0000-0000B42E0000}"/>
    <cellStyle name="Percent 3 5 3" xfId="12061" xr:uid="{00000000-0005-0000-0000-0000B52E0000}"/>
    <cellStyle name="Percent 3 5 3 2" xfId="12062" xr:uid="{00000000-0005-0000-0000-0000B62E0000}"/>
    <cellStyle name="Percent 3 5 3 2 2" xfId="12063" xr:uid="{00000000-0005-0000-0000-0000B72E0000}"/>
    <cellStyle name="Percent 3 5 3 3" xfId="12064" xr:uid="{00000000-0005-0000-0000-0000B82E0000}"/>
    <cellStyle name="Percent 3 5 4" xfId="12065" xr:uid="{00000000-0005-0000-0000-0000B92E0000}"/>
    <cellStyle name="Percent 3 5 4 2" xfId="12066" xr:uid="{00000000-0005-0000-0000-0000BA2E0000}"/>
    <cellStyle name="Percent 3 5 5" xfId="12067" xr:uid="{00000000-0005-0000-0000-0000BB2E0000}"/>
    <cellStyle name="Percent 3 5 6" xfId="12068" xr:uid="{00000000-0005-0000-0000-0000BC2E0000}"/>
    <cellStyle name="Percent 3 6" xfId="12069" xr:uid="{00000000-0005-0000-0000-0000BD2E0000}"/>
    <cellStyle name="Percent 3 6 2" xfId="12070" xr:uid="{00000000-0005-0000-0000-0000BE2E0000}"/>
    <cellStyle name="Percent 3 6 2 2" xfId="12071" xr:uid="{00000000-0005-0000-0000-0000BF2E0000}"/>
    <cellStyle name="Percent 3 6 2 2 2" xfId="12072" xr:uid="{00000000-0005-0000-0000-0000C02E0000}"/>
    <cellStyle name="Percent 3 6 2 3" xfId="12073" xr:uid="{00000000-0005-0000-0000-0000C12E0000}"/>
    <cellStyle name="Percent 3 6 3" xfId="12074" xr:uid="{00000000-0005-0000-0000-0000C22E0000}"/>
    <cellStyle name="Percent 3 6 3 2" xfId="12075" xr:uid="{00000000-0005-0000-0000-0000C32E0000}"/>
    <cellStyle name="Percent 3 6 4" xfId="12076" xr:uid="{00000000-0005-0000-0000-0000C42E0000}"/>
    <cellStyle name="Percent 3 7" xfId="12077" xr:uid="{00000000-0005-0000-0000-0000C52E0000}"/>
    <cellStyle name="Percent 3 7 2" xfId="12078" xr:uid="{00000000-0005-0000-0000-0000C62E0000}"/>
    <cellStyle name="Percent 3 7 2 2" xfId="12079" xr:uid="{00000000-0005-0000-0000-0000C72E0000}"/>
    <cellStyle name="Percent 3 7 3" xfId="12080" xr:uid="{00000000-0005-0000-0000-0000C82E0000}"/>
    <cellStyle name="Percent 3 8" xfId="12081" xr:uid="{00000000-0005-0000-0000-0000C92E0000}"/>
    <cellStyle name="Percent 3 8 2" xfId="12082" xr:uid="{00000000-0005-0000-0000-0000CA2E0000}"/>
    <cellStyle name="Percent 3 9" xfId="12083" xr:uid="{00000000-0005-0000-0000-0000CB2E0000}"/>
    <cellStyle name="Percent 4" xfId="12084" xr:uid="{00000000-0005-0000-0000-0000CC2E0000}"/>
    <cellStyle name="Percent 4 2" xfId="12085" xr:uid="{00000000-0005-0000-0000-0000CD2E0000}"/>
    <cellStyle name="Percent 4 2 2" xfId="12086" xr:uid="{00000000-0005-0000-0000-0000CE2E0000}"/>
    <cellStyle name="Percent 4 2 2 2" xfId="12087" xr:uid="{00000000-0005-0000-0000-0000CF2E0000}"/>
    <cellStyle name="Percent 4 2 2 2 2" xfId="12088" xr:uid="{00000000-0005-0000-0000-0000D02E0000}"/>
    <cellStyle name="Percent 4 2 2 2 2 2" xfId="12089" xr:uid="{00000000-0005-0000-0000-0000D12E0000}"/>
    <cellStyle name="Percent 4 2 2 2 3" xfId="12090" xr:uid="{00000000-0005-0000-0000-0000D22E0000}"/>
    <cellStyle name="Percent 4 2 2 2 4" xfId="12091" xr:uid="{00000000-0005-0000-0000-0000D32E0000}"/>
    <cellStyle name="Percent 4 2 2 3" xfId="12092" xr:uid="{00000000-0005-0000-0000-0000D42E0000}"/>
    <cellStyle name="Percent 4 2 2 3 2" xfId="12093" xr:uid="{00000000-0005-0000-0000-0000D52E0000}"/>
    <cellStyle name="Percent 4 2 2 4" xfId="12094" xr:uid="{00000000-0005-0000-0000-0000D62E0000}"/>
    <cellStyle name="Percent 4 2 2 5" xfId="12095" xr:uid="{00000000-0005-0000-0000-0000D72E0000}"/>
    <cellStyle name="Percent 4 2 3" xfId="12096" xr:uid="{00000000-0005-0000-0000-0000D82E0000}"/>
    <cellStyle name="Percent 4 2 3 2" xfId="12097" xr:uid="{00000000-0005-0000-0000-0000D92E0000}"/>
    <cellStyle name="Percent 4 2 3 2 2" xfId="12098" xr:uid="{00000000-0005-0000-0000-0000DA2E0000}"/>
    <cellStyle name="Percent 4 2 3 3" xfId="12099" xr:uid="{00000000-0005-0000-0000-0000DB2E0000}"/>
    <cellStyle name="Percent 4 2 3 4" xfId="12100" xr:uid="{00000000-0005-0000-0000-0000DC2E0000}"/>
    <cellStyle name="Percent 4 2 4" xfId="12101" xr:uid="{00000000-0005-0000-0000-0000DD2E0000}"/>
    <cellStyle name="Percent 4 2 4 2" xfId="12102" xr:uid="{00000000-0005-0000-0000-0000DE2E0000}"/>
    <cellStyle name="Percent 4 2 5" xfId="12103" xr:uid="{00000000-0005-0000-0000-0000DF2E0000}"/>
    <cellStyle name="Percent 4 2 6" xfId="12104" xr:uid="{00000000-0005-0000-0000-0000E02E0000}"/>
    <cellStyle name="Percent 4 3" xfId="12105" xr:uid="{00000000-0005-0000-0000-0000E12E0000}"/>
    <cellStyle name="Percent 4 3 2" xfId="12106" xr:uid="{00000000-0005-0000-0000-0000E22E0000}"/>
    <cellStyle name="Percent 4 3 2 2" xfId="12107" xr:uid="{00000000-0005-0000-0000-0000E32E0000}"/>
    <cellStyle name="Percent 4 3 2 2 2" xfId="12108" xr:uid="{00000000-0005-0000-0000-0000E42E0000}"/>
    <cellStyle name="Percent 4 3 2 3" xfId="12109" xr:uid="{00000000-0005-0000-0000-0000E52E0000}"/>
    <cellStyle name="Percent 4 3 3" xfId="12110" xr:uid="{00000000-0005-0000-0000-0000E62E0000}"/>
    <cellStyle name="Percent 4 3 3 2" xfId="12111" xr:uid="{00000000-0005-0000-0000-0000E72E0000}"/>
    <cellStyle name="Percent 4 3 4" xfId="12112" xr:uid="{00000000-0005-0000-0000-0000E82E0000}"/>
    <cellStyle name="Percent 4 3 5" xfId="12113" xr:uid="{00000000-0005-0000-0000-0000E92E0000}"/>
    <cellStyle name="Percent 4 4" xfId="12114" xr:uid="{00000000-0005-0000-0000-0000EA2E0000}"/>
    <cellStyle name="Percent 4 4 2" xfId="12115" xr:uid="{00000000-0005-0000-0000-0000EB2E0000}"/>
    <cellStyle name="Percent 4 4 2 2" xfId="12116" xr:uid="{00000000-0005-0000-0000-0000EC2E0000}"/>
    <cellStyle name="Percent 4 4 3" xfId="12117" xr:uid="{00000000-0005-0000-0000-0000ED2E0000}"/>
    <cellStyle name="Percent 4 5" xfId="12118" xr:uid="{00000000-0005-0000-0000-0000EE2E0000}"/>
    <cellStyle name="Percent 4 5 2" xfId="12119" xr:uid="{00000000-0005-0000-0000-0000EF2E0000}"/>
    <cellStyle name="Percent 4 6" xfId="12120" xr:uid="{00000000-0005-0000-0000-0000F02E0000}"/>
    <cellStyle name="Percent 4 7" xfId="12121" xr:uid="{00000000-0005-0000-0000-0000F12E0000}"/>
    <cellStyle name="Percent 4 8" xfId="12122" xr:uid="{00000000-0005-0000-0000-0000F22E0000}"/>
    <cellStyle name="Percent 5" xfId="12123" xr:uid="{00000000-0005-0000-0000-0000F32E0000}"/>
    <cellStyle name="Percent 5 2" xfId="12124" xr:uid="{00000000-0005-0000-0000-0000F42E0000}"/>
    <cellStyle name="Percent 5 2 2" xfId="12125" xr:uid="{00000000-0005-0000-0000-0000F52E0000}"/>
    <cellStyle name="Percent 5 3" xfId="12126" xr:uid="{00000000-0005-0000-0000-0000F62E0000}"/>
    <cellStyle name="Percent 6" xfId="12127" xr:uid="{00000000-0005-0000-0000-0000F72E0000}"/>
    <cellStyle name="Percent 6 2" xfId="12128" xr:uid="{00000000-0005-0000-0000-0000F82E0000}"/>
    <cellStyle name="Percent 6 3" xfId="12129" xr:uid="{00000000-0005-0000-0000-0000F92E0000}"/>
    <cellStyle name="Percent 7" xfId="12130" xr:uid="{00000000-0005-0000-0000-0000FA2E0000}"/>
    <cellStyle name="Percent 7 2" xfId="12131" xr:uid="{00000000-0005-0000-0000-0000FB2E0000}"/>
    <cellStyle name="Percent 7 2 2" xfId="12132" xr:uid="{00000000-0005-0000-0000-0000FC2E0000}"/>
    <cellStyle name="Percent 7 2 2 2" xfId="12133" xr:uid="{00000000-0005-0000-0000-0000FD2E0000}"/>
    <cellStyle name="Percent 7 2 2 3" xfId="12134" xr:uid="{00000000-0005-0000-0000-0000FE2E0000}"/>
    <cellStyle name="Percent 7 2 3" xfId="12135" xr:uid="{00000000-0005-0000-0000-0000FF2E0000}"/>
    <cellStyle name="Percent 7 2 4" xfId="12136" xr:uid="{00000000-0005-0000-0000-0000002F0000}"/>
    <cellStyle name="Percent 7 3" xfId="12137" xr:uid="{00000000-0005-0000-0000-0000012F0000}"/>
    <cellStyle name="Percent 7 3 2" xfId="12138" xr:uid="{00000000-0005-0000-0000-0000022F0000}"/>
    <cellStyle name="Percent 7 3 3" xfId="12139" xr:uid="{00000000-0005-0000-0000-0000032F0000}"/>
    <cellStyle name="Percent 7 4" xfId="12140" xr:uid="{00000000-0005-0000-0000-0000042F0000}"/>
    <cellStyle name="Percent 7 5" xfId="12141" xr:uid="{00000000-0005-0000-0000-0000052F0000}"/>
    <cellStyle name="Percent 7 6" xfId="12142" xr:uid="{00000000-0005-0000-0000-0000062F0000}"/>
    <cellStyle name="Percent 8" xfId="12143" xr:uid="{00000000-0005-0000-0000-0000072F0000}"/>
    <cellStyle name="Percent 8 2" xfId="12144" xr:uid="{00000000-0005-0000-0000-0000082F0000}"/>
    <cellStyle name="Percent 8 2 2" xfId="12145" xr:uid="{00000000-0005-0000-0000-0000092F0000}"/>
    <cellStyle name="Percent 8 2 2 2" xfId="12146" xr:uid="{00000000-0005-0000-0000-00000A2F0000}"/>
    <cellStyle name="Percent 8 2 3" xfId="12147" xr:uid="{00000000-0005-0000-0000-00000B2F0000}"/>
    <cellStyle name="Percent 8 3" xfId="12148" xr:uid="{00000000-0005-0000-0000-00000C2F0000}"/>
    <cellStyle name="Percent 8 3 2" xfId="12149" xr:uid="{00000000-0005-0000-0000-00000D2F0000}"/>
    <cellStyle name="Percent 8 4" xfId="12150" xr:uid="{00000000-0005-0000-0000-00000E2F0000}"/>
    <cellStyle name="Percent 8 5" xfId="12151" xr:uid="{00000000-0005-0000-0000-00000F2F0000}"/>
    <cellStyle name="Percent 8 6" xfId="12152" xr:uid="{00000000-0005-0000-0000-0000102F0000}"/>
    <cellStyle name="Percent 9" xfId="12153" xr:uid="{00000000-0005-0000-0000-0000112F0000}"/>
    <cellStyle name="Percent 9 2" xfId="12154" xr:uid="{00000000-0005-0000-0000-0000122F0000}"/>
    <cellStyle name="Percent 9 2 2" xfId="12155" xr:uid="{00000000-0005-0000-0000-0000132F0000}"/>
    <cellStyle name="Percent 9 2 3" xfId="12156" xr:uid="{00000000-0005-0000-0000-0000142F0000}"/>
    <cellStyle name="Percent 9 3" xfId="12157" xr:uid="{00000000-0005-0000-0000-0000152F0000}"/>
    <cellStyle name="Percent 9 3 2" xfId="12158" xr:uid="{00000000-0005-0000-0000-0000162F0000}"/>
    <cellStyle name="Percent 9 4" xfId="12159" xr:uid="{00000000-0005-0000-0000-0000172F0000}"/>
    <cellStyle name="Percent 9 5" xfId="12160" xr:uid="{00000000-0005-0000-0000-0000182F0000}"/>
    <cellStyle name="Percent 9 6" xfId="12161" xr:uid="{00000000-0005-0000-0000-0000192F0000}"/>
    <cellStyle name="Project Overview Data Entry" xfId="12162" xr:uid="{00000000-0005-0000-0000-00001A2F0000}"/>
    <cellStyle name="Project Overview Data Entry 2" xfId="12163" xr:uid="{00000000-0005-0000-0000-00001B2F0000}"/>
    <cellStyle name="PSChar" xfId="12164" xr:uid="{00000000-0005-0000-0000-00001C2F0000}"/>
    <cellStyle name="PSDate" xfId="12165" xr:uid="{00000000-0005-0000-0000-00001D2F0000}"/>
    <cellStyle name="PSDec" xfId="12166" xr:uid="{00000000-0005-0000-0000-00001E2F0000}"/>
    <cellStyle name="PSHeading" xfId="12167" xr:uid="{00000000-0005-0000-0000-00001F2F0000}"/>
    <cellStyle name="PSInt" xfId="12168" xr:uid="{00000000-0005-0000-0000-0000202F0000}"/>
    <cellStyle name="PSSpacer" xfId="12169" xr:uid="{00000000-0005-0000-0000-0000212F0000}"/>
    <cellStyle name="ReportTitlePrompt" xfId="31" xr:uid="{00000000-0005-0000-0000-0000222F0000}"/>
    <cellStyle name="ReportTitlePrompt 2" xfId="12171" xr:uid="{00000000-0005-0000-0000-0000232F0000}"/>
    <cellStyle name="ReportTitlePrompt 2 2" xfId="12172" xr:uid="{00000000-0005-0000-0000-0000242F0000}"/>
    <cellStyle name="ReportTitlePrompt 2 3" xfId="12173" xr:uid="{00000000-0005-0000-0000-0000252F0000}"/>
    <cellStyle name="ReportTitlePrompt 3" xfId="12174" xr:uid="{00000000-0005-0000-0000-0000262F0000}"/>
    <cellStyle name="ReportTitlePrompt 4" xfId="12175" xr:uid="{00000000-0005-0000-0000-0000272F0000}"/>
    <cellStyle name="ReportTitlePrompt 5" xfId="12170" xr:uid="{00000000-0005-0000-0000-0000282F0000}"/>
    <cellStyle name="ReportTitleValue" xfId="32" xr:uid="{00000000-0005-0000-0000-0000292F0000}"/>
    <cellStyle name="ReportTitleValue 2" xfId="12176" xr:uid="{00000000-0005-0000-0000-00002A2F0000}"/>
    <cellStyle name="ReportTitleValue 2 2" xfId="12177" xr:uid="{00000000-0005-0000-0000-00002B2F0000}"/>
    <cellStyle name="Reset  - Style4" xfId="12178" xr:uid="{00000000-0005-0000-0000-00002C2F0000}"/>
    <cellStyle name="RowAcctAbovePrompt" xfId="33" xr:uid="{00000000-0005-0000-0000-00002D2F0000}"/>
    <cellStyle name="RowAcctAbovePrompt 2" xfId="12180" xr:uid="{00000000-0005-0000-0000-00002E2F0000}"/>
    <cellStyle name="RowAcctAbovePrompt 2 2" xfId="12181" xr:uid="{00000000-0005-0000-0000-00002F2F0000}"/>
    <cellStyle name="RowAcctAbovePrompt 2 3" xfId="12182" xr:uid="{00000000-0005-0000-0000-0000302F0000}"/>
    <cellStyle name="RowAcctAbovePrompt 3" xfId="12183" xr:uid="{00000000-0005-0000-0000-0000312F0000}"/>
    <cellStyle name="RowAcctAbovePrompt 4" xfId="12179" xr:uid="{00000000-0005-0000-0000-0000322F0000}"/>
    <cellStyle name="RowAcctSOBAbovePrompt" xfId="34" xr:uid="{00000000-0005-0000-0000-0000332F0000}"/>
    <cellStyle name="RowAcctSOBAbovePrompt 2" xfId="12185" xr:uid="{00000000-0005-0000-0000-0000342F0000}"/>
    <cellStyle name="RowAcctSOBAbovePrompt 2 2" xfId="12186" xr:uid="{00000000-0005-0000-0000-0000352F0000}"/>
    <cellStyle name="RowAcctSOBAbovePrompt 2 3" xfId="12187" xr:uid="{00000000-0005-0000-0000-0000362F0000}"/>
    <cellStyle name="RowAcctSOBAbovePrompt 3" xfId="12188" xr:uid="{00000000-0005-0000-0000-0000372F0000}"/>
    <cellStyle name="RowAcctSOBAbovePrompt 4" xfId="12184" xr:uid="{00000000-0005-0000-0000-0000382F0000}"/>
    <cellStyle name="RowAcctSOBValue" xfId="35" xr:uid="{00000000-0005-0000-0000-0000392F0000}"/>
    <cellStyle name="RowAcctSOBValue 2" xfId="12190" xr:uid="{00000000-0005-0000-0000-00003A2F0000}"/>
    <cellStyle name="RowAcctSOBValue 2 2" xfId="12191" xr:uid="{00000000-0005-0000-0000-00003B2F0000}"/>
    <cellStyle name="RowAcctSOBValue 2 3" xfId="12192" xr:uid="{00000000-0005-0000-0000-00003C2F0000}"/>
    <cellStyle name="RowAcctSOBValue 3" xfId="12193" xr:uid="{00000000-0005-0000-0000-00003D2F0000}"/>
    <cellStyle name="RowAcctSOBValue 4" xfId="12189" xr:uid="{00000000-0005-0000-0000-00003E2F0000}"/>
    <cellStyle name="RowAcctValue" xfId="36" xr:uid="{00000000-0005-0000-0000-00003F2F0000}"/>
    <cellStyle name="RowAcctValue 2" xfId="12194" xr:uid="{00000000-0005-0000-0000-0000402F0000}"/>
    <cellStyle name="RowAcctValue 2 2" xfId="12195" xr:uid="{00000000-0005-0000-0000-0000412F0000}"/>
    <cellStyle name="RowAttrAbovePrompt" xfId="37" xr:uid="{00000000-0005-0000-0000-0000422F0000}"/>
    <cellStyle name="RowAttrAbovePrompt 2" xfId="12197" xr:uid="{00000000-0005-0000-0000-0000432F0000}"/>
    <cellStyle name="RowAttrAbovePrompt 2 2" xfId="12198" xr:uid="{00000000-0005-0000-0000-0000442F0000}"/>
    <cellStyle name="RowAttrAbovePrompt 2 3" xfId="12199" xr:uid="{00000000-0005-0000-0000-0000452F0000}"/>
    <cellStyle name="RowAttrAbovePrompt 3" xfId="12200" xr:uid="{00000000-0005-0000-0000-0000462F0000}"/>
    <cellStyle name="RowAttrAbovePrompt 4" xfId="12196" xr:uid="{00000000-0005-0000-0000-0000472F0000}"/>
    <cellStyle name="RowAttrValue" xfId="38" xr:uid="{00000000-0005-0000-0000-0000482F0000}"/>
    <cellStyle name="RowAttrValue 2" xfId="12201" xr:uid="{00000000-0005-0000-0000-0000492F0000}"/>
    <cellStyle name="RowAttrValue 2 2" xfId="12202" xr:uid="{00000000-0005-0000-0000-00004A2F0000}"/>
    <cellStyle name="RowColSetAbovePrompt" xfId="39" xr:uid="{00000000-0005-0000-0000-00004B2F0000}"/>
    <cellStyle name="RowColSetAbovePrompt 2" xfId="12204" xr:uid="{00000000-0005-0000-0000-00004C2F0000}"/>
    <cellStyle name="RowColSetAbovePrompt 2 2" xfId="12205" xr:uid="{00000000-0005-0000-0000-00004D2F0000}"/>
    <cellStyle name="RowColSetAbovePrompt 2 3" xfId="12206" xr:uid="{00000000-0005-0000-0000-00004E2F0000}"/>
    <cellStyle name="RowColSetAbovePrompt 3" xfId="12207" xr:uid="{00000000-0005-0000-0000-00004F2F0000}"/>
    <cellStyle name="RowColSetAbovePrompt 4" xfId="12203" xr:uid="{00000000-0005-0000-0000-0000502F0000}"/>
    <cellStyle name="RowColSetLeftPrompt" xfId="40" xr:uid="{00000000-0005-0000-0000-0000512F0000}"/>
    <cellStyle name="RowColSetLeftPrompt 2" xfId="12209" xr:uid="{00000000-0005-0000-0000-0000522F0000}"/>
    <cellStyle name="RowColSetLeftPrompt 2 2" xfId="12210" xr:uid="{00000000-0005-0000-0000-0000532F0000}"/>
    <cellStyle name="RowColSetLeftPrompt 2 3" xfId="12211" xr:uid="{00000000-0005-0000-0000-0000542F0000}"/>
    <cellStyle name="RowColSetLeftPrompt 3" xfId="12212" xr:uid="{00000000-0005-0000-0000-0000552F0000}"/>
    <cellStyle name="RowColSetLeftPrompt 4" xfId="12208" xr:uid="{00000000-0005-0000-0000-0000562F0000}"/>
    <cellStyle name="RowColSetValue" xfId="41" xr:uid="{00000000-0005-0000-0000-0000572F0000}"/>
    <cellStyle name="RowColSetValue 2" xfId="12213" xr:uid="{00000000-0005-0000-0000-0000582F0000}"/>
    <cellStyle name="RowColSetValue 2 2" xfId="12214" xr:uid="{00000000-0005-0000-0000-0000592F0000}"/>
    <cellStyle name="RowColSetValue 3" xfId="12215" xr:uid="{00000000-0005-0000-0000-00005A2F0000}"/>
    <cellStyle name="RowLeftPrompt" xfId="42" xr:uid="{00000000-0005-0000-0000-00005B2F0000}"/>
    <cellStyle name="RowLeftPrompt 2" xfId="12217" xr:uid="{00000000-0005-0000-0000-00005C2F0000}"/>
    <cellStyle name="RowLeftPrompt 2 2" xfId="12218" xr:uid="{00000000-0005-0000-0000-00005D2F0000}"/>
    <cellStyle name="RowLeftPrompt 2 3" xfId="12219" xr:uid="{00000000-0005-0000-0000-00005E2F0000}"/>
    <cellStyle name="RowLeftPrompt 3" xfId="12220" xr:uid="{00000000-0005-0000-0000-00005F2F0000}"/>
    <cellStyle name="RowLeftPrompt 4" xfId="12216" xr:uid="{00000000-0005-0000-0000-0000602F0000}"/>
    <cellStyle name="SampleUsingFormatMask" xfId="43" xr:uid="{00000000-0005-0000-0000-0000612F0000}"/>
    <cellStyle name="SampleUsingFormatMask 2" xfId="12222" xr:uid="{00000000-0005-0000-0000-0000622F0000}"/>
    <cellStyle name="SampleUsingFormatMask 2 2" xfId="12223" xr:uid="{00000000-0005-0000-0000-0000632F0000}"/>
    <cellStyle name="SampleUsingFormatMask 2 3" xfId="12224" xr:uid="{00000000-0005-0000-0000-0000642F0000}"/>
    <cellStyle name="SampleUsingFormatMask 3" xfId="12225" xr:uid="{00000000-0005-0000-0000-0000652F0000}"/>
    <cellStyle name="SampleUsingFormatMask 4" xfId="12221" xr:uid="{00000000-0005-0000-0000-0000662F0000}"/>
    <cellStyle name="SampleWithNoFormatMask" xfId="44" xr:uid="{00000000-0005-0000-0000-0000672F0000}"/>
    <cellStyle name="SampleWithNoFormatMask 2" xfId="12227" xr:uid="{00000000-0005-0000-0000-0000682F0000}"/>
    <cellStyle name="SampleWithNoFormatMask 2 2" xfId="12228" xr:uid="{00000000-0005-0000-0000-0000692F0000}"/>
    <cellStyle name="SampleWithNoFormatMask 2 3" xfId="12229" xr:uid="{00000000-0005-0000-0000-00006A2F0000}"/>
    <cellStyle name="SampleWithNoFormatMask 3" xfId="12230" xr:uid="{00000000-0005-0000-0000-00006B2F0000}"/>
    <cellStyle name="SampleWithNoFormatMask 4" xfId="12226" xr:uid="{00000000-0005-0000-0000-00006C2F0000}"/>
    <cellStyle name="SAPBEXaggData" xfId="12231" xr:uid="{00000000-0005-0000-0000-00006D2F0000}"/>
    <cellStyle name="SAPBEXaggData 10" xfId="12232" xr:uid="{00000000-0005-0000-0000-00006E2F0000}"/>
    <cellStyle name="SAPBEXaggData 10 2" xfId="12233" xr:uid="{00000000-0005-0000-0000-00006F2F0000}"/>
    <cellStyle name="SAPBEXaggData 11" xfId="12234" xr:uid="{00000000-0005-0000-0000-0000702F0000}"/>
    <cellStyle name="SAPBEXaggData 11 2" xfId="12235" xr:uid="{00000000-0005-0000-0000-0000712F0000}"/>
    <cellStyle name="SAPBEXaggData 12" xfId="12236" xr:uid="{00000000-0005-0000-0000-0000722F0000}"/>
    <cellStyle name="SAPBEXaggData 2" xfId="12237" xr:uid="{00000000-0005-0000-0000-0000732F0000}"/>
    <cellStyle name="SAPBEXaggData 2 10" xfId="12238" xr:uid="{00000000-0005-0000-0000-0000742F0000}"/>
    <cellStyle name="SAPBEXaggData 2 10 2" xfId="12239" xr:uid="{00000000-0005-0000-0000-0000752F0000}"/>
    <cellStyle name="SAPBEXaggData 2 11" xfId="12240" xr:uid="{00000000-0005-0000-0000-0000762F0000}"/>
    <cellStyle name="SAPBEXaggData 2 2" xfId="12241" xr:uid="{00000000-0005-0000-0000-0000772F0000}"/>
    <cellStyle name="SAPBEXaggData 2 2 2" xfId="12242" xr:uid="{00000000-0005-0000-0000-0000782F0000}"/>
    <cellStyle name="SAPBEXaggData 2 3" xfId="12243" xr:uid="{00000000-0005-0000-0000-0000792F0000}"/>
    <cellStyle name="SAPBEXaggData 2 3 2" xfId="12244" xr:uid="{00000000-0005-0000-0000-00007A2F0000}"/>
    <cellStyle name="SAPBEXaggData 2 4" xfId="12245" xr:uid="{00000000-0005-0000-0000-00007B2F0000}"/>
    <cellStyle name="SAPBEXaggData 2 4 2" xfId="12246" xr:uid="{00000000-0005-0000-0000-00007C2F0000}"/>
    <cellStyle name="SAPBEXaggData 2 5" xfId="12247" xr:uid="{00000000-0005-0000-0000-00007D2F0000}"/>
    <cellStyle name="SAPBEXaggData 2 5 2" xfId="12248" xr:uid="{00000000-0005-0000-0000-00007E2F0000}"/>
    <cellStyle name="SAPBEXaggData 2 6" xfId="12249" xr:uid="{00000000-0005-0000-0000-00007F2F0000}"/>
    <cellStyle name="SAPBEXaggData 2 6 2" xfId="12250" xr:uid="{00000000-0005-0000-0000-0000802F0000}"/>
    <cellStyle name="SAPBEXaggData 2 7" xfId="12251" xr:uid="{00000000-0005-0000-0000-0000812F0000}"/>
    <cellStyle name="SAPBEXaggData 2 7 2" xfId="12252" xr:uid="{00000000-0005-0000-0000-0000822F0000}"/>
    <cellStyle name="SAPBEXaggData 2 8" xfId="12253" xr:uid="{00000000-0005-0000-0000-0000832F0000}"/>
    <cellStyle name="SAPBEXaggData 2 8 2" xfId="12254" xr:uid="{00000000-0005-0000-0000-0000842F0000}"/>
    <cellStyle name="SAPBEXaggData 2 9" xfId="12255" xr:uid="{00000000-0005-0000-0000-0000852F0000}"/>
    <cellStyle name="SAPBEXaggData 2 9 2" xfId="12256" xr:uid="{00000000-0005-0000-0000-0000862F0000}"/>
    <cellStyle name="SAPBEXaggData 3" xfId="12257" xr:uid="{00000000-0005-0000-0000-0000872F0000}"/>
    <cellStyle name="SAPBEXaggData 3 2" xfId="12258" xr:uid="{00000000-0005-0000-0000-0000882F0000}"/>
    <cellStyle name="SAPBEXaggData 4" xfId="12259" xr:uid="{00000000-0005-0000-0000-0000892F0000}"/>
    <cellStyle name="SAPBEXaggData 4 2" xfId="12260" xr:uid="{00000000-0005-0000-0000-00008A2F0000}"/>
    <cellStyle name="SAPBEXaggData 5" xfId="12261" xr:uid="{00000000-0005-0000-0000-00008B2F0000}"/>
    <cellStyle name="SAPBEXaggData 5 2" xfId="12262" xr:uid="{00000000-0005-0000-0000-00008C2F0000}"/>
    <cellStyle name="SAPBEXaggData 6" xfId="12263" xr:uid="{00000000-0005-0000-0000-00008D2F0000}"/>
    <cellStyle name="SAPBEXaggData 6 2" xfId="12264" xr:uid="{00000000-0005-0000-0000-00008E2F0000}"/>
    <cellStyle name="SAPBEXaggData 7" xfId="12265" xr:uid="{00000000-0005-0000-0000-00008F2F0000}"/>
    <cellStyle name="SAPBEXaggData 7 2" xfId="12266" xr:uid="{00000000-0005-0000-0000-0000902F0000}"/>
    <cellStyle name="SAPBEXaggData 8" xfId="12267" xr:uid="{00000000-0005-0000-0000-0000912F0000}"/>
    <cellStyle name="SAPBEXaggData 8 2" xfId="12268" xr:uid="{00000000-0005-0000-0000-0000922F0000}"/>
    <cellStyle name="SAPBEXaggData 9" xfId="12269" xr:uid="{00000000-0005-0000-0000-0000932F0000}"/>
    <cellStyle name="SAPBEXaggData 9 2" xfId="12270" xr:uid="{00000000-0005-0000-0000-0000942F0000}"/>
    <cellStyle name="SAPBEXaggDataEmph" xfId="12271" xr:uid="{00000000-0005-0000-0000-0000952F0000}"/>
    <cellStyle name="SAPBEXaggDataEmph 10" xfId="12272" xr:uid="{00000000-0005-0000-0000-0000962F0000}"/>
    <cellStyle name="SAPBEXaggDataEmph 10 2" xfId="12273" xr:uid="{00000000-0005-0000-0000-0000972F0000}"/>
    <cellStyle name="SAPBEXaggDataEmph 11" xfId="12274" xr:uid="{00000000-0005-0000-0000-0000982F0000}"/>
    <cellStyle name="SAPBEXaggDataEmph 2" xfId="12275" xr:uid="{00000000-0005-0000-0000-0000992F0000}"/>
    <cellStyle name="SAPBEXaggDataEmph 2 2" xfId="12276" xr:uid="{00000000-0005-0000-0000-00009A2F0000}"/>
    <cellStyle name="SAPBEXaggDataEmph 3" xfId="12277" xr:uid="{00000000-0005-0000-0000-00009B2F0000}"/>
    <cellStyle name="SAPBEXaggDataEmph 3 2" xfId="12278" xr:uid="{00000000-0005-0000-0000-00009C2F0000}"/>
    <cellStyle name="SAPBEXaggDataEmph 4" xfId="12279" xr:uid="{00000000-0005-0000-0000-00009D2F0000}"/>
    <cellStyle name="SAPBEXaggDataEmph 4 2" xfId="12280" xr:uid="{00000000-0005-0000-0000-00009E2F0000}"/>
    <cellStyle name="SAPBEXaggDataEmph 5" xfId="12281" xr:uid="{00000000-0005-0000-0000-00009F2F0000}"/>
    <cellStyle name="SAPBEXaggDataEmph 5 2" xfId="12282" xr:uid="{00000000-0005-0000-0000-0000A02F0000}"/>
    <cellStyle name="SAPBEXaggDataEmph 6" xfId="12283" xr:uid="{00000000-0005-0000-0000-0000A12F0000}"/>
    <cellStyle name="SAPBEXaggDataEmph 6 2" xfId="12284" xr:uid="{00000000-0005-0000-0000-0000A22F0000}"/>
    <cellStyle name="SAPBEXaggDataEmph 7" xfId="12285" xr:uid="{00000000-0005-0000-0000-0000A32F0000}"/>
    <cellStyle name="SAPBEXaggDataEmph 7 2" xfId="12286" xr:uid="{00000000-0005-0000-0000-0000A42F0000}"/>
    <cellStyle name="SAPBEXaggDataEmph 8" xfId="12287" xr:uid="{00000000-0005-0000-0000-0000A52F0000}"/>
    <cellStyle name="SAPBEXaggDataEmph 8 2" xfId="12288" xr:uid="{00000000-0005-0000-0000-0000A62F0000}"/>
    <cellStyle name="SAPBEXaggDataEmph 9" xfId="12289" xr:uid="{00000000-0005-0000-0000-0000A72F0000}"/>
    <cellStyle name="SAPBEXaggDataEmph 9 2" xfId="12290" xr:uid="{00000000-0005-0000-0000-0000A82F0000}"/>
    <cellStyle name="SAPBEXaggItem" xfId="12291" xr:uid="{00000000-0005-0000-0000-0000A92F0000}"/>
    <cellStyle name="SAPBEXaggItem 10" xfId="12292" xr:uid="{00000000-0005-0000-0000-0000AA2F0000}"/>
    <cellStyle name="SAPBEXaggItem 10 2" xfId="12293" xr:uid="{00000000-0005-0000-0000-0000AB2F0000}"/>
    <cellStyle name="SAPBEXaggItem 11" xfId="12294" xr:uid="{00000000-0005-0000-0000-0000AC2F0000}"/>
    <cellStyle name="SAPBEXaggItem 11 2" xfId="12295" xr:uid="{00000000-0005-0000-0000-0000AD2F0000}"/>
    <cellStyle name="SAPBEXaggItem 12" xfId="12296" xr:uid="{00000000-0005-0000-0000-0000AE2F0000}"/>
    <cellStyle name="SAPBEXaggItem 2" xfId="12297" xr:uid="{00000000-0005-0000-0000-0000AF2F0000}"/>
    <cellStyle name="SAPBEXaggItem 2 10" xfId="12298" xr:uid="{00000000-0005-0000-0000-0000B02F0000}"/>
    <cellStyle name="SAPBEXaggItem 2 10 2" xfId="12299" xr:uid="{00000000-0005-0000-0000-0000B12F0000}"/>
    <cellStyle name="SAPBEXaggItem 2 11" xfId="12300" xr:uid="{00000000-0005-0000-0000-0000B22F0000}"/>
    <cellStyle name="SAPBEXaggItem 2 2" xfId="12301" xr:uid="{00000000-0005-0000-0000-0000B32F0000}"/>
    <cellStyle name="SAPBEXaggItem 2 2 2" xfId="12302" xr:uid="{00000000-0005-0000-0000-0000B42F0000}"/>
    <cellStyle name="SAPBEXaggItem 2 3" xfId="12303" xr:uid="{00000000-0005-0000-0000-0000B52F0000}"/>
    <cellStyle name="SAPBEXaggItem 2 3 2" xfId="12304" xr:uid="{00000000-0005-0000-0000-0000B62F0000}"/>
    <cellStyle name="SAPBEXaggItem 2 4" xfId="12305" xr:uid="{00000000-0005-0000-0000-0000B72F0000}"/>
    <cellStyle name="SAPBEXaggItem 2 4 2" xfId="12306" xr:uid="{00000000-0005-0000-0000-0000B82F0000}"/>
    <cellStyle name="SAPBEXaggItem 2 5" xfId="12307" xr:uid="{00000000-0005-0000-0000-0000B92F0000}"/>
    <cellStyle name="SAPBEXaggItem 2 5 2" xfId="12308" xr:uid="{00000000-0005-0000-0000-0000BA2F0000}"/>
    <cellStyle name="SAPBEXaggItem 2 6" xfId="12309" xr:uid="{00000000-0005-0000-0000-0000BB2F0000}"/>
    <cellStyle name="SAPBEXaggItem 2 6 2" xfId="12310" xr:uid="{00000000-0005-0000-0000-0000BC2F0000}"/>
    <cellStyle name="SAPBEXaggItem 2 7" xfId="12311" xr:uid="{00000000-0005-0000-0000-0000BD2F0000}"/>
    <cellStyle name="SAPBEXaggItem 2 7 2" xfId="12312" xr:uid="{00000000-0005-0000-0000-0000BE2F0000}"/>
    <cellStyle name="SAPBEXaggItem 2 8" xfId="12313" xr:uid="{00000000-0005-0000-0000-0000BF2F0000}"/>
    <cellStyle name="SAPBEXaggItem 2 8 2" xfId="12314" xr:uid="{00000000-0005-0000-0000-0000C02F0000}"/>
    <cellStyle name="SAPBEXaggItem 2 9" xfId="12315" xr:uid="{00000000-0005-0000-0000-0000C12F0000}"/>
    <cellStyle name="SAPBEXaggItem 2 9 2" xfId="12316" xr:uid="{00000000-0005-0000-0000-0000C22F0000}"/>
    <cellStyle name="SAPBEXaggItem 3" xfId="12317" xr:uid="{00000000-0005-0000-0000-0000C32F0000}"/>
    <cellStyle name="SAPBEXaggItem 3 2" xfId="12318" xr:uid="{00000000-0005-0000-0000-0000C42F0000}"/>
    <cellStyle name="SAPBEXaggItem 4" xfId="12319" xr:uid="{00000000-0005-0000-0000-0000C52F0000}"/>
    <cellStyle name="SAPBEXaggItem 4 2" xfId="12320" xr:uid="{00000000-0005-0000-0000-0000C62F0000}"/>
    <cellStyle name="SAPBEXaggItem 5" xfId="12321" xr:uid="{00000000-0005-0000-0000-0000C72F0000}"/>
    <cellStyle name="SAPBEXaggItem 5 2" xfId="12322" xr:uid="{00000000-0005-0000-0000-0000C82F0000}"/>
    <cellStyle name="SAPBEXaggItem 6" xfId="12323" xr:uid="{00000000-0005-0000-0000-0000C92F0000}"/>
    <cellStyle name="SAPBEXaggItem 6 2" xfId="12324" xr:uid="{00000000-0005-0000-0000-0000CA2F0000}"/>
    <cellStyle name="SAPBEXaggItem 7" xfId="12325" xr:uid="{00000000-0005-0000-0000-0000CB2F0000}"/>
    <cellStyle name="SAPBEXaggItem 7 2" xfId="12326" xr:uid="{00000000-0005-0000-0000-0000CC2F0000}"/>
    <cellStyle name="SAPBEXaggItem 8" xfId="12327" xr:uid="{00000000-0005-0000-0000-0000CD2F0000}"/>
    <cellStyle name="SAPBEXaggItem 8 2" xfId="12328" xr:uid="{00000000-0005-0000-0000-0000CE2F0000}"/>
    <cellStyle name="SAPBEXaggItem 9" xfId="12329" xr:uid="{00000000-0005-0000-0000-0000CF2F0000}"/>
    <cellStyle name="SAPBEXaggItem 9 2" xfId="12330" xr:uid="{00000000-0005-0000-0000-0000D02F0000}"/>
    <cellStyle name="SAPBEXaggItemX" xfId="12331" xr:uid="{00000000-0005-0000-0000-0000D12F0000}"/>
    <cellStyle name="SAPBEXaggItemX 10" xfId="12332" xr:uid="{00000000-0005-0000-0000-0000D22F0000}"/>
    <cellStyle name="SAPBEXaggItemX 10 2" xfId="12333" xr:uid="{00000000-0005-0000-0000-0000D32F0000}"/>
    <cellStyle name="SAPBEXaggItemX 11" xfId="12334" xr:uid="{00000000-0005-0000-0000-0000D42F0000}"/>
    <cellStyle name="SAPBEXaggItemX 11 2" xfId="12335" xr:uid="{00000000-0005-0000-0000-0000D52F0000}"/>
    <cellStyle name="SAPBEXaggItemX 12" xfId="12336" xr:uid="{00000000-0005-0000-0000-0000D62F0000}"/>
    <cellStyle name="SAPBEXaggItemX 2" xfId="12337" xr:uid="{00000000-0005-0000-0000-0000D72F0000}"/>
    <cellStyle name="SAPBEXaggItemX 2 10" xfId="12338" xr:uid="{00000000-0005-0000-0000-0000D82F0000}"/>
    <cellStyle name="SAPBEXaggItemX 2 10 2" xfId="12339" xr:uid="{00000000-0005-0000-0000-0000D92F0000}"/>
    <cellStyle name="SAPBEXaggItemX 2 11" xfId="12340" xr:uid="{00000000-0005-0000-0000-0000DA2F0000}"/>
    <cellStyle name="SAPBEXaggItemX 2 2" xfId="12341" xr:uid="{00000000-0005-0000-0000-0000DB2F0000}"/>
    <cellStyle name="SAPBEXaggItemX 2 2 2" xfId="12342" xr:uid="{00000000-0005-0000-0000-0000DC2F0000}"/>
    <cellStyle name="SAPBEXaggItemX 2 3" xfId="12343" xr:uid="{00000000-0005-0000-0000-0000DD2F0000}"/>
    <cellStyle name="SAPBEXaggItemX 2 3 2" xfId="12344" xr:uid="{00000000-0005-0000-0000-0000DE2F0000}"/>
    <cellStyle name="SAPBEXaggItemX 2 4" xfId="12345" xr:uid="{00000000-0005-0000-0000-0000DF2F0000}"/>
    <cellStyle name="SAPBEXaggItemX 2 4 2" xfId="12346" xr:uid="{00000000-0005-0000-0000-0000E02F0000}"/>
    <cellStyle name="SAPBEXaggItemX 2 5" xfId="12347" xr:uid="{00000000-0005-0000-0000-0000E12F0000}"/>
    <cellStyle name="SAPBEXaggItemX 2 5 2" xfId="12348" xr:uid="{00000000-0005-0000-0000-0000E22F0000}"/>
    <cellStyle name="SAPBEXaggItemX 2 6" xfId="12349" xr:uid="{00000000-0005-0000-0000-0000E32F0000}"/>
    <cellStyle name="SAPBEXaggItemX 2 6 2" xfId="12350" xr:uid="{00000000-0005-0000-0000-0000E42F0000}"/>
    <cellStyle name="SAPBEXaggItemX 2 7" xfId="12351" xr:uid="{00000000-0005-0000-0000-0000E52F0000}"/>
    <cellStyle name="SAPBEXaggItemX 2 7 2" xfId="12352" xr:uid="{00000000-0005-0000-0000-0000E62F0000}"/>
    <cellStyle name="SAPBEXaggItemX 2 8" xfId="12353" xr:uid="{00000000-0005-0000-0000-0000E72F0000}"/>
    <cellStyle name="SAPBEXaggItemX 2 8 2" xfId="12354" xr:uid="{00000000-0005-0000-0000-0000E82F0000}"/>
    <cellStyle name="SAPBEXaggItemX 2 9" xfId="12355" xr:uid="{00000000-0005-0000-0000-0000E92F0000}"/>
    <cellStyle name="SAPBEXaggItemX 2 9 2" xfId="12356" xr:uid="{00000000-0005-0000-0000-0000EA2F0000}"/>
    <cellStyle name="SAPBEXaggItemX 3" xfId="12357" xr:uid="{00000000-0005-0000-0000-0000EB2F0000}"/>
    <cellStyle name="SAPBEXaggItemX 3 2" xfId="12358" xr:uid="{00000000-0005-0000-0000-0000EC2F0000}"/>
    <cellStyle name="SAPBEXaggItemX 4" xfId="12359" xr:uid="{00000000-0005-0000-0000-0000ED2F0000}"/>
    <cellStyle name="SAPBEXaggItemX 4 2" xfId="12360" xr:uid="{00000000-0005-0000-0000-0000EE2F0000}"/>
    <cellStyle name="SAPBEXaggItemX 5" xfId="12361" xr:uid="{00000000-0005-0000-0000-0000EF2F0000}"/>
    <cellStyle name="SAPBEXaggItemX 5 2" xfId="12362" xr:uid="{00000000-0005-0000-0000-0000F02F0000}"/>
    <cellStyle name="SAPBEXaggItemX 6" xfId="12363" xr:uid="{00000000-0005-0000-0000-0000F12F0000}"/>
    <cellStyle name="SAPBEXaggItemX 6 2" xfId="12364" xr:uid="{00000000-0005-0000-0000-0000F22F0000}"/>
    <cellStyle name="SAPBEXaggItemX 7" xfId="12365" xr:uid="{00000000-0005-0000-0000-0000F32F0000}"/>
    <cellStyle name="SAPBEXaggItemX 7 2" xfId="12366" xr:uid="{00000000-0005-0000-0000-0000F42F0000}"/>
    <cellStyle name="SAPBEXaggItemX 8" xfId="12367" xr:uid="{00000000-0005-0000-0000-0000F52F0000}"/>
    <cellStyle name="SAPBEXaggItemX 8 2" xfId="12368" xr:uid="{00000000-0005-0000-0000-0000F62F0000}"/>
    <cellStyle name="SAPBEXaggItemX 9" xfId="12369" xr:uid="{00000000-0005-0000-0000-0000F72F0000}"/>
    <cellStyle name="SAPBEXaggItemX 9 2" xfId="12370" xr:uid="{00000000-0005-0000-0000-0000F82F0000}"/>
    <cellStyle name="SAPBEXchaText" xfId="12371" xr:uid="{00000000-0005-0000-0000-0000F92F0000}"/>
    <cellStyle name="SAPBEXchaText 2" xfId="12372" xr:uid="{00000000-0005-0000-0000-0000FA2F0000}"/>
    <cellStyle name="SAPBEXexcBad7" xfId="12373" xr:uid="{00000000-0005-0000-0000-0000FB2F0000}"/>
    <cellStyle name="SAPBEXexcBad7 10" xfId="12374" xr:uid="{00000000-0005-0000-0000-0000FC2F0000}"/>
    <cellStyle name="SAPBEXexcBad7 10 2" xfId="12375" xr:uid="{00000000-0005-0000-0000-0000FD2F0000}"/>
    <cellStyle name="SAPBEXexcBad7 11" xfId="12376" xr:uid="{00000000-0005-0000-0000-0000FE2F0000}"/>
    <cellStyle name="SAPBEXexcBad7 11 2" xfId="12377" xr:uid="{00000000-0005-0000-0000-0000FF2F0000}"/>
    <cellStyle name="SAPBEXexcBad7 12" xfId="12378" xr:uid="{00000000-0005-0000-0000-000000300000}"/>
    <cellStyle name="SAPBEXexcBad7 2" xfId="12379" xr:uid="{00000000-0005-0000-0000-000001300000}"/>
    <cellStyle name="SAPBEXexcBad7 2 10" xfId="12380" xr:uid="{00000000-0005-0000-0000-000002300000}"/>
    <cellStyle name="SAPBEXexcBad7 2 10 2" xfId="12381" xr:uid="{00000000-0005-0000-0000-000003300000}"/>
    <cellStyle name="SAPBEXexcBad7 2 11" xfId="12382" xr:uid="{00000000-0005-0000-0000-000004300000}"/>
    <cellStyle name="SAPBEXexcBad7 2 2" xfId="12383" xr:uid="{00000000-0005-0000-0000-000005300000}"/>
    <cellStyle name="SAPBEXexcBad7 2 2 2" xfId="12384" xr:uid="{00000000-0005-0000-0000-000006300000}"/>
    <cellStyle name="SAPBEXexcBad7 2 3" xfId="12385" xr:uid="{00000000-0005-0000-0000-000007300000}"/>
    <cellStyle name="SAPBEXexcBad7 2 3 2" xfId="12386" xr:uid="{00000000-0005-0000-0000-000008300000}"/>
    <cellStyle name="SAPBEXexcBad7 2 4" xfId="12387" xr:uid="{00000000-0005-0000-0000-000009300000}"/>
    <cellStyle name="SAPBEXexcBad7 2 4 2" xfId="12388" xr:uid="{00000000-0005-0000-0000-00000A300000}"/>
    <cellStyle name="SAPBEXexcBad7 2 5" xfId="12389" xr:uid="{00000000-0005-0000-0000-00000B300000}"/>
    <cellStyle name="SAPBEXexcBad7 2 5 2" xfId="12390" xr:uid="{00000000-0005-0000-0000-00000C300000}"/>
    <cellStyle name="SAPBEXexcBad7 2 6" xfId="12391" xr:uid="{00000000-0005-0000-0000-00000D300000}"/>
    <cellStyle name="SAPBEXexcBad7 2 6 2" xfId="12392" xr:uid="{00000000-0005-0000-0000-00000E300000}"/>
    <cellStyle name="SAPBEXexcBad7 2 7" xfId="12393" xr:uid="{00000000-0005-0000-0000-00000F300000}"/>
    <cellStyle name="SAPBEXexcBad7 2 7 2" xfId="12394" xr:uid="{00000000-0005-0000-0000-000010300000}"/>
    <cellStyle name="SAPBEXexcBad7 2 8" xfId="12395" xr:uid="{00000000-0005-0000-0000-000011300000}"/>
    <cellStyle name="SAPBEXexcBad7 2 8 2" xfId="12396" xr:uid="{00000000-0005-0000-0000-000012300000}"/>
    <cellStyle name="SAPBEXexcBad7 2 9" xfId="12397" xr:uid="{00000000-0005-0000-0000-000013300000}"/>
    <cellStyle name="SAPBEXexcBad7 2 9 2" xfId="12398" xr:uid="{00000000-0005-0000-0000-000014300000}"/>
    <cellStyle name="SAPBEXexcBad7 3" xfId="12399" xr:uid="{00000000-0005-0000-0000-000015300000}"/>
    <cellStyle name="SAPBEXexcBad7 3 2" xfId="12400" xr:uid="{00000000-0005-0000-0000-000016300000}"/>
    <cellStyle name="SAPBEXexcBad7 4" xfId="12401" xr:uid="{00000000-0005-0000-0000-000017300000}"/>
    <cellStyle name="SAPBEXexcBad7 4 2" xfId="12402" xr:uid="{00000000-0005-0000-0000-000018300000}"/>
    <cellStyle name="SAPBEXexcBad7 5" xfId="12403" xr:uid="{00000000-0005-0000-0000-000019300000}"/>
    <cellStyle name="SAPBEXexcBad7 5 2" xfId="12404" xr:uid="{00000000-0005-0000-0000-00001A300000}"/>
    <cellStyle name="SAPBEXexcBad7 6" xfId="12405" xr:uid="{00000000-0005-0000-0000-00001B300000}"/>
    <cellStyle name="SAPBEXexcBad7 6 2" xfId="12406" xr:uid="{00000000-0005-0000-0000-00001C300000}"/>
    <cellStyle name="SAPBEXexcBad7 7" xfId="12407" xr:uid="{00000000-0005-0000-0000-00001D300000}"/>
    <cellStyle name="SAPBEXexcBad7 7 2" xfId="12408" xr:uid="{00000000-0005-0000-0000-00001E300000}"/>
    <cellStyle name="SAPBEXexcBad7 8" xfId="12409" xr:uid="{00000000-0005-0000-0000-00001F300000}"/>
    <cellStyle name="SAPBEXexcBad7 8 2" xfId="12410" xr:uid="{00000000-0005-0000-0000-000020300000}"/>
    <cellStyle name="SAPBEXexcBad7 9" xfId="12411" xr:uid="{00000000-0005-0000-0000-000021300000}"/>
    <cellStyle name="SAPBEXexcBad7 9 2" xfId="12412" xr:uid="{00000000-0005-0000-0000-000022300000}"/>
    <cellStyle name="SAPBEXexcBad8" xfId="12413" xr:uid="{00000000-0005-0000-0000-000023300000}"/>
    <cellStyle name="SAPBEXexcBad8 10" xfId="12414" xr:uid="{00000000-0005-0000-0000-000024300000}"/>
    <cellStyle name="SAPBEXexcBad8 10 2" xfId="12415" xr:uid="{00000000-0005-0000-0000-000025300000}"/>
    <cellStyle name="SAPBEXexcBad8 11" xfId="12416" xr:uid="{00000000-0005-0000-0000-000026300000}"/>
    <cellStyle name="SAPBEXexcBad8 2" xfId="12417" xr:uid="{00000000-0005-0000-0000-000027300000}"/>
    <cellStyle name="SAPBEXexcBad8 2 2" xfId="12418" xr:uid="{00000000-0005-0000-0000-000028300000}"/>
    <cellStyle name="SAPBEXexcBad8 3" xfId="12419" xr:uid="{00000000-0005-0000-0000-000029300000}"/>
    <cellStyle name="SAPBEXexcBad8 3 2" xfId="12420" xr:uid="{00000000-0005-0000-0000-00002A300000}"/>
    <cellStyle name="SAPBEXexcBad8 4" xfId="12421" xr:uid="{00000000-0005-0000-0000-00002B300000}"/>
    <cellStyle name="SAPBEXexcBad8 4 2" xfId="12422" xr:uid="{00000000-0005-0000-0000-00002C300000}"/>
    <cellStyle name="SAPBEXexcBad8 5" xfId="12423" xr:uid="{00000000-0005-0000-0000-00002D300000}"/>
    <cellStyle name="SAPBEXexcBad8 5 2" xfId="12424" xr:uid="{00000000-0005-0000-0000-00002E300000}"/>
    <cellStyle name="SAPBEXexcBad8 6" xfId="12425" xr:uid="{00000000-0005-0000-0000-00002F300000}"/>
    <cellStyle name="SAPBEXexcBad8 6 2" xfId="12426" xr:uid="{00000000-0005-0000-0000-000030300000}"/>
    <cellStyle name="SAPBEXexcBad8 7" xfId="12427" xr:uid="{00000000-0005-0000-0000-000031300000}"/>
    <cellStyle name="SAPBEXexcBad8 7 2" xfId="12428" xr:uid="{00000000-0005-0000-0000-000032300000}"/>
    <cellStyle name="SAPBEXexcBad8 8" xfId="12429" xr:uid="{00000000-0005-0000-0000-000033300000}"/>
    <cellStyle name="SAPBEXexcBad8 8 2" xfId="12430" xr:uid="{00000000-0005-0000-0000-000034300000}"/>
    <cellStyle name="SAPBEXexcBad8 9" xfId="12431" xr:uid="{00000000-0005-0000-0000-000035300000}"/>
    <cellStyle name="SAPBEXexcBad8 9 2" xfId="12432" xr:uid="{00000000-0005-0000-0000-000036300000}"/>
    <cellStyle name="SAPBEXexcBad9" xfId="12433" xr:uid="{00000000-0005-0000-0000-000037300000}"/>
    <cellStyle name="SAPBEXexcBad9 10" xfId="12434" xr:uid="{00000000-0005-0000-0000-000038300000}"/>
    <cellStyle name="SAPBEXexcBad9 10 2" xfId="12435" xr:uid="{00000000-0005-0000-0000-000039300000}"/>
    <cellStyle name="SAPBEXexcBad9 11" xfId="12436" xr:uid="{00000000-0005-0000-0000-00003A300000}"/>
    <cellStyle name="SAPBEXexcBad9 2" xfId="12437" xr:uid="{00000000-0005-0000-0000-00003B300000}"/>
    <cellStyle name="SAPBEXexcBad9 2 2" xfId="12438" xr:uid="{00000000-0005-0000-0000-00003C300000}"/>
    <cellStyle name="SAPBEXexcBad9 3" xfId="12439" xr:uid="{00000000-0005-0000-0000-00003D300000}"/>
    <cellStyle name="SAPBEXexcBad9 3 2" xfId="12440" xr:uid="{00000000-0005-0000-0000-00003E300000}"/>
    <cellStyle name="SAPBEXexcBad9 4" xfId="12441" xr:uid="{00000000-0005-0000-0000-00003F300000}"/>
    <cellStyle name="SAPBEXexcBad9 4 2" xfId="12442" xr:uid="{00000000-0005-0000-0000-000040300000}"/>
    <cellStyle name="SAPBEXexcBad9 5" xfId="12443" xr:uid="{00000000-0005-0000-0000-000041300000}"/>
    <cellStyle name="SAPBEXexcBad9 5 2" xfId="12444" xr:uid="{00000000-0005-0000-0000-000042300000}"/>
    <cellStyle name="SAPBEXexcBad9 6" xfId="12445" xr:uid="{00000000-0005-0000-0000-000043300000}"/>
    <cellStyle name="SAPBEXexcBad9 6 2" xfId="12446" xr:uid="{00000000-0005-0000-0000-000044300000}"/>
    <cellStyle name="SAPBEXexcBad9 7" xfId="12447" xr:uid="{00000000-0005-0000-0000-000045300000}"/>
    <cellStyle name="SAPBEXexcBad9 7 2" xfId="12448" xr:uid="{00000000-0005-0000-0000-000046300000}"/>
    <cellStyle name="SAPBEXexcBad9 8" xfId="12449" xr:uid="{00000000-0005-0000-0000-000047300000}"/>
    <cellStyle name="SAPBEXexcBad9 8 2" xfId="12450" xr:uid="{00000000-0005-0000-0000-000048300000}"/>
    <cellStyle name="SAPBEXexcBad9 9" xfId="12451" xr:uid="{00000000-0005-0000-0000-000049300000}"/>
    <cellStyle name="SAPBEXexcBad9 9 2" xfId="12452" xr:uid="{00000000-0005-0000-0000-00004A300000}"/>
    <cellStyle name="SAPBEXexcCritical4" xfId="12453" xr:uid="{00000000-0005-0000-0000-00004B300000}"/>
    <cellStyle name="SAPBEXexcCritical4 10" xfId="12454" xr:uid="{00000000-0005-0000-0000-00004C300000}"/>
    <cellStyle name="SAPBEXexcCritical4 10 2" xfId="12455" xr:uid="{00000000-0005-0000-0000-00004D300000}"/>
    <cellStyle name="SAPBEXexcCritical4 11" xfId="12456" xr:uid="{00000000-0005-0000-0000-00004E300000}"/>
    <cellStyle name="SAPBEXexcCritical4 11 2" xfId="12457" xr:uid="{00000000-0005-0000-0000-00004F300000}"/>
    <cellStyle name="SAPBEXexcCritical4 12" xfId="12458" xr:uid="{00000000-0005-0000-0000-000050300000}"/>
    <cellStyle name="SAPBEXexcCritical4 2" xfId="12459" xr:uid="{00000000-0005-0000-0000-000051300000}"/>
    <cellStyle name="SAPBEXexcCritical4 2 10" xfId="12460" xr:uid="{00000000-0005-0000-0000-000052300000}"/>
    <cellStyle name="SAPBEXexcCritical4 2 10 2" xfId="12461" xr:uid="{00000000-0005-0000-0000-000053300000}"/>
    <cellStyle name="SAPBEXexcCritical4 2 11" xfId="12462" xr:uid="{00000000-0005-0000-0000-000054300000}"/>
    <cellStyle name="SAPBEXexcCritical4 2 2" xfId="12463" xr:uid="{00000000-0005-0000-0000-000055300000}"/>
    <cellStyle name="SAPBEXexcCritical4 2 2 2" xfId="12464" xr:uid="{00000000-0005-0000-0000-000056300000}"/>
    <cellStyle name="SAPBEXexcCritical4 2 3" xfId="12465" xr:uid="{00000000-0005-0000-0000-000057300000}"/>
    <cellStyle name="SAPBEXexcCritical4 2 3 2" xfId="12466" xr:uid="{00000000-0005-0000-0000-000058300000}"/>
    <cellStyle name="SAPBEXexcCritical4 2 4" xfId="12467" xr:uid="{00000000-0005-0000-0000-000059300000}"/>
    <cellStyle name="SAPBEXexcCritical4 2 4 2" xfId="12468" xr:uid="{00000000-0005-0000-0000-00005A300000}"/>
    <cellStyle name="SAPBEXexcCritical4 2 5" xfId="12469" xr:uid="{00000000-0005-0000-0000-00005B300000}"/>
    <cellStyle name="SAPBEXexcCritical4 2 5 2" xfId="12470" xr:uid="{00000000-0005-0000-0000-00005C300000}"/>
    <cellStyle name="SAPBEXexcCritical4 2 6" xfId="12471" xr:uid="{00000000-0005-0000-0000-00005D300000}"/>
    <cellStyle name="SAPBEXexcCritical4 2 6 2" xfId="12472" xr:uid="{00000000-0005-0000-0000-00005E300000}"/>
    <cellStyle name="SAPBEXexcCritical4 2 7" xfId="12473" xr:uid="{00000000-0005-0000-0000-00005F300000}"/>
    <cellStyle name="SAPBEXexcCritical4 2 7 2" xfId="12474" xr:uid="{00000000-0005-0000-0000-000060300000}"/>
    <cellStyle name="SAPBEXexcCritical4 2 8" xfId="12475" xr:uid="{00000000-0005-0000-0000-000061300000}"/>
    <cellStyle name="SAPBEXexcCritical4 2 8 2" xfId="12476" xr:uid="{00000000-0005-0000-0000-000062300000}"/>
    <cellStyle name="SAPBEXexcCritical4 2 9" xfId="12477" xr:uid="{00000000-0005-0000-0000-000063300000}"/>
    <cellStyle name="SAPBEXexcCritical4 2 9 2" xfId="12478" xr:uid="{00000000-0005-0000-0000-000064300000}"/>
    <cellStyle name="SAPBEXexcCritical4 3" xfId="12479" xr:uid="{00000000-0005-0000-0000-000065300000}"/>
    <cellStyle name="SAPBEXexcCritical4 3 2" xfId="12480" xr:uid="{00000000-0005-0000-0000-000066300000}"/>
    <cellStyle name="SAPBEXexcCritical4 4" xfId="12481" xr:uid="{00000000-0005-0000-0000-000067300000}"/>
    <cellStyle name="SAPBEXexcCritical4 4 2" xfId="12482" xr:uid="{00000000-0005-0000-0000-000068300000}"/>
    <cellStyle name="SAPBEXexcCritical4 5" xfId="12483" xr:uid="{00000000-0005-0000-0000-000069300000}"/>
    <cellStyle name="SAPBEXexcCritical4 5 2" xfId="12484" xr:uid="{00000000-0005-0000-0000-00006A300000}"/>
    <cellStyle name="SAPBEXexcCritical4 6" xfId="12485" xr:uid="{00000000-0005-0000-0000-00006B300000}"/>
    <cellStyle name="SAPBEXexcCritical4 6 2" xfId="12486" xr:uid="{00000000-0005-0000-0000-00006C300000}"/>
    <cellStyle name="SAPBEXexcCritical4 7" xfId="12487" xr:uid="{00000000-0005-0000-0000-00006D300000}"/>
    <cellStyle name="SAPBEXexcCritical4 7 2" xfId="12488" xr:uid="{00000000-0005-0000-0000-00006E300000}"/>
    <cellStyle name="SAPBEXexcCritical4 8" xfId="12489" xr:uid="{00000000-0005-0000-0000-00006F300000}"/>
    <cellStyle name="SAPBEXexcCritical4 8 2" xfId="12490" xr:uid="{00000000-0005-0000-0000-000070300000}"/>
    <cellStyle name="SAPBEXexcCritical4 9" xfId="12491" xr:uid="{00000000-0005-0000-0000-000071300000}"/>
    <cellStyle name="SAPBEXexcCritical4 9 2" xfId="12492" xr:uid="{00000000-0005-0000-0000-000072300000}"/>
    <cellStyle name="SAPBEXexcCritical5" xfId="12493" xr:uid="{00000000-0005-0000-0000-000073300000}"/>
    <cellStyle name="SAPBEXexcCritical5 10" xfId="12494" xr:uid="{00000000-0005-0000-0000-000074300000}"/>
    <cellStyle name="SAPBEXexcCritical5 10 2" xfId="12495" xr:uid="{00000000-0005-0000-0000-000075300000}"/>
    <cellStyle name="SAPBEXexcCritical5 11" xfId="12496" xr:uid="{00000000-0005-0000-0000-000076300000}"/>
    <cellStyle name="SAPBEXexcCritical5 11 2" xfId="12497" xr:uid="{00000000-0005-0000-0000-000077300000}"/>
    <cellStyle name="SAPBEXexcCritical5 12" xfId="12498" xr:uid="{00000000-0005-0000-0000-000078300000}"/>
    <cellStyle name="SAPBEXexcCritical5 2" xfId="12499" xr:uid="{00000000-0005-0000-0000-000079300000}"/>
    <cellStyle name="SAPBEXexcCritical5 2 10" xfId="12500" xr:uid="{00000000-0005-0000-0000-00007A300000}"/>
    <cellStyle name="SAPBEXexcCritical5 2 10 2" xfId="12501" xr:uid="{00000000-0005-0000-0000-00007B300000}"/>
    <cellStyle name="SAPBEXexcCritical5 2 11" xfId="12502" xr:uid="{00000000-0005-0000-0000-00007C300000}"/>
    <cellStyle name="SAPBEXexcCritical5 2 2" xfId="12503" xr:uid="{00000000-0005-0000-0000-00007D300000}"/>
    <cellStyle name="SAPBEXexcCritical5 2 2 2" xfId="12504" xr:uid="{00000000-0005-0000-0000-00007E300000}"/>
    <cellStyle name="SAPBEXexcCritical5 2 3" xfId="12505" xr:uid="{00000000-0005-0000-0000-00007F300000}"/>
    <cellStyle name="SAPBEXexcCritical5 2 3 2" xfId="12506" xr:uid="{00000000-0005-0000-0000-000080300000}"/>
    <cellStyle name="SAPBEXexcCritical5 2 4" xfId="12507" xr:uid="{00000000-0005-0000-0000-000081300000}"/>
    <cellStyle name="SAPBEXexcCritical5 2 4 2" xfId="12508" xr:uid="{00000000-0005-0000-0000-000082300000}"/>
    <cellStyle name="SAPBEXexcCritical5 2 5" xfId="12509" xr:uid="{00000000-0005-0000-0000-000083300000}"/>
    <cellStyle name="SAPBEXexcCritical5 2 5 2" xfId="12510" xr:uid="{00000000-0005-0000-0000-000084300000}"/>
    <cellStyle name="SAPBEXexcCritical5 2 6" xfId="12511" xr:uid="{00000000-0005-0000-0000-000085300000}"/>
    <cellStyle name="SAPBEXexcCritical5 2 6 2" xfId="12512" xr:uid="{00000000-0005-0000-0000-000086300000}"/>
    <cellStyle name="SAPBEXexcCritical5 2 7" xfId="12513" xr:uid="{00000000-0005-0000-0000-000087300000}"/>
    <cellStyle name="SAPBEXexcCritical5 2 7 2" xfId="12514" xr:uid="{00000000-0005-0000-0000-000088300000}"/>
    <cellStyle name="SAPBEXexcCritical5 2 8" xfId="12515" xr:uid="{00000000-0005-0000-0000-000089300000}"/>
    <cellStyle name="SAPBEXexcCritical5 2 8 2" xfId="12516" xr:uid="{00000000-0005-0000-0000-00008A300000}"/>
    <cellStyle name="SAPBEXexcCritical5 2 9" xfId="12517" xr:uid="{00000000-0005-0000-0000-00008B300000}"/>
    <cellStyle name="SAPBEXexcCritical5 2 9 2" xfId="12518" xr:uid="{00000000-0005-0000-0000-00008C300000}"/>
    <cellStyle name="SAPBEXexcCritical5 3" xfId="12519" xr:uid="{00000000-0005-0000-0000-00008D300000}"/>
    <cellStyle name="SAPBEXexcCritical5 3 2" xfId="12520" xr:uid="{00000000-0005-0000-0000-00008E300000}"/>
    <cellStyle name="SAPBEXexcCritical5 4" xfId="12521" xr:uid="{00000000-0005-0000-0000-00008F300000}"/>
    <cellStyle name="SAPBEXexcCritical5 4 2" xfId="12522" xr:uid="{00000000-0005-0000-0000-000090300000}"/>
    <cellStyle name="SAPBEXexcCritical5 5" xfId="12523" xr:uid="{00000000-0005-0000-0000-000091300000}"/>
    <cellStyle name="SAPBEXexcCritical5 5 2" xfId="12524" xr:uid="{00000000-0005-0000-0000-000092300000}"/>
    <cellStyle name="SAPBEXexcCritical5 6" xfId="12525" xr:uid="{00000000-0005-0000-0000-000093300000}"/>
    <cellStyle name="SAPBEXexcCritical5 6 2" xfId="12526" xr:uid="{00000000-0005-0000-0000-000094300000}"/>
    <cellStyle name="SAPBEXexcCritical5 7" xfId="12527" xr:uid="{00000000-0005-0000-0000-000095300000}"/>
    <cellStyle name="SAPBEXexcCritical5 7 2" xfId="12528" xr:uid="{00000000-0005-0000-0000-000096300000}"/>
    <cellStyle name="SAPBEXexcCritical5 8" xfId="12529" xr:uid="{00000000-0005-0000-0000-000097300000}"/>
    <cellStyle name="SAPBEXexcCritical5 8 2" xfId="12530" xr:uid="{00000000-0005-0000-0000-000098300000}"/>
    <cellStyle name="SAPBEXexcCritical5 9" xfId="12531" xr:uid="{00000000-0005-0000-0000-000099300000}"/>
    <cellStyle name="SAPBEXexcCritical5 9 2" xfId="12532" xr:uid="{00000000-0005-0000-0000-00009A300000}"/>
    <cellStyle name="SAPBEXexcCritical6" xfId="12533" xr:uid="{00000000-0005-0000-0000-00009B300000}"/>
    <cellStyle name="SAPBEXexcCritical6 10" xfId="12534" xr:uid="{00000000-0005-0000-0000-00009C300000}"/>
    <cellStyle name="SAPBEXexcCritical6 10 2" xfId="12535" xr:uid="{00000000-0005-0000-0000-00009D300000}"/>
    <cellStyle name="SAPBEXexcCritical6 11" xfId="12536" xr:uid="{00000000-0005-0000-0000-00009E300000}"/>
    <cellStyle name="SAPBEXexcCritical6 11 2" xfId="12537" xr:uid="{00000000-0005-0000-0000-00009F300000}"/>
    <cellStyle name="SAPBEXexcCritical6 12" xfId="12538" xr:uid="{00000000-0005-0000-0000-0000A0300000}"/>
    <cellStyle name="SAPBEXexcCritical6 2" xfId="12539" xr:uid="{00000000-0005-0000-0000-0000A1300000}"/>
    <cellStyle name="SAPBEXexcCritical6 2 10" xfId="12540" xr:uid="{00000000-0005-0000-0000-0000A2300000}"/>
    <cellStyle name="SAPBEXexcCritical6 2 10 2" xfId="12541" xr:uid="{00000000-0005-0000-0000-0000A3300000}"/>
    <cellStyle name="SAPBEXexcCritical6 2 11" xfId="12542" xr:uid="{00000000-0005-0000-0000-0000A4300000}"/>
    <cellStyle name="SAPBEXexcCritical6 2 2" xfId="12543" xr:uid="{00000000-0005-0000-0000-0000A5300000}"/>
    <cellStyle name="SAPBEXexcCritical6 2 2 2" xfId="12544" xr:uid="{00000000-0005-0000-0000-0000A6300000}"/>
    <cellStyle name="SAPBEXexcCritical6 2 3" xfId="12545" xr:uid="{00000000-0005-0000-0000-0000A7300000}"/>
    <cellStyle name="SAPBEXexcCritical6 2 3 2" xfId="12546" xr:uid="{00000000-0005-0000-0000-0000A8300000}"/>
    <cellStyle name="SAPBEXexcCritical6 2 4" xfId="12547" xr:uid="{00000000-0005-0000-0000-0000A9300000}"/>
    <cellStyle name="SAPBEXexcCritical6 2 4 2" xfId="12548" xr:uid="{00000000-0005-0000-0000-0000AA300000}"/>
    <cellStyle name="SAPBEXexcCritical6 2 5" xfId="12549" xr:uid="{00000000-0005-0000-0000-0000AB300000}"/>
    <cellStyle name="SAPBEXexcCritical6 2 5 2" xfId="12550" xr:uid="{00000000-0005-0000-0000-0000AC300000}"/>
    <cellStyle name="SAPBEXexcCritical6 2 6" xfId="12551" xr:uid="{00000000-0005-0000-0000-0000AD300000}"/>
    <cellStyle name="SAPBEXexcCritical6 2 6 2" xfId="12552" xr:uid="{00000000-0005-0000-0000-0000AE300000}"/>
    <cellStyle name="SAPBEXexcCritical6 2 7" xfId="12553" xr:uid="{00000000-0005-0000-0000-0000AF300000}"/>
    <cellStyle name="SAPBEXexcCritical6 2 7 2" xfId="12554" xr:uid="{00000000-0005-0000-0000-0000B0300000}"/>
    <cellStyle name="SAPBEXexcCritical6 2 8" xfId="12555" xr:uid="{00000000-0005-0000-0000-0000B1300000}"/>
    <cellStyle name="SAPBEXexcCritical6 2 8 2" xfId="12556" xr:uid="{00000000-0005-0000-0000-0000B2300000}"/>
    <cellStyle name="SAPBEXexcCritical6 2 9" xfId="12557" xr:uid="{00000000-0005-0000-0000-0000B3300000}"/>
    <cellStyle name="SAPBEXexcCritical6 2 9 2" xfId="12558" xr:uid="{00000000-0005-0000-0000-0000B4300000}"/>
    <cellStyle name="SAPBEXexcCritical6 3" xfId="12559" xr:uid="{00000000-0005-0000-0000-0000B5300000}"/>
    <cellStyle name="SAPBEXexcCritical6 3 2" xfId="12560" xr:uid="{00000000-0005-0000-0000-0000B6300000}"/>
    <cellStyle name="SAPBEXexcCritical6 4" xfId="12561" xr:uid="{00000000-0005-0000-0000-0000B7300000}"/>
    <cellStyle name="SAPBEXexcCritical6 4 2" xfId="12562" xr:uid="{00000000-0005-0000-0000-0000B8300000}"/>
    <cellStyle name="SAPBEXexcCritical6 5" xfId="12563" xr:uid="{00000000-0005-0000-0000-0000B9300000}"/>
    <cellStyle name="SAPBEXexcCritical6 5 2" xfId="12564" xr:uid="{00000000-0005-0000-0000-0000BA300000}"/>
    <cellStyle name="SAPBEXexcCritical6 6" xfId="12565" xr:uid="{00000000-0005-0000-0000-0000BB300000}"/>
    <cellStyle name="SAPBEXexcCritical6 6 2" xfId="12566" xr:uid="{00000000-0005-0000-0000-0000BC300000}"/>
    <cellStyle name="SAPBEXexcCritical6 7" xfId="12567" xr:uid="{00000000-0005-0000-0000-0000BD300000}"/>
    <cellStyle name="SAPBEXexcCritical6 7 2" xfId="12568" xr:uid="{00000000-0005-0000-0000-0000BE300000}"/>
    <cellStyle name="SAPBEXexcCritical6 8" xfId="12569" xr:uid="{00000000-0005-0000-0000-0000BF300000}"/>
    <cellStyle name="SAPBEXexcCritical6 8 2" xfId="12570" xr:uid="{00000000-0005-0000-0000-0000C0300000}"/>
    <cellStyle name="SAPBEXexcCritical6 9" xfId="12571" xr:uid="{00000000-0005-0000-0000-0000C1300000}"/>
    <cellStyle name="SAPBEXexcCritical6 9 2" xfId="12572" xr:uid="{00000000-0005-0000-0000-0000C2300000}"/>
    <cellStyle name="SAPBEXexcGood1" xfId="12573" xr:uid="{00000000-0005-0000-0000-0000C3300000}"/>
    <cellStyle name="SAPBEXexcGood1 10" xfId="12574" xr:uid="{00000000-0005-0000-0000-0000C4300000}"/>
    <cellStyle name="SAPBEXexcGood1 10 2" xfId="12575" xr:uid="{00000000-0005-0000-0000-0000C5300000}"/>
    <cellStyle name="SAPBEXexcGood1 11" xfId="12576" xr:uid="{00000000-0005-0000-0000-0000C6300000}"/>
    <cellStyle name="SAPBEXexcGood1 2" xfId="12577" xr:uid="{00000000-0005-0000-0000-0000C7300000}"/>
    <cellStyle name="SAPBEXexcGood1 2 2" xfId="12578" xr:uid="{00000000-0005-0000-0000-0000C8300000}"/>
    <cellStyle name="SAPBEXexcGood1 3" xfId="12579" xr:uid="{00000000-0005-0000-0000-0000C9300000}"/>
    <cellStyle name="SAPBEXexcGood1 3 2" xfId="12580" xr:uid="{00000000-0005-0000-0000-0000CA300000}"/>
    <cellStyle name="SAPBEXexcGood1 4" xfId="12581" xr:uid="{00000000-0005-0000-0000-0000CB300000}"/>
    <cellStyle name="SAPBEXexcGood1 4 2" xfId="12582" xr:uid="{00000000-0005-0000-0000-0000CC300000}"/>
    <cellStyle name="SAPBEXexcGood1 5" xfId="12583" xr:uid="{00000000-0005-0000-0000-0000CD300000}"/>
    <cellStyle name="SAPBEXexcGood1 5 2" xfId="12584" xr:uid="{00000000-0005-0000-0000-0000CE300000}"/>
    <cellStyle name="SAPBEXexcGood1 6" xfId="12585" xr:uid="{00000000-0005-0000-0000-0000CF300000}"/>
    <cellStyle name="SAPBEXexcGood1 6 2" xfId="12586" xr:uid="{00000000-0005-0000-0000-0000D0300000}"/>
    <cellStyle name="SAPBEXexcGood1 7" xfId="12587" xr:uid="{00000000-0005-0000-0000-0000D1300000}"/>
    <cellStyle name="SAPBEXexcGood1 7 2" xfId="12588" xr:uid="{00000000-0005-0000-0000-0000D2300000}"/>
    <cellStyle name="SAPBEXexcGood1 8" xfId="12589" xr:uid="{00000000-0005-0000-0000-0000D3300000}"/>
    <cellStyle name="SAPBEXexcGood1 8 2" xfId="12590" xr:uid="{00000000-0005-0000-0000-0000D4300000}"/>
    <cellStyle name="SAPBEXexcGood1 9" xfId="12591" xr:uid="{00000000-0005-0000-0000-0000D5300000}"/>
    <cellStyle name="SAPBEXexcGood1 9 2" xfId="12592" xr:uid="{00000000-0005-0000-0000-0000D6300000}"/>
    <cellStyle name="SAPBEXexcGood2" xfId="12593" xr:uid="{00000000-0005-0000-0000-0000D7300000}"/>
    <cellStyle name="SAPBEXexcGood2 10" xfId="12594" xr:uid="{00000000-0005-0000-0000-0000D8300000}"/>
    <cellStyle name="SAPBEXexcGood2 10 2" xfId="12595" xr:uid="{00000000-0005-0000-0000-0000D9300000}"/>
    <cellStyle name="SAPBEXexcGood2 11" xfId="12596" xr:uid="{00000000-0005-0000-0000-0000DA300000}"/>
    <cellStyle name="SAPBEXexcGood2 2" xfId="12597" xr:uid="{00000000-0005-0000-0000-0000DB300000}"/>
    <cellStyle name="SAPBEXexcGood2 2 2" xfId="12598" xr:uid="{00000000-0005-0000-0000-0000DC300000}"/>
    <cellStyle name="SAPBEXexcGood2 3" xfId="12599" xr:uid="{00000000-0005-0000-0000-0000DD300000}"/>
    <cellStyle name="SAPBEXexcGood2 3 2" xfId="12600" xr:uid="{00000000-0005-0000-0000-0000DE300000}"/>
    <cellStyle name="SAPBEXexcGood2 4" xfId="12601" xr:uid="{00000000-0005-0000-0000-0000DF300000}"/>
    <cellStyle name="SAPBEXexcGood2 4 2" xfId="12602" xr:uid="{00000000-0005-0000-0000-0000E0300000}"/>
    <cellStyle name="SAPBEXexcGood2 5" xfId="12603" xr:uid="{00000000-0005-0000-0000-0000E1300000}"/>
    <cellStyle name="SAPBEXexcGood2 5 2" xfId="12604" xr:uid="{00000000-0005-0000-0000-0000E2300000}"/>
    <cellStyle name="SAPBEXexcGood2 6" xfId="12605" xr:uid="{00000000-0005-0000-0000-0000E3300000}"/>
    <cellStyle name="SAPBEXexcGood2 6 2" xfId="12606" xr:uid="{00000000-0005-0000-0000-0000E4300000}"/>
    <cellStyle name="SAPBEXexcGood2 7" xfId="12607" xr:uid="{00000000-0005-0000-0000-0000E5300000}"/>
    <cellStyle name="SAPBEXexcGood2 7 2" xfId="12608" xr:uid="{00000000-0005-0000-0000-0000E6300000}"/>
    <cellStyle name="SAPBEXexcGood2 8" xfId="12609" xr:uid="{00000000-0005-0000-0000-0000E7300000}"/>
    <cellStyle name="SAPBEXexcGood2 8 2" xfId="12610" xr:uid="{00000000-0005-0000-0000-0000E8300000}"/>
    <cellStyle name="SAPBEXexcGood2 9" xfId="12611" xr:uid="{00000000-0005-0000-0000-0000E9300000}"/>
    <cellStyle name="SAPBEXexcGood2 9 2" xfId="12612" xr:uid="{00000000-0005-0000-0000-0000EA300000}"/>
    <cellStyle name="SAPBEXexcGood3" xfId="12613" xr:uid="{00000000-0005-0000-0000-0000EB300000}"/>
    <cellStyle name="SAPBEXexcGood3 10" xfId="12614" xr:uid="{00000000-0005-0000-0000-0000EC300000}"/>
    <cellStyle name="SAPBEXexcGood3 10 2" xfId="12615" xr:uid="{00000000-0005-0000-0000-0000ED300000}"/>
    <cellStyle name="SAPBEXexcGood3 11" xfId="12616" xr:uid="{00000000-0005-0000-0000-0000EE300000}"/>
    <cellStyle name="SAPBEXexcGood3 11 2" xfId="12617" xr:uid="{00000000-0005-0000-0000-0000EF300000}"/>
    <cellStyle name="SAPBEXexcGood3 12" xfId="12618" xr:uid="{00000000-0005-0000-0000-0000F0300000}"/>
    <cellStyle name="SAPBEXexcGood3 2" xfId="12619" xr:uid="{00000000-0005-0000-0000-0000F1300000}"/>
    <cellStyle name="SAPBEXexcGood3 2 10" xfId="12620" xr:uid="{00000000-0005-0000-0000-0000F2300000}"/>
    <cellStyle name="SAPBEXexcGood3 2 10 2" xfId="12621" xr:uid="{00000000-0005-0000-0000-0000F3300000}"/>
    <cellStyle name="SAPBEXexcGood3 2 11" xfId="12622" xr:uid="{00000000-0005-0000-0000-0000F4300000}"/>
    <cellStyle name="SAPBEXexcGood3 2 2" xfId="12623" xr:uid="{00000000-0005-0000-0000-0000F5300000}"/>
    <cellStyle name="SAPBEXexcGood3 2 2 2" xfId="12624" xr:uid="{00000000-0005-0000-0000-0000F6300000}"/>
    <cellStyle name="SAPBEXexcGood3 2 3" xfId="12625" xr:uid="{00000000-0005-0000-0000-0000F7300000}"/>
    <cellStyle name="SAPBEXexcGood3 2 3 2" xfId="12626" xr:uid="{00000000-0005-0000-0000-0000F8300000}"/>
    <cellStyle name="SAPBEXexcGood3 2 4" xfId="12627" xr:uid="{00000000-0005-0000-0000-0000F9300000}"/>
    <cellStyle name="SAPBEXexcGood3 2 4 2" xfId="12628" xr:uid="{00000000-0005-0000-0000-0000FA300000}"/>
    <cellStyle name="SAPBEXexcGood3 2 5" xfId="12629" xr:uid="{00000000-0005-0000-0000-0000FB300000}"/>
    <cellStyle name="SAPBEXexcGood3 2 5 2" xfId="12630" xr:uid="{00000000-0005-0000-0000-0000FC300000}"/>
    <cellStyle name="SAPBEXexcGood3 2 6" xfId="12631" xr:uid="{00000000-0005-0000-0000-0000FD300000}"/>
    <cellStyle name="SAPBEXexcGood3 2 6 2" xfId="12632" xr:uid="{00000000-0005-0000-0000-0000FE300000}"/>
    <cellStyle name="SAPBEXexcGood3 2 7" xfId="12633" xr:uid="{00000000-0005-0000-0000-0000FF300000}"/>
    <cellStyle name="SAPBEXexcGood3 2 7 2" xfId="12634" xr:uid="{00000000-0005-0000-0000-000000310000}"/>
    <cellStyle name="SAPBEXexcGood3 2 8" xfId="12635" xr:uid="{00000000-0005-0000-0000-000001310000}"/>
    <cellStyle name="SAPBEXexcGood3 2 8 2" xfId="12636" xr:uid="{00000000-0005-0000-0000-000002310000}"/>
    <cellStyle name="SAPBEXexcGood3 2 9" xfId="12637" xr:uid="{00000000-0005-0000-0000-000003310000}"/>
    <cellStyle name="SAPBEXexcGood3 2 9 2" xfId="12638" xr:uid="{00000000-0005-0000-0000-000004310000}"/>
    <cellStyle name="SAPBEXexcGood3 3" xfId="12639" xr:uid="{00000000-0005-0000-0000-000005310000}"/>
    <cellStyle name="SAPBEXexcGood3 3 2" xfId="12640" xr:uid="{00000000-0005-0000-0000-000006310000}"/>
    <cellStyle name="SAPBEXexcGood3 4" xfId="12641" xr:uid="{00000000-0005-0000-0000-000007310000}"/>
    <cellStyle name="SAPBEXexcGood3 4 2" xfId="12642" xr:uid="{00000000-0005-0000-0000-000008310000}"/>
    <cellStyle name="SAPBEXexcGood3 5" xfId="12643" xr:uid="{00000000-0005-0000-0000-000009310000}"/>
    <cellStyle name="SAPBEXexcGood3 5 2" xfId="12644" xr:uid="{00000000-0005-0000-0000-00000A310000}"/>
    <cellStyle name="SAPBEXexcGood3 6" xfId="12645" xr:uid="{00000000-0005-0000-0000-00000B310000}"/>
    <cellStyle name="SAPBEXexcGood3 6 2" xfId="12646" xr:uid="{00000000-0005-0000-0000-00000C310000}"/>
    <cellStyle name="SAPBEXexcGood3 7" xfId="12647" xr:uid="{00000000-0005-0000-0000-00000D310000}"/>
    <cellStyle name="SAPBEXexcGood3 7 2" xfId="12648" xr:uid="{00000000-0005-0000-0000-00000E310000}"/>
    <cellStyle name="SAPBEXexcGood3 8" xfId="12649" xr:uid="{00000000-0005-0000-0000-00000F310000}"/>
    <cellStyle name="SAPBEXexcGood3 8 2" xfId="12650" xr:uid="{00000000-0005-0000-0000-000010310000}"/>
    <cellStyle name="SAPBEXexcGood3 9" xfId="12651" xr:uid="{00000000-0005-0000-0000-000011310000}"/>
    <cellStyle name="SAPBEXexcGood3 9 2" xfId="12652" xr:uid="{00000000-0005-0000-0000-000012310000}"/>
    <cellStyle name="SAPBEXfilterDrill" xfId="12653" xr:uid="{00000000-0005-0000-0000-000013310000}"/>
    <cellStyle name="SAPBEXfilterDrill 2" xfId="12654" xr:uid="{00000000-0005-0000-0000-000014310000}"/>
    <cellStyle name="SAPBEXfilterItem" xfId="12655" xr:uid="{00000000-0005-0000-0000-000015310000}"/>
    <cellStyle name="SAPBEXfilterItem 2" xfId="12656" xr:uid="{00000000-0005-0000-0000-000016310000}"/>
    <cellStyle name="SAPBEXfilterText" xfId="12657" xr:uid="{00000000-0005-0000-0000-000017310000}"/>
    <cellStyle name="SAPBEXfilterText 2" xfId="12658" xr:uid="{00000000-0005-0000-0000-000018310000}"/>
    <cellStyle name="SAPBEXformats" xfId="12659" xr:uid="{00000000-0005-0000-0000-000019310000}"/>
    <cellStyle name="SAPBEXformats 10" xfId="12660" xr:uid="{00000000-0005-0000-0000-00001A310000}"/>
    <cellStyle name="SAPBEXformats 10 2" xfId="12661" xr:uid="{00000000-0005-0000-0000-00001B310000}"/>
    <cellStyle name="SAPBEXformats 11" xfId="12662" xr:uid="{00000000-0005-0000-0000-00001C310000}"/>
    <cellStyle name="SAPBEXformats 11 2" xfId="12663" xr:uid="{00000000-0005-0000-0000-00001D310000}"/>
    <cellStyle name="SAPBEXformats 12" xfId="12664" xr:uid="{00000000-0005-0000-0000-00001E310000}"/>
    <cellStyle name="SAPBEXformats 2" xfId="12665" xr:uid="{00000000-0005-0000-0000-00001F310000}"/>
    <cellStyle name="SAPBEXformats 2 10" xfId="12666" xr:uid="{00000000-0005-0000-0000-000020310000}"/>
    <cellStyle name="SAPBEXformats 2 10 2" xfId="12667" xr:uid="{00000000-0005-0000-0000-000021310000}"/>
    <cellStyle name="SAPBEXformats 2 11" xfId="12668" xr:uid="{00000000-0005-0000-0000-000022310000}"/>
    <cellStyle name="SAPBEXformats 2 2" xfId="12669" xr:uid="{00000000-0005-0000-0000-000023310000}"/>
    <cellStyle name="SAPBEXformats 2 2 2" xfId="12670" xr:uid="{00000000-0005-0000-0000-000024310000}"/>
    <cellStyle name="SAPBEXformats 2 3" xfId="12671" xr:uid="{00000000-0005-0000-0000-000025310000}"/>
    <cellStyle name="SAPBEXformats 2 3 2" xfId="12672" xr:uid="{00000000-0005-0000-0000-000026310000}"/>
    <cellStyle name="SAPBEXformats 2 4" xfId="12673" xr:uid="{00000000-0005-0000-0000-000027310000}"/>
    <cellStyle name="SAPBEXformats 2 4 2" xfId="12674" xr:uid="{00000000-0005-0000-0000-000028310000}"/>
    <cellStyle name="SAPBEXformats 2 5" xfId="12675" xr:uid="{00000000-0005-0000-0000-000029310000}"/>
    <cellStyle name="SAPBEXformats 2 5 2" xfId="12676" xr:uid="{00000000-0005-0000-0000-00002A310000}"/>
    <cellStyle name="SAPBEXformats 2 6" xfId="12677" xr:uid="{00000000-0005-0000-0000-00002B310000}"/>
    <cellStyle name="SAPBEXformats 2 6 2" xfId="12678" xr:uid="{00000000-0005-0000-0000-00002C310000}"/>
    <cellStyle name="SAPBEXformats 2 7" xfId="12679" xr:uid="{00000000-0005-0000-0000-00002D310000}"/>
    <cellStyle name="SAPBEXformats 2 7 2" xfId="12680" xr:uid="{00000000-0005-0000-0000-00002E310000}"/>
    <cellStyle name="SAPBEXformats 2 8" xfId="12681" xr:uid="{00000000-0005-0000-0000-00002F310000}"/>
    <cellStyle name="SAPBEXformats 2 8 2" xfId="12682" xr:uid="{00000000-0005-0000-0000-000030310000}"/>
    <cellStyle name="SAPBEXformats 2 9" xfId="12683" xr:uid="{00000000-0005-0000-0000-000031310000}"/>
    <cellStyle name="SAPBEXformats 2 9 2" xfId="12684" xr:uid="{00000000-0005-0000-0000-000032310000}"/>
    <cellStyle name="SAPBEXformats 3" xfId="12685" xr:uid="{00000000-0005-0000-0000-000033310000}"/>
    <cellStyle name="SAPBEXformats 3 2" xfId="12686" xr:uid="{00000000-0005-0000-0000-000034310000}"/>
    <cellStyle name="SAPBEXformats 4" xfId="12687" xr:uid="{00000000-0005-0000-0000-000035310000}"/>
    <cellStyle name="SAPBEXformats 4 2" xfId="12688" xr:uid="{00000000-0005-0000-0000-000036310000}"/>
    <cellStyle name="SAPBEXformats 5" xfId="12689" xr:uid="{00000000-0005-0000-0000-000037310000}"/>
    <cellStyle name="SAPBEXformats 5 2" xfId="12690" xr:uid="{00000000-0005-0000-0000-000038310000}"/>
    <cellStyle name="SAPBEXformats 6" xfId="12691" xr:uid="{00000000-0005-0000-0000-000039310000}"/>
    <cellStyle name="SAPBEXformats 6 2" xfId="12692" xr:uid="{00000000-0005-0000-0000-00003A310000}"/>
    <cellStyle name="SAPBEXformats 7" xfId="12693" xr:uid="{00000000-0005-0000-0000-00003B310000}"/>
    <cellStyle name="SAPBEXformats 7 2" xfId="12694" xr:uid="{00000000-0005-0000-0000-00003C310000}"/>
    <cellStyle name="SAPBEXformats 8" xfId="12695" xr:uid="{00000000-0005-0000-0000-00003D310000}"/>
    <cellStyle name="SAPBEXformats 8 2" xfId="12696" xr:uid="{00000000-0005-0000-0000-00003E310000}"/>
    <cellStyle name="SAPBEXformats 9" xfId="12697" xr:uid="{00000000-0005-0000-0000-00003F310000}"/>
    <cellStyle name="SAPBEXformats 9 2" xfId="12698" xr:uid="{00000000-0005-0000-0000-000040310000}"/>
    <cellStyle name="SAPBEXheaderItem" xfId="12699" xr:uid="{00000000-0005-0000-0000-000041310000}"/>
    <cellStyle name="SAPBEXheaderItem 2" xfId="12700" xr:uid="{00000000-0005-0000-0000-000042310000}"/>
    <cellStyle name="SAPBEXheaderText" xfId="12701" xr:uid="{00000000-0005-0000-0000-000043310000}"/>
    <cellStyle name="SAPBEXheaderText 2" xfId="12702" xr:uid="{00000000-0005-0000-0000-000044310000}"/>
    <cellStyle name="SAPBEXHLevel0" xfId="12703" xr:uid="{00000000-0005-0000-0000-000045310000}"/>
    <cellStyle name="SAPBEXHLevel0 10" xfId="12704" xr:uid="{00000000-0005-0000-0000-000046310000}"/>
    <cellStyle name="SAPBEXHLevel0 10 2" xfId="12705" xr:uid="{00000000-0005-0000-0000-000047310000}"/>
    <cellStyle name="SAPBEXHLevel0 11" xfId="12706" xr:uid="{00000000-0005-0000-0000-000048310000}"/>
    <cellStyle name="SAPBEXHLevel0 11 2" xfId="12707" xr:uid="{00000000-0005-0000-0000-000049310000}"/>
    <cellStyle name="SAPBEXHLevel0 12" xfId="12708" xr:uid="{00000000-0005-0000-0000-00004A310000}"/>
    <cellStyle name="SAPBEXHLevel0 2" xfId="12709" xr:uid="{00000000-0005-0000-0000-00004B310000}"/>
    <cellStyle name="SAPBEXHLevel0 2 10" xfId="12710" xr:uid="{00000000-0005-0000-0000-00004C310000}"/>
    <cellStyle name="SAPBEXHLevel0 2 10 2" xfId="12711" xr:uid="{00000000-0005-0000-0000-00004D310000}"/>
    <cellStyle name="SAPBEXHLevel0 2 11" xfId="12712" xr:uid="{00000000-0005-0000-0000-00004E310000}"/>
    <cellStyle name="SAPBEXHLevel0 2 2" xfId="12713" xr:uid="{00000000-0005-0000-0000-00004F310000}"/>
    <cellStyle name="SAPBEXHLevel0 2 2 2" xfId="12714" xr:uid="{00000000-0005-0000-0000-000050310000}"/>
    <cellStyle name="SAPBEXHLevel0 2 3" xfId="12715" xr:uid="{00000000-0005-0000-0000-000051310000}"/>
    <cellStyle name="SAPBEXHLevel0 2 3 2" xfId="12716" xr:uid="{00000000-0005-0000-0000-000052310000}"/>
    <cellStyle name="SAPBEXHLevel0 2 4" xfId="12717" xr:uid="{00000000-0005-0000-0000-000053310000}"/>
    <cellStyle name="SAPBEXHLevel0 2 4 2" xfId="12718" xr:uid="{00000000-0005-0000-0000-000054310000}"/>
    <cellStyle name="SAPBEXHLevel0 2 5" xfId="12719" xr:uid="{00000000-0005-0000-0000-000055310000}"/>
    <cellStyle name="SAPBEXHLevel0 2 5 2" xfId="12720" xr:uid="{00000000-0005-0000-0000-000056310000}"/>
    <cellStyle name="SAPBEXHLevel0 2 6" xfId="12721" xr:uid="{00000000-0005-0000-0000-000057310000}"/>
    <cellStyle name="SAPBEXHLevel0 2 6 2" xfId="12722" xr:uid="{00000000-0005-0000-0000-000058310000}"/>
    <cellStyle name="SAPBEXHLevel0 2 7" xfId="12723" xr:uid="{00000000-0005-0000-0000-000059310000}"/>
    <cellStyle name="SAPBEXHLevel0 2 7 2" xfId="12724" xr:uid="{00000000-0005-0000-0000-00005A310000}"/>
    <cellStyle name="SAPBEXHLevel0 2 8" xfId="12725" xr:uid="{00000000-0005-0000-0000-00005B310000}"/>
    <cellStyle name="SAPBEXHLevel0 2 8 2" xfId="12726" xr:uid="{00000000-0005-0000-0000-00005C310000}"/>
    <cellStyle name="SAPBEXHLevel0 2 9" xfId="12727" xr:uid="{00000000-0005-0000-0000-00005D310000}"/>
    <cellStyle name="SAPBEXHLevel0 2 9 2" xfId="12728" xr:uid="{00000000-0005-0000-0000-00005E310000}"/>
    <cellStyle name="SAPBEXHLevel0 3" xfId="12729" xr:uid="{00000000-0005-0000-0000-00005F310000}"/>
    <cellStyle name="SAPBEXHLevel0 3 2" xfId="12730" xr:uid="{00000000-0005-0000-0000-000060310000}"/>
    <cellStyle name="SAPBEXHLevel0 4" xfId="12731" xr:uid="{00000000-0005-0000-0000-000061310000}"/>
    <cellStyle name="SAPBEXHLevel0 4 2" xfId="12732" xr:uid="{00000000-0005-0000-0000-000062310000}"/>
    <cellStyle name="SAPBEXHLevel0 5" xfId="12733" xr:uid="{00000000-0005-0000-0000-000063310000}"/>
    <cellStyle name="SAPBEXHLevel0 5 2" xfId="12734" xr:uid="{00000000-0005-0000-0000-000064310000}"/>
    <cellStyle name="SAPBEXHLevel0 6" xfId="12735" xr:uid="{00000000-0005-0000-0000-000065310000}"/>
    <cellStyle name="SAPBEXHLevel0 6 2" xfId="12736" xr:uid="{00000000-0005-0000-0000-000066310000}"/>
    <cellStyle name="SAPBEXHLevel0 7" xfId="12737" xr:uid="{00000000-0005-0000-0000-000067310000}"/>
    <cellStyle name="SAPBEXHLevel0 7 2" xfId="12738" xr:uid="{00000000-0005-0000-0000-000068310000}"/>
    <cellStyle name="SAPBEXHLevel0 8" xfId="12739" xr:uid="{00000000-0005-0000-0000-000069310000}"/>
    <cellStyle name="SAPBEXHLevel0 8 2" xfId="12740" xr:uid="{00000000-0005-0000-0000-00006A310000}"/>
    <cellStyle name="SAPBEXHLevel0 9" xfId="12741" xr:uid="{00000000-0005-0000-0000-00006B310000}"/>
    <cellStyle name="SAPBEXHLevel0 9 2" xfId="12742" xr:uid="{00000000-0005-0000-0000-00006C310000}"/>
    <cellStyle name="SAPBEXHLevel0X" xfId="12743" xr:uid="{00000000-0005-0000-0000-00006D310000}"/>
    <cellStyle name="SAPBEXHLevel0X 10" xfId="12744" xr:uid="{00000000-0005-0000-0000-00006E310000}"/>
    <cellStyle name="SAPBEXHLevel0X 10 2" xfId="12745" xr:uid="{00000000-0005-0000-0000-00006F310000}"/>
    <cellStyle name="SAPBEXHLevel0X 11" xfId="12746" xr:uid="{00000000-0005-0000-0000-000070310000}"/>
    <cellStyle name="SAPBEXHLevel0X 11 2" xfId="12747" xr:uid="{00000000-0005-0000-0000-000071310000}"/>
    <cellStyle name="SAPBEXHLevel0X 12" xfId="12748" xr:uid="{00000000-0005-0000-0000-000072310000}"/>
    <cellStyle name="SAPBEXHLevel0X 2" xfId="12749" xr:uid="{00000000-0005-0000-0000-000073310000}"/>
    <cellStyle name="SAPBEXHLevel0X 2 10" xfId="12750" xr:uid="{00000000-0005-0000-0000-000074310000}"/>
    <cellStyle name="SAPBEXHLevel0X 2 10 2" xfId="12751" xr:uid="{00000000-0005-0000-0000-000075310000}"/>
    <cellStyle name="SAPBEXHLevel0X 2 11" xfId="12752" xr:uid="{00000000-0005-0000-0000-000076310000}"/>
    <cellStyle name="SAPBEXHLevel0X 2 2" xfId="12753" xr:uid="{00000000-0005-0000-0000-000077310000}"/>
    <cellStyle name="SAPBEXHLevel0X 2 2 2" xfId="12754" xr:uid="{00000000-0005-0000-0000-000078310000}"/>
    <cellStyle name="SAPBEXHLevel0X 2 3" xfId="12755" xr:uid="{00000000-0005-0000-0000-000079310000}"/>
    <cellStyle name="SAPBEXHLevel0X 2 3 2" xfId="12756" xr:uid="{00000000-0005-0000-0000-00007A310000}"/>
    <cellStyle name="SAPBEXHLevel0X 2 4" xfId="12757" xr:uid="{00000000-0005-0000-0000-00007B310000}"/>
    <cellStyle name="SAPBEXHLevel0X 2 4 2" xfId="12758" xr:uid="{00000000-0005-0000-0000-00007C310000}"/>
    <cellStyle name="SAPBEXHLevel0X 2 5" xfId="12759" xr:uid="{00000000-0005-0000-0000-00007D310000}"/>
    <cellStyle name="SAPBEXHLevel0X 2 5 2" xfId="12760" xr:uid="{00000000-0005-0000-0000-00007E310000}"/>
    <cellStyle name="SAPBEXHLevel0X 2 6" xfId="12761" xr:uid="{00000000-0005-0000-0000-00007F310000}"/>
    <cellStyle name="SAPBEXHLevel0X 2 6 2" xfId="12762" xr:uid="{00000000-0005-0000-0000-000080310000}"/>
    <cellStyle name="SAPBEXHLevel0X 2 7" xfId="12763" xr:uid="{00000000-0005-0000-0000-000081310000}"/>
    <cellStyle name="SAPBEXHLevel0X 2 7 2" xfId="12764" xr:uid="{00000000-0005-0000-0000-000082310000}"/>
    <cellStyle name="SAPBEXHLevel0X 2 8" xfId="12765" xr:uid="{00000000-0005-0000-0000-000083310000}"/>
    <cellStyle name="SAPBEXHLevel0X 2 8 2" xfId="12766" xr:uid="{00000000-0005-0000-0000-000084310000}"/>
    <cellStyle name="SAPBEXHLevel0X 2 9" xfId="12767" xr:uid="{00000000-0005-0000-0000-000085310000}"/>
    <cellStyle name="SAPBEXHLevel0X 2 9 2" xfId="12768" xr:uid="{00000000-0005-0000-0000-000086310000}"/>
    <cellStyle name="SAPBEXHLevel0X 3" xfId="12769" xr:uid="{00000000-0005-0000-0000-000087310000}"/>
    <cellStyle name="SAPBEXHLevel0X 3 2" xfId="12770" xr:uid="{00000000-0005-0000-0000-000088310000}"/>
    <cellStyle name="SAPBEXHLevel0X 4" xfId="12771" xr:uid="{00000000-0005-0000-0000-000089310000}"/>
    <cellStyle name="SAPBEXHLevel0X 4 2" xfId="12772" xr:uid="{00000000-0005-0000-0000-00008A310000}"/>
    <cellStyle name="SAPBEXHLevel0X 5" xfId="12773" xr:uid="{00000000-0005-0000-0000-00008B310000}"/>
    <cellStyle name="SAPBEXHLevel0X 5 2" xfId="12774" xr:uid="{00000000-0005-0000-0000-00008C310000}"/>
    <cellStyle name="SAPBEXHLevel0X 6" xfId="12775" xr:uid="{00000000-0005-0000-0000-00008D310000}"/>
    <cellStyle name="SAPBEXHLevel0X 6 2" xfId="12776" xr:uid="{00000000-0005-0000-0000-00008E310000}"/>
    <cellStyle name="SAPBEXHLevel0X 7" xfId="12777" xr:uid="{00000000-0005-0000-0000-00008F310000}"/>
    <cellStyle name="SAPBEXHLevel0X 7 2" xfId="12778" xr:uid="{00000000-0005-0000-0000-000090310000}"/>
    <cellStyle name="SAPBEXHLevel0X 8" xfId="12779" xr:uid="{00000000-0005-0000-0000-000091310000}"/>
    <cellStyle name="SAPBEXHLevel0X 8 2" xfId="12780" xr:uid="{00000000-0005-0000-0000-000092310000}"/>
    <cellStyle name="SAPBEXHLevel0X 9" xfId="12781" xr:uid="{00000000-0005-0000-0000-000093310000}"/>
    <cellStyle name="SAPBEXHLevel0X 9 2" xfId="12782" xr:uid="{00000000-0005-0000-0000-000094310000}"/>
    <cellStyle name="SAPBEXHLevel1" xfId="12783" xr:uid="{00000000-0005-0000-0000-000095310000}"/>
    <cellStyle name="SAPBEXHLevel1 10" xfId="12784" xr:uid="{00000000-0005-0000-0000-000096310000}"/>
    <cellStyle name="SAPBEXHLevel1 10 2" xfId="12785" xr:uid="{00000000-0005-0000-0000-000097310000}"/>
    <cellStyle name="SAPBEXHLevel1 11" xfId="12786" xr:uid="{00000000-0005-0000-0000-000098310000}"/>
    <cellStyle name="SAPBEXHLevel1 11 2" xfId="12787" xr:uid="{00000000-0005-0000-0000-000099310000}"/>
    <cellStyle name="SAPBEXHLevel1 12" xfId="12788" xr:uid="{00000000-0005-0000-0000-00009A310000}"/>
    <cellStyle name="SAPBEXHLevel1 2" xfId="12789" xr:uid="{00000000-0005-0000-0000-00009B310000}"/>
    <cellStyle name="SAPBEXHLevel1 2 10" xfId="12790" xr:uid="{00000000-0005-0000-0000-00009C310000}"/>
    <cellStyle name="SAPBEXHLevel1 2 10 2" xfId="12791" xr:uid="{00000000-0005-0000-0000-00009D310000}"/>
    <cellStyle name="SAPBEXHLevel1 2 11" xfId="12792" xr:uid="{00000000-0005-0000-0000-00009E310000}"/>
    <cellStyle name="SAPBEXHLevel1 2 2" xfId="12793" xr:uid="{00000000-0005-0000-0000-00009F310000}"/>
    <cellStyle name="SAPBEXHLevel1 2 2 2" xfId="12794" xr:uid="{00000000-0005-0000-0000-0000A0310000}"/>
    <cellStyle name="SAPBEXHLevel1 2 3" xfId="12795" xr:uid="{00000000-0005-0000-0000-0000A1310000}"/>
    <cellStyle name="SAPBEXHLevel1 2 3 2" xfId="12796" xr:uid="{00000000-0005-0000-0000-0000A2310000}"/>
    <cellStyle name="SAPBEXHLevel1 2 4" xfId="12797" xr:uid="{00000000-0005-0000-0000-0000A3310000}"/>
    <cellStyle name="SAPBEXHLevel1 2 4 2" xfId="12798" xr:uid="{00000000-0005-0000-0000-0000A4310000}"/>
    <cellStyle name="SAPBEXHLevel1 2 5" xfId="12799" xr:uid="{00000000-0005-0000-0000-0000A5310000}"/>
    <cellStyle name="SAPBEXHLevel1 2 5 2" xfId="12800" xr:uid="{00000000-0005-0000-0000-0000A6310000}"/>
    <cellStyle name="SAPBEXHLevel1 2 6" xfId="12801" xr:uid="{00000000-0005-0000-0000-0000A7310000}"/>
    <cellStyle name="SAPBEXHLevel1 2 6 2" xfId="12802" xr:uid="{00000000-0005-0000-0000-0000A8310000}"/>
    <cellStyle name="SAPBEXHLevel1 2 7" xfId="12803" xr:uid="{00000000-0005-0000-0000-0000A9310000}"/>
    <cellStyle name="SAPBEXHLevel1 2 7 2" xfId="12804" xr:uid="{00000000-0005-0000-0000-0000AA310000}"/>
    <cellStyle name="SAPBEXHLevel1 2 8" xfId="12805" xr:uid="{00000000-0005-0000-0000-0000AB310000}"/>
    <cellStyle name="SAPBEXHLevel1 2 8 2" xfId="12806" xr:uid="{00000000-0005-0000-0000-0000AC310000}"/>
    <cellStyle name="SAPBEXHLevel1 2 9" xfId="12807" xr:uid="{00000000-0005-0000-0000-0000AD310000}"/>
    <cellStyle name="SAPBEXHLevel1 2 9 2" xfId="12808" xr:uid="{00000000-0005-0000-0000-0000AE310000}"/>
    <cellStyle name="SAPBEXHLevel1 3" xfId="12809" xr:uid="{00000000-0005-0000-0000-0000AF310000}"/>
    <cellStyle name="SAPBEXHLevel1 3 2" xfId="12810" xr:uid="{00000000-0005-0000-0000-0000B0310000}"/>
    <cellStyle name="SAPBEXHLevel1 4" xfId="12811" xr:uid="{00000000-0005-0000-0000-0000B1310000}"/>
    <cellStyle name="SAPBEXHLevel1 4 2" xfId="12812" xr:uid="{00000000-0005-0000-0000-0000B2310000}"/>
    <cellStyle name="SAPBEXHLevel1 5" xfId="12813" xr:uid="{00000000-0005-0000-0000-0000B3310000}"/>
    <cellStyle name="SAPBEXHLevel1 5 2" xfId="12814" xr:uid="{00000000-0005-0000-0000-0000B4310000}"/>
    <cellStyle name="SAPBEXHLevel1 6" xfId="12815" xr:uid="{00000000-0005-0000-0000-0000B5310000}"/>
    <cellStyle name="SAPBEXHLevel1 6 2" xfId="12816" xr:uid="{00000000-0005-0000-0000-0000B6310000}"/>
    <cellStyle name="SAPBEXHLevel1 7" xfId="12817" xr:uid="{00000000-0005-0000-0000-0000B7310000}"/>
    <cellStyle name="SAPBEXHLevel1 7 2" xfId="12818" xr:uid="{00000000-0005-0000-0000-0000B8310000}"/>
    <cellStyle name="SAPBEXHLevel1 8" xfId="12819" xr:uid="{00000000-0005-0000-0000-0000B9310000}"/>
    <cellStyle name="SAPBEXHLevel1 8 2" xfId="12820" xr:uid="{00000000-0005-0000-0000-0000BA310000}"/>
    <cellStyle name="SAPBEXHLevel1 9" xfId="12821" xr:uid="{00000000-0005-0000-0000-0000BB310000}"/>
    <cellStyle name="SAPBEXHLevel1 9 2" xfId="12822" xr:uid="{00000000-0005-0000-0000-0000BC310000}"/>
    <cellStyle name="SAPBEXHLevel1X" xfId="12823" xr:uid="{00000000-0005-0000-0000-0000BD310000}"/>
    <cellStyle name="SAPBEXHLevel1X 10" xfId="12824" xr:uid="{00000000-0005-0000-0000-0000BE310000}"/>
    <cellStyle name="SAPBEXHLevel1X 10 2" xfId="12825" xr:uid="{00000000-0005-0000-0000-0000BF310000}"/>
    <cellStyle name="SAPBEXHLevel1X 11" xfId="12826" xr:uid="{00000000-0005-0000-0000-0000C0310000}"/>
    <cellStyle name="SAPBEXHLevel1X 11 2" xfId="12827" xr:uid="{00000000-0005-0000-0000-0000C1310000}"/>
    <cellStyle name="SAPBEXHLevel1X 12" xfId="12828" xr:uid="{00000000-0005-0000-0000-0000C2310000}"/>
    <cellStyle name="SAPBEXHLevel1X 2" xfId="12829" xr:uid="{00000000-0005-0000-0000-0000C3310000}"/>
    <cellStyle name="SAPBEXHLevel1X 2 10" xfId="12830" xr:uid="{00000000-0005-0000-0000-0000C4310000}"/>
    <cellStyle name="SAPBEXHLevel1X 2 10 2" xfId="12831" xr:uid="{00000000-0005-0000-0000-0000C5310000}"/>
    <cellStyle name="SAPBEXHLevel1X 2 11" xfId="12832" xr:uid="{00000000-0005-0000-0000-0000C6310000}"/>
    <cellStyle name="SAPBEXHLevel1X 2 2" xfId="12833" xr:uid="{00000000-0005-0000-0000-0000C7310000}"/>
    <cellStyle name="SAPBEXHLevel1X 2 2 2" xfId="12834" xr:uid="{00000000-0005-0000-0000-0000C8310000}"/>
    <cellStyle name="SAPBEXHLevel1X 2 3" xfId="12835" xr:uid="{00000000-0005-0000-0000-0000C9310000}"/>
    <cellStyle name="SAPBEXHLevel1X 2 3 2" xfId="12836" xr:uid="{00000000-0005-0000-0000-0000CA310000}"/>
    <cellStyle name="SAPBEXHLevel1X 2 4" xfId="12837" xr:uid="{00000000-0005-0000-0000-0000CB310000}"/>
    <cellStyle name="SAPBEXHLevel1X 2 4 2" xfId="12838" xr:uid="{00000000-0005-0000-0000-0000CC310000}"/>
    <cellStyle name="SAPBEXHLevel1X 2 5" xfId="12839" xr:uid="{00000000-0005-0000-0000-0000CD310000}"/>
    <cellStyle name="SAPBEXHLevel1X 2 5 2" xfId="12840" xr:uid="{00000000-0005-0000-0000-0000CE310000}"/>
    <cellStyle name="SAPBEXHLevel1X 2 6" xfId="12841" xr:uid="{00000000-0005-0000-0000-0000CF310000}"/>
    <cellStyle name="SAPBEXHLevel1X 2 6 2" xfId="12842" xr:uid="{00000000-0005-0000-0000-0000D0310000}"/>
    <cellStyle name="SAPBEXHLevel1X 2 7" xfId="12843" xr:uid="{00000000-0005-0000-0000-0000D1310000}"/>
    <cellStyle name="SAPBEXHLevel1X 2 7 2" xfId="12844" xr:uid="{00000000-0005-0000-0000-0000D2310000}"/>
    <cellStyle name="SAPBEXHLevel1X 2 8" xfId="12845" xr:uid="{00000000-0005-0000-0000-0000D3310000}"/>
    <cellStyle name="SAPBEXHLevel1X 2 8 2" xfId="12846" xr:uid="{00000000-0005-0000-0000-0000D4310000}"/>
    <cellStyle name="SAPBEXHLevel1X 2 9" xfId="12847" xr:uid="{00000000-0005-0000-0000-0000D5310000}"/>
    <cellStyle name="SAPBEXHLevel1X 2 9 2" xfId="12848" xr:uid="{00000000-0005-0000-0000-0000D6310000}"/>
    <cellStyle name="SAPBEXHLevel1X 3" xfId="12849" xr:uid="{00000000-0005-0000-0000-0000D7310000}"/>
    <cellStyle name="SAPBEXHLevel1X 3 2" xfId="12850" xr:uid="{00000000-0005-0000-0000-0000D8310000}"/>
    <cellStyle name="SAPBEXHLevel1X 4" xfId="12851" xr:uid="{00000000-0005-0000-0000-0000D9310000}"/>
    <cellStyle name="SAPBEXHLevel1X 4 2" xfId="12852" xr:uid="{00000000-0005-0000-0000-0000DA310000}"/>
    <cellStyle name="SAPBEXHLevel1X 5" xfId="12853" xr:uid="{00000000-0005-0000-0000-0000DB310000}"/>
    <cellStyle name="SAPBEXHLevel1X 5 2" xfId="12854" xr:uid="{00000000-0005-0000-0000-0000DC310000}"/>
    <cellStyle name="SAPBEXHLevel1X 6" xfId="12855" xr:uid="{00000000-0005-0000-0000-0000DD310000}"/>
    <cellStyle name="SAPBEXHLevel1X 6 2" xfId="12856" xr:uid="{00000000-0005-0000-0000-0000DE310000}"/>
    <cellStyle name="SAPBEXHLevel1X 7" xfId="12857" xr:uid="{00000000-0005-0000-0000-0000DF310000}"/>
    <cellStyle name="SAPBEXHLevel1X 7 2" xfId="12858" xr:uid="{00000000-0005-0000-0000-0000E0310000}"/>
    <cellStyle name="SAPBEXHLevel1X 8" xfId="12859" xr:uid="{00000000-0005-0000-0000-0000E1310000}"/>
    <cellStyle name="SAPBEXHLevel1X 8 2" xfId="12860" xr:uid="{00000000-0005-0000-0000-0000E2310000}"/>
    <cellStyle name="SAPBEXHLevel1X 9" xfId="12861" xr:uid="{00000000-0005-0000-0000-0000E3310000}"/>
    <cellStyle name="SAPBEXHLevel1X 9 2" xfId="12862" xr:uid="{00000000-0005-0000-0000-0000E4310000}"/>
    <cellStyle name="SAPBEXHLevel2" xfId="12863" xr:uid="{00000000-0005-0000-0000-0000E5310000}"/>
    <cellStyle name="SAPBEXHLevel2 10" xfId="12864" xr:uid="{00000000-0005-0000-0000-0000E6310000}"/>
    <cellStyle name="SAPBEXHLevel2 10 2" xfId="12865" xr:uid="{00000000-0005-0000-0000-0000E7310000}"/>
    <cellStyle name="SAPBEXHLevel2 11" xfId="12866" xr:uid="{00000000-0005-0000-0000-0000E8310000}"/>
    <cellStyle name="SAPBEXHLevel2 11 2" xfId="12867" xr:uid="{00000000-0005-0000-0000-0000E9310000}"/>
    <cellStyle name="SAPBEXHLevel2 12" xfId="12868" xr:uid="{00000000-0005-0000-0000-0000EA310000}"/>
    <cellStyle name="SAPBEXHLevel2 2" xfId="12869" xr:uid="{00000000-0005-0000-0000-0000EB310000}"/>
    <cellStyle name="SAPBEXHLevel2 2 10" xfId="12870" xr:uid="{00000000-0005-0000-0000-0000EC310000}"/>
    <cellStyle name="SAPBEXHLevel2 2 10 2" xfId="12871" xr:uid="{00000000-0005-0000-0000-0000ED310000}"/>
    <cellStyle name="SAPBEXHLevel2 2 11" xfId="12872" xr:uid="{00000000-0005-0000-0000-0000EE310000}"/>
    <cellStyle name="SAPBEXHLevel2 2 2" xfId="12873" xr:uid="{00000000-0005-0000-0000-0000EF310000}"/>
    <cellStyle name="SAPBEXHLevel2 2 2 2" xfId="12874" xr:uid="{00000000-0005-0000-0000-0000F0310000}"/>
    <cellStyle name="SAPBEXHLevel2 2 3" xfId="12875" xr:uid="{00000000-0005-0000-0000-0000F1310000}"/>
    <cellStyle name="SAPBEXHLevel2 2 3 2" xfId="12876" xr:uid="{00000000-0005-0000-0000-0000F2310000}"/>
    <cellStyle name="SAPBEXHLevel2 2 4" xfId="12877" xr:uid="{00000000-0005-0000-0000-0000F3310000}"/>
    <cellStyle name="SAPBEXHLevel2 2 4 2" xfId="12878" xr:uid="{00000000-0005-0000-0000-0000F4310000}"/>
    <cellStyle name="SAPBEXHLevel2 2 5" xfId="12879" xr:uid="{00000000-0005-0000-0000-0000F5310000}"/>
    <cellStyle name="SAPBEXHLevel2 2 5 2" xfId="12880" xr:uid="{00000000-0005-0000-0000-0000F6310000}"/>
    <cellStyle name="SAPBEXHLevel2 2 6" xfId="12881" xr:uid="{00000000-0005-0000-0000-0000F7310000}"/>
    <cellStyle name="SAPBEXHLevel2 2 6 2" xfId="12882" xr:uid="{00000000-0005-0000-0000-0000F8310000}"/>
    <cellStyle name="SAPBEXHLevel2 2 7" xfId="12883" xr:uid="{00000000-0005-0000-0000-0000F9310000}"/>
    <cellStyle name="SAPBEXHLevel2 2 7 2" xfId="12884" xr:uid="{00000000-0005-0000-0000-0000FA310000}"/>
    <cellStyle name="SAPBEXHLevel2 2 8" xfId="12885" xr:uid="{00000000-0005-0000-0000-0000FB310000}"/>
    <cellStyle name="SAPBEXHLevel2 2 8 2" xfId="12886" xr:uid="{00000000-0005-0000-0000-0000FC310000}"/>
    <cellStyle name="SAPBEXHLevel2 2 9" xfId="12887" xr:uid="{00000000-0005-0000-0000-0000FD310000}"/>
    <cellStyle name="SAPBEXHLevel2 2 9 2" xfId="12888" xr:uid="{00000000-0005-0000-0000-0000FE310000}"/>
    <cellStyle name="SAPBEXHLevel2 3" xfId="12889" xr:uid="{00000000-0005-0000-0000-0000FF310000}"/>
    <cellStyle name="SAPBEXHLevel2 3 2" xfId="12890" xr:uid="{00000000-0005-0000-0000-000000320000}"/>
    <cellStyle name="SAPBEXHLevel2 4" xfId="12891" xr:uid="{00000000-0005-0000-0000-000001320000}"/>
    <cellStyle name="SAPBEXHLevel2 4 2" xfId="12892" xr:uid="{00000000-0005-0000-0000-000002320000}"/>
    <cellStyle name="SAPBEXHLevel2 5" xfId="12893" xr:uid="{00000000-0005-0000-0000-000003320000}"/>
    <cellStyle name="SAPBEXHLevel2 5 2" xfId="12894" xr:uid="{00000000-0005-0000-0000-000004320000}"/>
    <cellStyle name="SAPBEXHLevel2 6" xfId="12895" xr:uid="{00000000-0005-0000-0000-000005320000}"/>
    <cellStyle name="SAPBEXHLevel2 6 2" xfId="12896" xr:uid="{00000000-0005-0000-0000-000006320000}"/>
    <cellStyle name="SAPBEXHLevel2 7" xfId="12897" xr:uid="{00000000-0005-0000-0000-000007320000}"/>
    <cellStyle name="SAPBEXHLevel2 7 2" xfId="12898" xr:uid="{00000000-0005-0000-0000-000008320000}"/>
    <cellStyle name="SAPBEXHLevel2 8" xfId="12899" xr:uid="{00000000-0005-0000-0000-000009320000}"/>
    <cellStyle name="SAPBEXHLevel2 8 2" xfId="12900" xr:uid="{00000000-0005-0000-0000-00000A320000}"/>
    <cellStyle name="SAPBEXHLevel2 9" xfId="12901" xr:uid="{00000000-0005-0000-0000-00000B320000}"/>
    <cellStyle name="SAPBEXHLevel2 9 2" xfId="12902" xr:uid="{00000000-0005-0000-0000-00000C320000}"/>
    <cellStyle name="SAPBEXHLevel2X" xfId="12903" xr:uid="{00000000-0005-0000-0000-00000D320000}"/>
    <cellStyle name="SAPBEXHLevel2X 10" xfId="12904" xr:uid="{00000000-0005-0000-0000-00000E320000}"/>
    <cellStyle name="SAPBEXHLevel2X 10 2" xfId="12905" xr:uid="{00000000-0005-0000-0000-00000F320000}"/>
    <cellStyle name="SAPBEXHLevel2X 11" xfId="12906" xr:uid="{00000000-0005-0000-0000-000010320000}"/>
    <cellStyle name="SAPBEXHLevel2X 11 2" xfId="12907" xr:uid="{00000000-0005-0000-0000-000011320000}"/>
    <cellStyle name="SAPBEXHLevel2X 12" xfId="12908" xr:uid="{00000000-0005-0000-0000-000012320000}"/>
    <cellStyle name="SAPBEXHLevel2X 2" xfId="12909" xr:uid="{00000000-0005-0000-0000-000013320000}"/>
    <cellStyle name="SAPBEXHLevel2X 2 10" xfId="12910" xr:uid="{00000000-0005-0000-0000-000014320000}"/>
    <cellStyle name="SAPBEXHLevel2X 2 10 2" xfId="12911" xr:uid="{00000000-0005-0000-0000-000015320000}"/>
    <cellStyle name="SAPBEXHLevel2X 2 11" xfId="12912" xr:uid="{00000000-0005-0000-0000-000016320000}"/>
    <cellStyle name="SAPBEXHLevel2X 2 2" xfId="12913" xr:uid="{00000000-0005-0000-0000-000017320000}"/>
    <cellStyle name="SAPBEXHLevel2X 2 2 2" xfId="12914" xr:uid="{00000000-0005-0000-0000-000018320000}"/>
    <cellStyle name="SAPBEXHLevel2X 2 3" xfId="12915" xr:uid="{00000000-0005-0000-0000-000019320000}"/>
    <cellStyle name="SAPBEXHLevel2X 2 3 2" xfId="12916" xr:uid="{00000000-0005-0000-0000-00001A320000}"/>
    <cellStyle name="SAPBEXHLevel2X 2 4" xfId="12917" xr:uid="{00000000-0005-0000-0000-00001B320000}"/>
    <cellStyle name="SAPBEXHLevel2X 2 4 2" xfId="12918" xr:uid="{00000000-0005-0000-0000-00001C320000}"/>
    <cellStyle name="SAPBEXHLevel2X 2 5" xfId="12919" xr:uid="{00000000-0005-0000-0000-00001D320000}"/>
    <cellStyle name="SAPBEXHLevel2X 2 5 2" xfId="12920" xr:uid="{00000000-0005-0000-0000-00001E320000}"/>
    <cellStyle name="SAPBEXHLevel2X 2 6" xfId="12921" xr:uid="{00000000-0005-0000-0000-00001F320000}"/>
    <cellStyle name="SAPBEXHLevel2X 2 6 2" xfId="12922" xr:uid="{00000000-0005-0000-0000-000020320000}"/>
    <cellStyle name="SAPBEXHLevel2X 2 7" xfId="12923" xr:uid="{00000000-0005-0000-0000-000021320000}"/>
    <cellStyle name="SAPBEXHLevel2X 2 7 2" xfId="12924" xr:uid="{00000000-0005-0000-0000-000022320000}"/>
    <cellStyle name="SAPBEXHLevel2X 2 8" xfId="12925" xr:uid="{00000000-0005-0000-0000-000023320000}"/>
    <cellStyle name="SAPBEXHLevel2X 2 8 2" xfId="12926" xr:uid="{00000000-0005-0000-0000-000024320000}"/>
    <cellStyle name="SAPBEXHLevel2X 2 9" xfId="12927" xr:uid="{00000000-0005-0000-0000-000025320000}"/>
    <cellStyle name="SAPBEXHLevel2X 2 9 2" xfId="12928" xr:uid="{00000000-0005-0000-0000-000026320000}"/>
    <cellStyle name="SAPBEXHLevel2X 3" xfId="12929" xr:uid="{00000000-0005-0000-0000-000027320000}"/>
    <cellStyle name="SAPBEXHLevel2X 3 2" xfId="12930" xr:uid="{00000000-0005-0000-0000-000028320000}"/>
    <cellStyle name="SAPBEXHLevel2X 4" xfId="12931" xr:uid="{00000000-0005-0000-0000-000029320000}"/>
    <cellStyle name="SAPBEXHLevel2X 4 2" xfId="12932" xr:uid="{00000000-0005-0000-0000-00002A320000}"/>
    <cellStyle name="SAPBEXHLevel2X 5" xfId="12933" xr:uid="{00000000-0005-0000-0000-00002B320000}"/>
    <cellStyle name="SAPBEXHLevel2X 5 2" xfId="12934" xr:uid="{00000000-0005-0000-0000-00002C320000}"/>
    <cellStyle name="SAPBEXHLevel2X 6" xfId="12935" xr:uid="{00000000-0005-0000-0000-00002D320000}"/>
    <cellStyle name="SAPBEXHLevel2X 6 2" xfId="12936" xr:uid="{00000000-0005-0000-0000-00002E320000}"/>
    <cellStyle name="SAPBEXHLevel2X 7" xfId="12937" xr:uid="{00000000-0005-0000-0000-00002F320000}"/>
    <cellStyle name="SAPBEXHLevel2X 7 2" xfId="12938" xr:uid="{00000000-0005-0000-0000-000030320000}"/>
    <cellStyle name="SAPBEXHLevel2X 8" xfId="12939" xr:uid="{00000000-0005-0000-0000-000031320000}"/>
    <cellStyle name="SAPBEXHLevel2X 8 2" xfId="12940" xr:uid="{00000000-0005-0000-0000-000032320000}"/>
    <cellStyle name="SAPBEXHLevel2X 9" xfId="12941" xr:uid="{00000000-0005-0000-0000-000033320000}"/>
    <cellStyle name="SAPBEXHLevel2X 9 2" xfId="12942" xr:uid="{00000000-0005-0000-0000-000034320000}"/>
    <cellStyle name="SAPBEXHLevel3" xfId="12943" xr:uid="{00000000-0005-0000-0000-000035320000}"/>
    <cellStyle name="SAPBEXHLevel3 10" xfId="12944" xr:uid="{00000000-0005-0000-0000-000036320000}"/>
    <cellStyle name="SAPBEXHLevel3 10 2" xfId="12945" xr:uid="{00000000-0005-0000-0000-000037320000}"/>
    <cellStyle name="SAPBEXHLevel3 11" xfId="12946" xr:uid="{00000000-0005-0000-0000-000038320000}"/>
    <cellStyle name="SAPBEXHLevel3 11 2" xfId="12947" xr:uid="{00000000-0005-0000-0000-000039320000}"/>
    <cellStyle name="SAPBEXHLevel3 12" xfId="12948" xr:uid="{00000000-0005-0000-0000-00003A320000}"/>
    <cellStyle name="SAPBEXHLevel3 2" xfId="12949" xr:uid="{00000000-0005-0000-0000-00003B320000}"/>
    <cellStyle name="SAPBEXHLevel3 2 10" xfId="12950" xr:uid="{00000000-0005-0000-0000-00003C320000}"/>
    <cellStyle name="SAPBEXHLevel3 2 10 2" xfId="12951" xr:uid="{00000000-0005-0000-0000-00003D320000}"/>
    <cellStyle name="SAPBEXHLevel3 2 11" xfId="12952" xr:uid="{00000000-0005-0000-0000-00003E320000}"/>
    <cellStyle name="SAPBEXHLevel3 2 2" xfId="12953" xr:uid="{00000000-0005-0000-0000-00003F320000}"/>
    <cellStyle name="SAPBEXHLevel3 2 2 2" xfId="12954" xr:uid="{00000000-0005-0000-0000-000040320000}"/>
    <cellStyle name="SAPBEXHLevel3 2 3" xfId="12955" xr:uid="{00000000-0005-0000-0000-000041320000}"/>
    <cellStyle name="SAPBEXHLevel3 2 3 2" xfId="12956" xr:uid="{00000000-0005-0000-0000-000042320000}"/>
    <cellStyle name="SAPBEXHLevel3 2 4" xfId="12957" xr:uid="{00000000-0005-0000-0000-000043320000}"/>
    <cellStyle name="SAPBEXHLevel3 2 4 2" xfId="12958" xr:uid="{00000000-0005-0000-0000-000044320000}"/>
    <cellStyle name="SAPBEXHLevel3 2 5" xfId="12959" xr:uid="{00000000-0005-0000-0000-000045320000}"/>
    <cellStyle name="SAPBEXHLevel3 2 5 2" xfId="12960" xr:uid="{00000000-0005-0000-0000-000046320000}"/>
    <cellStyle name="SAPBEXHLevel3 2 6" xfId="12961" xr:uid="{00000000-0005-0000-0000-000047320000}"/>
    <cellStyle name="SAPBEXHLevel3 2 6 2" xfId="12962" xr:uid="{00000000-0005-0000-0000-000048320000}"/>
    <cellStyle name="SAPBEXHLevel3 2 7" xfId="12963" xr:uid="{00000000-0005-0000-0000-000049320000}"/>
    <cellStyle name="SAPBEXHLevel3 2 7 2" xfId="12964" xr:uid="{00000000-0005-0000-0000-00004A320000}"/>
    <cellStyle name="SAPBEXHLevel3 2 8" xfId="12965" xr:uid="{00000000-0005-0000-0000-00004B320000}"/>
    <cellStyle name="SAPBEXHLevel3 2 8 2" xfId="12966" xr:uid="{00000000-0005-0000-0000-00004C320000}"/>
    <cellStyle name="SAPBEXHLevel3 2 9" xfId="12967" xr:uid="{00000000-0005-0000-0000-00004D320000}"/>
    <cellStyle name="SAPBEXHLevel3 2 9 2" xfId="12968" xr:uid="{00000000-0005-0000-0000-00004E320000}"/>
    <cellStyle name="SAPBEXHLevel3 3" xfId="12969" xr:uid="{00000000-0005-0000-0000-00004F320000}"/>
    <cellStyle name="SAPBEXHLevel3 3 2" xfId="12970" xr:uid="{00000000-0005-0000-0000-000050320000}"/>
    <cellStyle name="SAPBEXHLevel3 4" xfId="12971" xr:uid="{00000000-0005-0000-0000-000051320000}"/>
    <cellStyle name="SAPBEXHLevel3 4 2" xfId="12972" xr:uid="{00000000-0005-0000-0000-000052320000}"/>
    <cellStyle name="SAPBEXHLevel3 5" xfId="12973" xr:uid="{00000000-0005-0000-0000-000053320000}"/>
    <cellStyle name="SAPBEXHLevel3 5 2" xfId="12974" xr:uid="{00000000-0005-0000-0000-000054320000}"/>
    <cellStyle name="SAPBEXHLevel3 6" xfId="12975" xr:uid="{00000000-0005-0000-0000-000055320000}"/>
    <cellStyle name="SAPBEXHLevel3 6 2" xfId="12976" xr:uid="{00000000-0005-0000-0000-000056320000}"/>
    <cellStyle name="SAPBEXHLevel3 7" xfId="12977" xr:uid="{00000000-0005-0000-0000-000057320000}"/>
    <cellStyle name="SAPBEXHLevel3 7 2" xfId="12978" xr:uid="{00000000-0005-0000-0000-000058320000}"/>
    <cellStyle name="SAPBEXHLevel3 8" xfId="12979" xr:uid="{00000000-0005-0000-0000-000059320000}"/>
    <cellStyle name="SAPBEXHLevel3 8 2" xfId="12980" xr:uid="{00000000-0005-0000-0000-00005A320000}"/>
    <cellStyle name="SAPBEXHLevel3 9" xfId="12981" xr:uid="{00000000-0005-0000-0000-00005B320000}"/>
    <cellStyle name="SAPBEXHLevel3 9 2" xfId="12982" xr:uid="{00000000-0005-0000-0000-00005C320000}"/>
    <cellStyle name="SAPBEXHLevel3X" xfId="12983" xr:uid="{00000000-0005-0000-0000-00005D320000}"/>
    <cellStyle name="SAPBEXHLevel3X 10" xfId="12984" xr:uid="{00000000-0005-0000-0000-00005E320000}"/>
    <cellStyle name="SAPBEXHLevel3X 10 2" xfId="12985" xr:uid="{00000000-0005-0000-0000-00005F320000}"/>
    <cellStyle name="SAPBEXHLevel3X 11" xfId="12986" xr:uid="{00000000-0005-0000-0000-000060320000}"/>
    <cellStyle name="SAPBEXHLevel3X 11 2" xfId="12987" xr:uid="{00000000-0005-0000-0000-000061320000}"/>
    <cellStyle name="SAPBEXHLevel3X 12" xfId="12988" xr:uid="{00000000-0005-0000-0000-000062320000}"/>
    <cellStyle name="SAPBEXHLevel3X 2" xfId="12989" xr:uid="{00000000-0005-0000-0000-000063320000}"/>
    <cellStyle name="SAPBEXHLevel3X 2 10" xfId="12990" xr:uid="{00000000-0005-0000-0000-000064320000}"/>
    <cellStyle name="SAPBEXHLevel3X 2 10 2" xfId="12991" xr:uid="{00000000-0005-0000-0000-000065320000}"/>
    <cellStyle name="SAPBEXHLevel3X 2 11" xfId="12992" xr:uid="{00000000-0005-0000-0000-000066320000}"/>
    <cellStyle name="SAPBEXHLevel3X 2 2" xfId="12993" xr:uid="{00000000-0005-0000-0000-000067320000}"/>
    <cellStyle name="SAPBEXHLevel3X 2 2 2" xfId="12994" xr:uid="{00000000-0005-0000-0000-000068320000}"/>
    <cellStyle name="SAPBEXHLevel3X 2 3" xfId="12995" xr:uid="{00000000-0005-0000-0000-000069320000}"/>
    <cellStyle name="SAPBEXHLevel3X 2 3 2" xfId="12996" xr:uid="{00000000-0005-0000-0000-00006A320000}"/>
    <cellStyle name="SAPBEXHLevel3X 2 4" xfId="12997" xr:uid="{00000000-0005-0000-0000-00006B320000}"/>
    <cellStyle name="SAPBEXHLevel3X 2 4 2" xfId="12998" xr:uid="{00000000-0005-0000-0000-00006C320000}"/>
    <cellStyle name="SAPBEXHLevel3X 2 5" xfId="12999" xr:uid="{00000000-0005-0000-0000-00006D320000}"/>
    <cellStyle name="SAPBEXHLevel3X 2 5 2" xfId="13000" xr:uid="{00000000-0005-0000-0000-00006E320000}"/>
    <cellStyle name="SAPBEXHLevel3X 2 6" xfId="13001" xr:uid="{00000000-0005-0000-0000-00006F320000}"/>
    <cellStyle name="SAPBEXHLevel3X 2 6 2" xfId="13002" xr:uid="{00000000-0005-0000-0000-000070320000}"/>
    <cellStyle name="SAPBEXHLevel3X 2 7" xfId="13003" xr:uid="{00000000-0005-0000-0000-000071320000}"/>
    <cellStyle name="SAPBEXHLevel3X 2 7 2" xfId="13004" xr:uid="{00000000-0005-0000-0000-000072320000}"/>
    <cellStyle name="SAPBEXHLevel3X 2 8" xfId="13005" xr:uid="{00000000-0005-0000-0000-000073320000}"/>
    <cellStyle name="SAPBEXHLevel3X 2 8 2" xfId="13006" xr:uid="{00000000-0005-0000-0000-000074320000}"/>
    <cellStyle name="SAPBEXHLevel3X 2 9" xfId="13007" xr:uid="{00000000-0005-0000-0000-000075320000}"/>
    <cellStyle name="SAPBEXHLevel3X 2 9 2" xfId="13008" xr:uid="{00000000-0005-0000-0000-000076320000}"/>
    <cellStyle name="SAPBEXHLevel3X 3" xfId="13009" xr:uid="{00000000-0005-0000-0000-000077320000}"/>
    <cellStyle name="SAPBEXHLevel3X 3 2" xfId="13010" xr:uid="{00000000-0005-0000-0000-000078320000}"/>
    <cellStyle name="SAPBEXHLevel3X 4" xfId="13011" xr:uid="{00000000-0005-0000-0000-000079320000}"/>
    <cellStyle name="SAPBEXHLevel3X 4 2" xfId="13012" xr:uid="{00000000-0005-0000-0000-00007A320000}"/>
    <cellStyle name="SAPBEXHLevel3X 5" xfId="13013" xr:uid="{00000000-0005-0000-0000-00007B320000}"/>
    <cellStyle name="SAPBEXHLevel3X 5 2" xfId="13014" xr:uid="{00000000-0005-0000-0000-00007C320000}"/>
    <cellStyle name="SAPBEXHLevel3X 6" xfId="13015" xr:uid="{00000000-0005-0000-0000-00007D320000}"/>
    <cellStyle name="SAPBEXHLevel3X 6 2" xfId="13016" xr:uid="{00000000-0005-0000-0000-00007E320000}"/>
    <cellStyle name="SAPBEXHLevel3X 7" xfId="13017" xr:uid="{00000000-0005-0000-0000-00007F320000}"/>
    <cellStyle name="SAPBEXHLevel3X 7 2" xfId="13018" xr:uid="{00000000-0005-0000-0000-000080320000}"/>
    <cellStyle name="SAPBEXHLevel3X 8" xfId="13019" xr:uid="{00000000-0005-0000-0000-000081320000}"/>
    <cellStyle name="SAPBEXHLevel3X 8 2" xfId="13020" xr:uid="{00000000-0005-0000-0000-000082320000}"/>
    <cellStyle name="SAPBEXHLevel3X 9" xfId="13021" xr:uid="{00000000-0005-0000-0000-000083320000}"/>
    <cellStyle name="SAPBEXHLevel3X 9 2" xfId="13022" xr:uid="{00000000-0005-0000-0000-000084320000}"/>
    <cellStyle name="SAPBEXresData" xfId="13023" xr:uid="{00000000-0005-0000-0000-000085320000}"/>
    <cellStyle name="SAPBEXresData 10" xfId="13024" xr:uid="{00000000-0005-0000-0000-000086320000}"/>
    <cellStyle name="SAPBEXresData 10 2" xfId="13025" xr:uid="{00000000-0005-0000-0000-000087320000}"/>
    <cellStyle name="SAPBEXresData 11" xfId="13026" xr:uid="{00000000-0005-0000-0000-000088320000}"/>
    <cellStyle name="SAPBEXresData 2" xfId="13027" xr:uid="{00000000-0005-0000-0000-000089320000}"/>
    <cellStyle name="SAPBEXresData 2 2" xfId="13028" xr:uid="{00000000-0005-0000-0000-00008A320000}"/>
    <cellStyle name="SAPBEXresData 3" xfId="13029" xr:uid="{00000000-0005-0000-0000-00008B320000}"/>
    <cellStyle name="SAPBEXresData 3 2" xfId="13030" xr:uid="{00000000-0005-0000-0000-00008C320000}"/>
    <cellStyle name="SAPBEXresData 4" xfId="13031" xr:uid="{00000000-0005-0000-0000-00008D320000}"/>
    <cellStyle name="SAPBEXresData 4 2" xfId="13032" xr:uid="{00000000-0005-0000-0000-00008E320000}"/>
    <cellStyle name="SAPBEXresData 5" xfId="13033" xr:uid="{00000000-0005-0000-0000-00008F320000}"/>
    <cellStyle name="SAPBEXresData 5 2" xfId="13034" xr:uid="{00000000-0005-0000-0000-000090320000}"/>
    <cellStyle name="SAPBEXresData 6" xfId="13035" xr:uid="{00000000-0005-0000-0000-000091320000}"/>
    <cellStyle name="SAPBEXresData 6 2" xfId="13036" xr:uid="{00000000-0005-0000-0000-000092320000}"/>
    <cellStyle name="SAPBEXresData 7" xfId="13037" xr:uid="{00000000-0005-0000-0000-000093320000}"/>
    <cellStyle name="SAPBEXresData 7 2" xfId="13038" xr:uid="{00000000-0005-0000-0000-000094320000}"/>
    <cellStyle name="SAPBEXresData 8" xfId="13039" xr:uid="{00000000-0005-0000-0000-000095320000}"/>
    <cellStyle name="SAPBEXresData 8 2" xfId="13040" xr:uid="{00000000-0005-0000-0000-000096320000}"/>
    <cellStyle name="SAPBEXresData 9" xfId="13041" xr:uid="{00000000-0005-0000-0000-000097320000}"/>
    <cellStyle name="SAPBEXresData 9 2" xfId="13042" xr:uid="{00000000-0005-0000-0000-000098320000}"/>
    <cellStyle name="SAPBEXresDataEmph" xfId="13043" xr:uid="{00000000-0005-0000-0000-000099320000}"/>
    <cellStyle name="SAPBEXresDataEmph 10" xfId="13044" xr:uid="{00000000-0005-0000-0000-00009A320000}"/>
    <cellStyle name="SAPBEXresDataEmph 10 2" xfId="13045" xr:uid="{00000000-0005-0000-0000-00009B320000}"/>
    <cellStyle name="SAPBEXresDataEmph 11" xfId="13046" xr:uid="{00000000-0005-0000-0000-00009C320000}"/>
    <cellStyle name="SAPBEXresDataEmph 2" xfId="13047" xr:uid="{00000000-0005-0000-0000-00009D320000}"/>
    <cellStyle name="SAPBEXresDataEmph 2 2" xfId="13048" xr:uid="{00000000-0005-0000-0000-00009E320000}"/>
    <cellStyle name="SAPBEXresDataEmph 3" xfId="13049" xr:uid="{00000000-0005-0000-0000-00009F320000}"/>
    <cellStyle name="SAPBEXresDataEmph 3 2" xfId="13050" xr:uid="{00000000-0005-0000-0000-0000A0320000}"/>
    <cellStyle name="SAPBEXresDataEmph 4" xfId="13051" xr:uid="{00000000-0005-0000-0000-0000A1320000}"/>
    <cellStyle name="SAPBEXresDataEmph 4 2" xfId="13052" xr:uid="{00000000-0005-0000-0000-0000A2320000}"/>
    <cellStyle name="SAPBEXresDataEmph 5" xfId="13053" xr:uid="{00000000-0005-0000-0000-0000A3320000}"/>
    <cellStyle name="SAPBEXresDataEmph 5 2" xfId="13054" xr:uid="{00000000-0005-0000-0000-0000A4320000}"/>
    <cellStyle name="SAPBEXresDataEmph 6" xfId="13055" xr:uid="{00000000-0005-0000-0000-0000A5320000}"/>
    <cellStyle name="SAPBEXresDataEmph 6 2" xfId="13056" xr:uid="{00000000-0005-0000-0000-0000A6320000}"/>
    <cellStyle name="SAPBEXresDataEmph 7" xfId="13057" xr:uid="{00000000-0005-0000-0000-0000A7320000}"/>
    <cellStyle name="SAPBEXresDataEmph 7 2" xfId="13058" xr:uid="{00000000-0005-0000-0000-0000A8320000}"/>
    <cellStyle name="SAPBEXresDataEmph 8" xfId="13059" xr:uid="{00000000-0005-0000-0000-0000A9320000}"/>
    <cellStyle name="SAPBEXresDataEmph 8 2" xfId="13060" xr:uid="{00000000-0005-0000-0000-0000AA320000}"/>
    <cellStyle name="SAPBEXresDataEmph 9" xfId="13061" xr:uid="{00000000-0005-0000-0000-0000AB320000}"/>
    <cellStyle name="SAPBEXresDataEmph 9 2" xfId="13062" xr:uid="{00000000-0005-0000-0000-0000AC320000}"/>
    <cellStyle name="SAPBEXresItem" xfId="13063" xr:uid="{00000000-0005-0000-0000-0000AD320000}"/>
    <cellStyle name="SAPBEXresItem 10" xfId="13064" xr:uid="{00000000-0005-0000-0000-0000AE320000}"/>
    <cellStyle name="SAPBEXresItem 10 2" xfId="13065" xr:uid="{00000000-0005-0000-0000-0000AF320000}"/>
    <cellStyle name="SAPBEXresItem 11" xfId="13066" xr:uid="{00000000-0005-0000-0000-0000B0320000}"/>
    <cellStyle name="SAPBEXresItem 11 2" xfId="13067" xr:uid="{00000000-0005-0000-0000-0000B1320000}"/>
    <cellStyle name="SAPBEXresItem 12" xfId="13068" xr:uid="{00000000-0005-0000-0000-0000B2320000}"/>
    <cellStyle name="SAPBEXresItem 2" xfId="13069" xr:uid="{00000000-0005-0000-0000-0000B3320000}"/>
    <cellStyle name="SAPBEXresItem 2 10" xfId="13070" xr:uid="{00000000-0005-0000-0000-0000B4320000}"/>
    <cellStyle name="SAPBEXresItem 2 10 2" xfId="13071" xr:uid="{00000000-0005-0000-0000-0000B5320000}"/>
    <cellStyle name="SAPBEXresItem 2 11" xfId="13072" xr:uid="{00000000-0005-0000-0000-0000B6320000}"/>
    <cellStyle name="SAPBEXresItem 2 2" xfId="13073" xr:uid="{00000000-0005-0000-0000-0000B7320000}"/>
    <cellStyle name="SAPBEXresItem 2 2 2" xfId="13074" xr:uid="{00000000-0005-0000-0000-0000B8320000}"/>
    <cellStyle name="SAPBEXresItem 2 3" xfId="13075" xr:uid="{00000000-0005-0000-0000-0000B9320000}"/>
    <cellStyle name="SAPBEXresItem 2 3 2" xfId="13076" xr:uid="{00000000-0005-0000-0000-0000BA320000}"/>
    <cellStyle name="SAPBEXresItem 2 4" xfId="13077" xr:uid="{00000000-0005-0000-0000-0000BB320000}"/>
    <cellStyle name="SAPBEXresItem 2 4 2" xfId="13078" xr:uid="{00000000-0005-0000-0000-0000BC320000}"/>
    <cellStyle name="SAPBEXresItem 2 5" xfId="13079" xr:uid="{00000000-0005-0000-0000-0000BD320000}"/>
    <cellStyle name="SAPBEXresItem 2 5 2" xfId="13080" xr:uid="{00000000-0005-0000-0000-0000BE320000}"/>
    <cellStyle name="SAPBEXresItem 2 6" xfId="13081" xr:uid="{00000000-0005-0000-0000-0000BF320000}"/>
    <cellStyle name="SAPBEXresItem 2 6 2" xfId="13082" xr:uid="{00000000-0005-0000-0000-0000C0320000}"/>
    <cellStyle name="SAPBEXresItem 2 7" xfId="13083" xr:uid="{00000000-0005-0000-0000-0000C1320000}"/>
    <cellStyle name="SAPBEXresItem 2 7 2" xfId="13084" xr:uid="{00000000-0005-0000-0000-0000C2320000}"/>
    <cellStyle name="SAPBEXresItem 2 8" xfId="13085" xr:uid="{00000000-0005-0000-0000-0000C3320000}"/>
    <cellStyle name="SAPBEXresItem 2 8 2" xfId="13086" xr:uid="{00000000-0005-0000-0000-0000C4320000}"/>
    <cellStyle name="SAPBEXresItem 2 9" xfId="13087" xr:uid="{00000000-0005-0000-0000-0000C5320000}"/>
    <cellStyle name="SAPBEXresItem 2 9 2" xfId="13088" xr:uid="{00000000-0005-0000-0000-0000C6320000}"/>
    <cellStyle name="SAPBEXresItem 3" xfId="13089" xr:uid="{00000000-0005-0000-0000-0000C7320000}"/>
    <cellStyle name="SAPBEXresItem 3 2" xfId="13090" xr:uid="{00000000-0005-0000-0000-0000C8320000}"/>
    <cellStyle name="SAPBEXresItem 4" xfId="13091" xr:uid="{00000000-0005-0000-0000-0000C9320000}"/>
    <cellStyle name="SAPBEXresItem 4 2" xfId="13092" xr:uid="{00000000-0005-0000-0000-0000CA320000}"/>
    <cellStyle name="SAPBEXresItem 5" xfId="13093" xr:uid="{00000000-0005-0000-0000-0000CB320000}"/>
    <cellStyle name="SAPBEXresItem 5 2" xfId="13094" xr:uid="{00000000-0005-0000-0000-0000CC320000}"/>
    <cellStyle name="SAPBEXresItem 6" xfId="13095" xr:uid="{00000000-0005-0000-0000-0000CD320000}"/>
    <cellStyle name="SAPBEXresItem 6 2" xfId="13096" xr:uid="{00000000-0005-0000-0000-0000CE320000}"/>
    <cellStyle name="SAPBEXresItem 7" xfId="13097" xr:uid="{00000000-0005-0000-0000-0000CF320000}"/>
    <cellStyle name="SAPBEXresItem 7 2" xfId="13098" xr:uid="{00000000-0005-0000-0000-0000D0320000}"/>
    <cellStyle name="SAPBEXresItem 8" xfId="13099" xr:uid="{00000000-0005-0000-0000-0000D1320000}"/>
    <cellStyle name="SAPBEXresItem 8 2" xfId="13100" xr:uid="{00000000-0005-0000-0000-0000D2320000}"/>
    <cellStyle name="SAPBEXresItem 9" xfId="13101" xr:uid="{00000000-0005-0000-0000-0000D3320000}"/>
    <cellStyle name="SAPBEXresItem 9 2" xfId="13102" xr:uid="{00000000-0005-0000-0000-0000D4320000}"/>
    <cellStyle name="SAPBEXresItemX" xfId="13103" xr:uid="{00000000-0005-0000-0000-0000D5320000}"/>
    <cellStyle name="SAPBEXresItemX 10" xfId="13104" xr:uid="{00000000-0005-0000-0000-0000D6320000}"/>
    <cellStyle name="SAPBEXresItemX 10 2" xfId="13105" xr:uid="{00000000-0005-0000-0000-0000D7320000}"/>
    <cellStyle name="SAPBEXresItemX 11" xfId="13106" xr:uid="{00000000-0005-0000-0000-0000D8320000}"/>
    <cellStyle name="SAPBEXresItemX 11 2" xfId="13107" xr:uid="{00000000-0005-0000-0000-0000D9320000}"/>
    <cellStyle name="SAPBEXresItemX 12" xfId="13108" xr:uid="{00000000-0005-0000-0000-0000DA320000}"/>
    <cellStyle name="SAPBEXresItemX 2" xfId="13109" xr:uid="{00000000-0005-0000-0000-0000DB320000}"/>
    <cellStyle name="SAPBEXresItemX 2 10" xfId="13110" xr:uid="{00000000-0005-0000-0000-0000DC320000}"/>
    <cellStyle name="SAPBEXresItemX 2 10 2" xfId="13111" xr:uid="{00000000-0005-0000-0000-0000DD320000}"/>
    <cellStyle name="SAPBEXresItemX 2 11" xfId="13112" xr:uid="{00000000-0005-0000-0000-0000DE320000}"/>
    <cellStyle name="SAPBEXresItemX 2 2" xfId="13113" xr:uid="{00000000-0005-0000-0000-0000DF320000}"/>
    <cellStyle name="SAPBEXresItemX 2 2 2" xfId="13114" xr:uid="{00000000-0005-0000-0000-0000E0320000}"/>
    <cellStyle name="SAPBEXresItemX 2 3" xfId="13115" xr:uid="{00000000-0005-0000-0000-0000E1320000}"/>
    <cellStyle name="SAPBEXresItemX 2 3 2" xfId="13116" xr:uid="{00000000-0005-0000-0000-0000E2320000}"/>
    <cellStyle name="SAPBEXresItemX 2 4" xfId="13117" xr:uid="{00000000-0005-0000-0000-0000E3320000}"/>
    <cellStyle name="SAPBEXresItemX 2 4 2" xfId="13118" xr:uid="{00000000-0005-0000-0000-0000E4320000}"/>
    <cellStyle name="SAPBEXresItemX 2 5" xfId="13119" xr:uid="{00000000-0005-0000-0000-0000E5320000}"/>
    <cellStyle name="SAPBEXresItemX 2 5 2" xfId="13120" xr:uid="{00000000-0005-0000-0000-0000E6320000}"/>
    <cellStyle name="SAPBEXresItemX 2 6" xfId="13121" xr:uid="{00000000-0005-0000-0000-0000E7320000}"/>
    <cellStyle name="SAPBEXresItemX 2 6 2" xfId="13122" xr:uid="{00000000-0005-0000-0000-0000E8320000}"/>
    <cellStyle name="SAPBEXresItemX 2 7" xfId="13123" xr:uid="{00000000-0005-0000-0000-0000E9320000}"/>
    <cellStyle name="SAPBEXresItemX 2 7 2" xfId="13124" xr:uid="{00000000-0005-0000-0000-0000EA320000}"/>
    <cellStyle name="SAPBEXresItemX 2 8" xfId="13125" xr:uid="{00000000-0005-0000-0000-0000EB320000}"/>
    <cellStyle name="SAPBEXresItemX 2 8 2" xfId="13126" xr:uid="{00000000-0005-0000-0000-0000EC320000}"/>
    <cellStyle name="SAPBEXresItemX 2 9" xfId="13127" xr:uid="{00000000-0005-0000-0000-0000ED320000}"/>
    <cellStyle name="SAPBEXresItemX 2 9 2" xfId="13128" xr:uid="{00000000-0005-0000-0000-0000EE320000}"/>
    <cellStyle name="SAPBEXresItemX 3" xfId="13129" xr:uid="{00000000-0005-0000-0000-0000EF320000}"/>
    <cellStyle name="SAPBEXresItemX 3 2" xfId="13130" xr:uid="{00000000-0005-0000-0000-0000F0320000}"/>
    <cellStyle name="SAPBEXresItemX 4" xfId="13131" xr:uid="{00000000-0005-0000-0000-0000F1320000}"/>
    <cellStyle name="SAPBEXresItemX 4 2" xfId="13132" xr:uid="{00000000-0005-0000-0000-0000F2320000}"/>
    <cellStyle name="SAPBEXresItemX 5" xfId="13133" xr:uid="{00000000-0005-0000-0000-0000F3320000}"/>
    <cellStyle name="SAPBEXresItemX 5 2" xfId="13134" xr:uid="{00000000-0005-0000-0000-0000F4320000}"/>
    <cellStyle name="SAPBEXresItemX 6" xfId="13135" xr:uid="{00000000-0005-0000-0000-0000F5320000}"/>
    <cellStyle name="SAPBEXresItemX 6 2" xfId="13136" xr:uid="{00000000-0005-0000-0000-0000F6320000}"/>
    <cellStyle name="SAPBEXresItemX 7" xfId="13137" xr:uid="{00000000-0005-0000-0000-0000F7320000}"/>
    <cellStyle name="SAPBEXresItemX 7 2" xfId="13138" xr:uid="{00000000-0005-0000-0000-0000F8320000}"/>
    <cellStyle name="SAPBEXresItemX 8" xfId="13139" xr:uid="{00000000-0005-0000-0000-0000F9320000}"/>
    <cellStyle name="SAPBEXresItemX 8 2" xfId="13140" xr:uid="{00000000-0005-0000-0000-0000FA320000}"/>
    <cellStyle name="SAPBEXresItemX 9" xfId="13141" xr:uid="{00000000-0005-0000-0000-0000FB320000}"/>
    <cellStyle name="SAPBEXresItemX 9 2" xfId="13142" xr:uid="{00000000-0005-0000-0000-0000FC320000}"/>
    <cellStyle name="SAPBEXstdData" xfId="13143" xr:uid="{00000000-0005-0000-0000-0000FD320000}"/>
    <cellStyle name="SAPBEXstdData 10" xfId="13144" xr:uid="{00000000-0005-0000-0000-0000FE320000}"/>
    <cellStyle name="SAPBEXstdData 10 2" xfId="13145" xr:uid="{00000000-0005-0000-0000-0000FF320000}"/>
    <cellStyle name="SAPBEXstdData 11" xfId="13146" xr:uid="{00000000-0005-0000-0000-000000330000}"/>
    <cellStyle name="SAPBEXstdData 11 2" xfId="13147" xr:uid="{00000000-0005-0000-0000-000001330000}"/>
    <cellStyle name="SAPBEXstdData 12" xfId="13148" xr:uid="{00000000-0005-0000-0000-000002330000}"/>
    <cellStyle name="SAPBEXstdData 2" xfId="13149" xr:uid="{00000000-0005-0000-0000-000003330000}"/>
    <cellStyle name="SAPBEXstdData 2 10" xfId="13150" xr:uid="{00000000-0005-0000-0000-000004330000}"/>
    <cellStyle name="SAPBEXstdData 2 10 2" xfId="13151" xr:uid="{00000000-0005-0000-0000-000005330000}"/>
    <cellStyle name="SAPBEXstdData 2 11" xfId="13152" xr:uid="{00000000-0005-0000-0000-000006330000}"/>
    <cellStyle name="SAPBEXstdData 2 2" xfId="13153" xr:uid="{00000000-0005-0000-0000-000007330000}"/>
    <cellStyle name="SAPBEXstdData 2 2 2" xfId="13154" xr:uid="{00000000-0005-0000-0000-000008330000}"/>
    <cellStyle name="SAPBEXstdData 2 3" xfId="13155" xr:uid="{00000000-0005-0000-0000-000009330000}"/>
    <cellStyle name="SAPBEXstdData 2 3 2" xfId="13156" xr:uid="{00000000-0005-0000-0000-00000A330000}"/>
    <cellStyle name="SAPBEXstdData 2 4" xfId="13157" xr:uid="{00000000-0005-0000-0000-00000B330000}"/>
    <cellStyle name="SAPBEXstdData 2 4 2" xfId="13158" xr:uid="{00000000-0005-0000-0000-00000C330000}"/>
    <cellStyle name="SAPBEXstdData 2 5" xfId="13159" xr:uid="{00000000-0005-0000-0000-00000D330000}"/>
    <cellStyle name="SAPBEXstdData 2 5 2" xfId="13160" xr:uid="{00000000-0005-0000-0000-00000E330000}"/>
    <cellStyle name="SAPBEXstdData 2 6" xfId="13161" xr:uid="{00000000-0005-0000-0000-00000F330000}"/>
    <cellStyle name="SAPBEXstdData 2 6 2" xfId="13162" xr:uid="{00000000-0005-0000-0000-000010330000}"/>
    <cellStyle name="SAPBEXstdData 2 7" xfId="13163" xr:uid="{00000000-0005-0000-0000-000011330000}"/>
    <cellStyle name="SAPBEXstdData 2 7 2" xfId="13164" xr:uid="{00000000-0005-0000-0000-000012330000}"/>
    <cellStyle name="SAPBEXstdData 2 8" xfId="13165" xr:uid="{00000000-0005-0000-0000-000013330000}"/>
    <cellStyle name="SAPBEXstdData 2 8 2" xfId="13166" xr:uid="{00000000-0005-0000-0000-000014330000}"/>
    <cellStyle name="SAPBEXstdData 2 9" xfId="13167" xr:uid="{00000000-0005-0000-0000-000015330000}"/>
    <cellStyle name="SAPBEXstdData 2 9 2" xfId="13168" xr:uid="{00000000-0005-0000-0000-000016330000}"/>
    <cellStyle name="SAPBEXstdData 3" xfId="13169" xr:uid="{00000000-0005-0000-0000-000017330000}"/>
    <cellStyle name="SAPBEXstdData 3 2" xfId="13170" xr:uid="{00000000-0005-0000-0000-000018330000}"/>
    <cellStyle name="SAPBEXstdData 4" xfId="13171" xr:uid="{00000000-0005-0000-0000-000019330000}"/>
    <cellStyle name="SAPBEXstdData 4 2" xfId="13172" xr:uid="{00000000-0005-0000-0000-00001A330000}"/>
    <cellStyle name="SAPBEXstdData 5" xfId="13173" xr:uid="{00000000-0005-0000-0000-00001B330000}"/>
    <cellStyle name="SAPBEXstdData 5 2" xfId="13174" xr:uid="{00000000-0005-0000-0000-00001C330000}"/>
    <cellStyle name="SAPBEXstdData 6" xfId="13175" xr:uid="{00000000-0005-0000-0000-00001D330000}"/>
    <cellStyle name="SAPBEXstdData 6 2" xfId="13176" xr:uid="{00000000-0005-0000-0000-00001E330000}"/>
    <cellStyle name="SAPBEXstdData 7" xfId="13177" xr:uid="{00000000-0005-0000-0000-00001F330000}"/>
    <cellStyle name="SAPBEXstdData 7 2" xfId="13178" xr:uid="{00000000-0005-0000-0000-000020330000}"/>
    <cellStyle name="SAPBEXstdData 8" xfId="13179" xr:uid="{00000000-0005-0000-0000-000021330000}"/>
    <cellStyle name="SAPBEXstdData 8 2" xfId="13180" xr:uid="{00000000-0005-0000-0000-000022330000}"/>
    <cellStyle name="SAPBEXstdData 9" xfId="13181" xr:uid="{00000000-0005-0000-0000-000023330000}"/>
    <cellStyle name="SAPBEXstdData 9 2" xfId="13182" xr:uid="{00000000-0005-0000-0000-000024330000}"/>
    <cellStyle name="SAPBEXstdDataEmph" xfId="13183" xr:uid="{00000000-0005-0000-0000-000025330000}"/>
    <cellStyle name="SAPBEXstdDataEmph 10" xfId="13184" xr:uid="{00000000-0005-0000-0000-000026330000}"/>
    <cellStyle name="SAPBEXstdDataEmph 10 2" xfId="13185" xr:uid="{00000000-0005-0000-0000-000027330000}"/>
    <cellStyle name="SAPBEXstdDataEmph 11" xfId="13186" xr:uid="{00000000-0005-0000-0000-000028330000}"/>
    <cellStyle name="SAPBEXstdDataEmph 11 2" xfId="13187" xr:uid="{00000000-0005-0000-0000-000029330000}"/>
    <cellStyle name="SAPBEXstdDataEmph 12" xfId="13188" xr:uid="{00000000-0005-0000-0000-00002A330000}"/>
    <cellStyle name="SAPBEXstdDataEmph 2" xfId="13189" xr:uid="{00000000-0005-0000-0000-00002B330000}"/>
    <cellStyle name="SAPBEXstdDataEmph 2 10" xfId="13190" xr:uid="{00000000-0005-0000-0000-00002C330000}"/>
    <cellStyle name="SAPBEXstdDataEmph 2 10 2" xfId="13191" xr:uid="{00000000-0005-0000-0000-00002D330000}"/>
    <cellStyle name="SAPBEXstdDataEmph 2 11" xfId="13192" xr:uid="{00000000-0005-0000-0000-00002E330000}"/>
    <cellStyle name="SAPBEXstdDataEmph 2 2" xfId="13193" xr:uid="{00000000-0005-0000-0000-00002F330000}"/>
    <cellStyle name="SAPBEXstdDataEmph 2 2 2" xfId="13194" xr:uid="{00000000-0005-0000-0000-000030330000}"/>
    <cellStyle name="SAPBEXstdDataEmph 2 3" xfId="13195" xr:uid="{00000000-0005-0000-0000-000031330000}"/>
    <cellStyle name="SAPBEXstdDataEmph 2 3 2" xfId="13196" xr:uid="{00000000-0005-0000-0000-000032330000}"/>
    <cellStyle name="SAPBEXstdDataEmph 2 4" xfId="13197" xr:uid="{00000000-0005-0000-0000-000033330000}"/>
    <cellStyle name="SAPBEXstdDataEmph 2 4 2" xfId="13198" xr:uid="{00000000-0005-0000-0000-000034330000}"/>
    <cellStyle name="SAPBEXstdDataEmph 2 5" xfId="13199" xr:uid="{00000000-0005-0000-0000-000035330000}"/>
    <cellStyle name="SAPBEXstdDataEmph 2 5 2" xfId="13200" xr:uid="{00000000-0005-0000-0000-000036330000}"/>
    <cellStyle name="SAPBEXstdDataEmph 2 6" xfId="13201" xr:uid="{00000000-0005-0000-0000-000037330000}"/>
    <cellStyle name="SAPBEXstdDataEmph 2 6 2" xfId="13202" xr:uid="{00000000-0005-0000-0000-000038330000}"/>
    <cellStyle name="SAPBEXstdDataEmph 2 7" xfId="13203" xr:uid="{00000000-0005-0000-0000-000039330000}"/>
    <cellStyle name="SAPBEXstdDataEmph 2 7 2" xfId="13204" xr:uid="{00000000-0005-0000-0000-00003A330000}"/>
    <cellStyle name="SAPBEXstdDataEmph 2 8" xfId="13205" xr:uid="{00000000-0005-0000-0000-00003B330000}"/>
    <cellStyle name="SAPBEXstdDataEmph 2 8 2" xfId="13206" xr:uid="{00000000-0005-0000-0000-00003C330000}"/>
    <cellStyle name="SAPBEXstdDataEmph 2 9" xfId="13207" xr:uid="{00000000-0005-0000-0000-00003D330000}"/>
    <cellStyle name="SAPBEXstdDataEmph 2 9 2" xfId="13208" xr:uid="{00000000-0005-0000-0000-00003E330000}"/>
    <cellStyle name="SAPBEXstdDataEmph 3" xfId="13209" xr:uid="{00000000-0005-0000-0000-00003F330000}"/>
    <cellStyle name="SAPBEXstdDataEmph 3 2" xfId="13210" xr:uid="{00000000-0005-0000-0000-000040330000}"/>
    <cellStyle name="SAPBEXstdDataEmph 4" xfId="13211" xr:uid="{00000000-0005-0000-0000-000041330000}"/>
    <cellStyle name="SAPBEXstdDataEmph 4 2" xfId="13212" xr:uid="{00000000-0005-0000-0000-000042330000}"/>
    <cellStyle name="SAPBEXstdDataEmph 5" xfId="13213" xr:uid="{00000000-0005-0000-0000-000043330000}"/>
    <cellStyle name="SAPBEXstdDataEmph 5 2" xfId="13214" xr:uid="{00000000-0005-0000-0000-000044330000}"/>
    <cellStyle name="SAPBEXstdDataEmph 6" xfId="13215" xr:uid="{00000000-0005-0000-0000-000045330000}"/>
    <cellStyle name="SAPBEXstdDataEmph 6 2" xfId="13216" xr:uid="{00000000-0005-0000-0000-000046330000}"/>
    <cellStyle name="SAPBEXstdDataEmph 7" xfId="13217" xr:uid="{00000000-0005-0000-0000-000047330000}"/>
    <cellStyle name="SAPBEXstdDataEmph 7 2" xfId="13218" xr:uid="{00000000-0005-0000-0000-000048330000}"/>
    <cellStyle name="SAPBEXstdDataEmph 8" xfId="13219" xr:uid="{00000000-0005-0000-0000-000049330000}"/>
    <cellStyle name="SAPBEXstdDataEmph 8 2" xfId="13220" xr:uid="{00000000-0005-0000-0000-00004A330000}"/>
    <cellStyle name="SAPBEXstdDataEmph 9" xfId="13221" xr:uid="{00000000-0005-0000-0000-00004B330000}"/>
    <cellStyle name="SAPBEXstdDataEmph 9 2" xfId="13222" xr:uid="{00000000-0005-0000-0000-00004C330000}"/>
    <cellStyle name="SAPBEXstdItem" xfId="13223" xr:uid="{00000000-0005-0000-0000-00004D330000}"/>
    <cellStyle name="SAPBEXstdItem 10" xfId="13224" xr:uid="{00000000-0005-0000-0000-00004E330000}"/>
    <cellStyle name="SAPBEXstdItem 10 2" xfId="13225" xr:uid="{00000000-0005-0000-0000-00004F330000}"/>
    <cellStyle name="SAPBEXstdItem 11" xfId="13226" xr:uid="{00000000-0005-0000-0000-000050330000}"/>
    <cellStyle name="SAPBEXstdItem 11 2" xfId="13227" xr:uid="{00000000-0005-0000-0000-000051330000}"/>
    <cellStyle name="SAPBEXstdItem 12" xfId="13228" xr:uid="{00000000-0005-0000-0000-000052330000}"/>
    <cellStyle name="SAPBEXstdItem 2" xfId="13229" xr:uid="{00000000-0005-0000-0000-000053330000}"/>
    <cellStyle name="SAPBEXstdItem 2 10" xfId="13230" xr:uid="{00000000-0005-0000-0000-000054330000}"/>
    <cellStyle name="SAPBEXstdItem 2 10 2" xfId="13231" xr:uid="{00000000-0005-0000-0000-000055330000}"/>
    <cellStyle name="SAPBEXstdItem 2 11" xfId="13232" xr:uid="{00000000-0005-0000-0000-000056330000}"/>
    <cellStyle name="SAPBEXstdItem 2 2" xfId="13233" xr:uid="{00000000-0005-0000-0000-000057330000}"/>
    <cellStyle name="SAPBEXstdItem 2 2 2" xfId="13234" xr:uid="{00000000-0005-0000-0000-000058330000}"/>
    <cellStyle name="SAPBEXstdItem 2 3" xfId="13235" xr:uid="{00000000-0005-0000-0000-000059330000}"/>
    <cellStyle name="SAPBEXstdItem 2 3 2" xfId="13236" xr:uid="{00000000-0005-0000-0000-00005A330000}"/>
    <cellStyle name="SAPBEXstdItem 2 4" xfId="13237" xr:uid="{00000000-0005-0000-0000-00005B330000}"/>
    <cellStyle name="SAPBEXstdItem 2 4 2" xfId="13238" xr:uid="{00000000-0005-0000-0000-00005C330000}"/>
    <cellStyle name="SAPBEXstdItem 2 5" xfId="13239" xr:uid="{00000000-0005-0000-0000-00005D330000}"/>
    <cellStyle name="SAPBEXstdItem 2 5 2" xfId="13240" xr:uid="{00000000-0005-0000-0000-00005E330000}"/>
    <cellStyle name="SAPBEXstdItem 2 6" xfId="13241" xr:uid="{00000000-0005-0000-0000-00005F330000}"/>
    <cellStyle name="SAPBEXstdItem 2 6 2" xfId="13242" xr:uid="{00000000-0005-0000-0000-000060330000}"/>
    <cellStyle name="SAPBEXstdItem 2 7" xfId="13243" xr:uid="{00000000-0005-0000-0000-000061330000}"/>
    <cellStyle name="SAPBEXstdItem 2 7 2" xfId="13244" xr:uid="{00000000-0005-0000-0000-000062330000}"/>
    <cellStyle name="SAPBEXstdItem 2 8" xfId="13245" xr:uid="{00000000-0005-0000-0000-000063330000}"/>
    <cellStyle name="SAPBEXstdItem 2 8 2" xfId="13246" xr:uid="{00000000-0005-0000-0000-000064330000}"/>
    <cellStyle name="SAPBEXstdItem 2 9" xfId="13247" xr:uid="{00000000-0005-0000-0000-000065330000}"/>
    <cellStyle name="SAPBEXstdItem 2 9 2" xfId="13248" xr:uid="{00000000-0005-0000-0000-000066330000}"/>
    <cellStyle name="SAPBEXstdItem 3" xfId="13249" xr:uid="{00000000-0005-0000-0000-000067330000}"/>
    <cellStyle name="SAPBEXstdItem 3 2" xfId="13250" xr:uid="{00000000-0005-0000-0000-000068330000}"/>
    <cellStyle name="SAPBEXstdItem 4" xfId="13251" xr:uid="{00000000-0005-0000-0000-000069330000}"/>
    <cellStyle name="SAPBEXstdItem 4 2" xfId="13252" xr:uid="{00000000-0005-0000-0000-00006A330000}"/>
    <cellStyle name="SAPBEXstdItem 5" xfId="13253" xr:uid="{00000000-0005-0000-0000-00006B330000}"/>
    <cellStyle name="SAPBEXstdItem 5 2" xfId="13254" xr:uid="{00000000-0005-0000-0000-00006C330000}"/>
    <cellStyle name="SAPBEXstdItem 6" xfId="13255" xr:uid="{00000000-0005-0000-0000-00006D330000}"/>
    <cellStyle name="SAPBEXstdItem 6 2" xfId="13256" xr:uid="{00000000-0005-0000-0000-00006E330000}"/>
    <cellStyle name="SAPBEXstdItem 7" xfId="13257" xr:uid="{00000000-0005-0000-0000-00006F330000}"/>
    <cellStyle name="SAPBEXstdItem 7 2" xfId="13258" xr:uid="{00000000-0005-0000-0000-000070330000}"/>
    <cellStyle name="SAPBEXstdItem 8" xfId="13259" xr:uid="{00000000-0005-0000-0000-000071330000}"/>
    <cellStyle name="SAPBEXstdItem 8 2" xfId="13260" xr:uid="{00000000-0005-0000-0000-000072330000}"/>
    <cellStyle name="SAPBEXstdItem 9" xfId="13261" xr:uid="{00000000-0005-0000-0000-000073330000}"/>
    <cellStyle name="SAPBEXstdItem 9 2" xfId="13262" xr:uid="{00000000-0005-0000-0000-000074330000}"/>
    <cellStyle name="SAPBEXstdItemX" xfId="13263" xr:uid="{00000000-0005-0000-0000-000075330000}"/>
    <cellStyle name="SAPBEXstdItemX 10" xfId="13264" xr:uid="{00000000-0005-0000-0000-000076330000}"/>
    <cellStyle name="SAPBEXstdItemX 10 2" xfId="13265" xr:uid="{00000000-0005-0000-0000-000077330000}"/>
    <cellStyle name="SAPBEXstdItemX 11" xfId="13266" xr:uid="{00000000-0005-0000-0000-000078330000}"/>
    <cellStyle name="SAPBEXstdItemX 11 2" xfId="13267" xr:uid="{00000000-0005-0000-0000-000079330000}"/>
    <cellStyle name="SAPBEXstdItemX 12" xfId="13268" xr:uid="{00000000-0005-0000-0000-00007A330000}"/>
    <cellStyle name="SAPBEXstdItemX 2" xfId="13269" xr:uid="{00000000-0005-0000-0000-00007B330000}"/>
    <cellStyle name="SAPBEXstdItemX 2 10" xfId="13270" xr:uid="{00000000-0005-0000-0000-00007C330000}"/>
    <cellStyle name="SAPBEXstdItemX 2 10 2" xfId="13271" xr:uid="{00000000-0005-0000-0000-00007D330000}"/>
    <cellStyle name="SAPBEXstdItemX 2 11" xfId="13272" xr:uid="{00000000-0005-0000-0000-00007E330000}"/>
    <cellStyle name="SAPBEXstdItemX 2 2" xfId="13273" xr:uid="{00000000-0005-0000-0000-00007F330000}"/>
    <cellStyle name="SAPBEXstdItemX 2 2 2" xfId="13274" xr:uid="{00000000-0005-0000-0000-000080330000}"/>
    <cellStyle name="SAPBEXstdItemX 2 3" xfId="13275" xr:uid="{00000000-0005-0000-0000-000081330000}"/>
    <cellStyle name="SAPBEXstdItemX 2 3 2" xfId="13276" xr:uid="{00000000-0005-0000-0000-000082330000}"/>
    <cellStyle name="SAPBEXstdItemX 2 4" xfId="13277" xr:uid="{00000000-0005-0000-0000-000083330000}"/>
    <cellStyle name="SAPBEXstdItemX 2 4 2" xfId="13278" xr:uid="{00000000-0005-0000-0000-000084330000}"/>
    <cellStyle name="SAPBEXstdItemX 2 5" xfId="13279" xr:uid="{00000000-0005-0000-0000-000085330000}"/>
    <cellStyle name="SAPBEXstdItemX 2 5 2" xfId="13280" xr:uid="{00000000-0005-0000-0000-000086330000}"/>
    <cellStyle name="SAPBEXstdItemX 2 6" xfId="13281" xr:uid="{00000000-0005-0000-0000-000087330000}"/>
    <cellStyle name="SAPBEXstdItemX 2 6 2" xfId="13282" xr:uid="{00000000-0005-0000-0000-000088330000}"/>
    <cellStyle name="SAPBEXstdItemX 2 7" xfId="13283" xr:uid="{00000000-0005-0000-0000-000089330000}"/>
    <cellStyle name="SAPBEXstdItemX 2 7 2" xfId="13284" xr:uid="{00000000-0005-0000-0000-00008A330000}"/>
    <cellStyle name="SAPBEXstdItemX 2 8" xfId="13285" xr:uid="{00000000-0005-0000-0000-00008B330000}"/>
    <cellStyle name="SAPBEXstdItemX 2 8 2" xfId="13286" xr:uid="{00000000-0005-0000-0000-00008C330000}"/>
    <cellStyle name="SAPBEXstdItemX 2 9" xfId="13287" xr:uid="{00000000-0005-0000-0000-00008D330000}"/>
    <cellStyle name="SAPBEXstdItemX 2 9 2" xfId="13288" xr:uid="{00000000-0005-0000-0000-00008E330000}"/>
    <cellStyle name="SAPBEXstdItemX 3" xfId="13289" xr:uid="{00000000-0005-0000-0000-00008F330000}"/>
    <cellStyle name="SAPBEXstdItemX 3 2" xfId="13290" xr:uid="{00000000-0005-0000-0000-000090330000}"/>
    <cellStyle name="SAPBEXstdItemX 4" xfId="13291" xr:uid="{00000000-0005-0000-0000-000091330000}"/>
    <cellStyle name="SAPBEXstdItemX 4 2" xfId="13292" xr:uid="{00000000-0005-0000-0000-000092330000}"/>
    <cellStyle name="SAPBEXstdItemX 5" xfId="13293" xr:uid="{00000000-0005-0000-0000-000093330000}"/>
    <cellStyle name="SAPBEXstdItemX 5 2" xfId="13294" xr:uid="{00000000-0005-0000-0000-000094330000}"/>
    <cellStyle name="SAPBEXstdItemX 6" xfId="13295" xr:uid="{00000000-0005-0000-0000-000095330000}"/>
    <cellStyle name="SAPBEXstdItemX 6 2" xfId="13296" xr:uid="{00000000-0005-0000-0000-000096330000}"/>
    <cellStyle name="SAPBEXstdItemX 7" xfId="13297" xr:uid="{00000000-0005-0000-0000-000097330000}"/>
    <cellStyle name="SAPBEXstdItemX 7 2" xfId="13298" xr:uid="{00000000-0005-0000-0000-000098330000}"/>
    <cellStyle name="SAPBEXstdItemX 8" xfId="13299" xr:uid="{00000000-0005-0000-0000-000099330000}"/>
    <cellStyle name="SAPBEXstdItemX 8 2" xfId="13300" xr:uid="{00000000-0005-0000-0000-00009A330000}"/>
    <cellStyle name="SAPBEXstdItemX 9" xfId="13301" xr:uid="{00000000-0005-0000-0000-00009B330000}"/>
    <cellStyle name="SAPBEXstdItemX 9 2" xfId="13302" xr:uid="{00000000-0005-0000-0000-00009C330000}"/>
    <cellStyle name="SAPBEXtitle" xfId="13303" xr:uid="{00000000-0005-0000-0000-00009D330000}"/>
    <cellStyle name="SAPBEXundefined" xfId="13304" xr:uid="{00000000-0005-0000-0000-00009E330000}"/>
    <cellStyle name="SAPBEXundefined 10" xfId="13305" xr:uid="{00000000-0005-0000-0000-00009F330000}"/>
    <cellStyle name="SAPBEXundefined 10 2" xfId="13306" xr:uid="{00000000-0005-0000-0000-0000A0330000}"/>
    <cellStyle name="SAPBEXundefined 11" xfId="13307" xr:uid="{00000000-0005-0000-0000-0000A1330000}"/>
    <cellStyle name="SAPBEXundefined 11 2" xfId="13308" xr:uid="{00000000-0005-0000-0000-0000A2330000}"/>
    <cellStyle name="SAPBEXundefined 12" xfId="13309" xr:uid="{00000000-0005-0000-0000-0000A3330000}"/>
    <cellStyle name="SAPBEXundefined 2" xfId="13310" xr:uid="{00000000-0005-0000-0000-0000A4330000}"/>
    <cellStyle name="SAPBEXundefined 2 10" xfId="13311" xr:uid="{00000000-0005-0000-0000-0000A5330000}"/>
    <cellStyle name="SAPBEXundefined 2 10 2" xfId="13312" xr:uid="{00000000-0005-0000-0000-0000A6330000}"/>
    <cellStyle name="SAPBEXundefined 2 11" xfId="13313" xr:uid="{00000000-0005-0000-0000-0000A7330000}"/>
    <cellStyle name="SAPBEXundefined 2 2" xfId="13314" xr:uid="{00000000-0005-0000-0000-0000A8330000}"/>
    <cellStyle name="SAPBEXundefined 2 2 2" xfId="13315" xr:uid="{00000000-0005-0000-0000-0000A9330000}"/>
    <cellStyle name="SAPBEXundefined 2 3" xfId="13316" xr:uid="{00000000-0005-0000-0000-0000AA330000}"/>
    <cellStyle name="SAPBEXundefined 2 3 2" xfId="13317" xr:uid="{00000000-0005-0000-0000-0000AB330000}"/>
    <cellStyle name="SAPBEXundefined 2 4" xfId="13318" xr:uid="{00000000-0005-0000-0000-0000AC330000}"/>
    <cellStyle name="SAPBEXundefined 2 4 2" xfId="13319" xr:uid="{00000000-0005-0000-0000-0000AD330000}"/>
    <cellStyle name="SAPBEXundefined 2 5" xfId="13320" xr:uid="{00000000-0005-0000-0000-0000AE330000}"/>
    <cellStyle name="SAPBEXundefined 2 5 2" xfId="13321" xr:uid="{00000000-0005-0000-0000-0000AF330000}"/>
    <cellStyle name="SAPBEXundefined 2 6" xfId="13322" xr:uid="{00000000-0005-0000-0000-0000B0330000}"/>
    <cellStyle name="SAPBEXundefined 2 6 2" xfId="13323" xr:uid="{00000000-0005-0000-0000-0000B1330000}"/>
    <cellStyle name="SAPBEXundefined 2 7" xfId="13324" xr:uid="{00000000-0005-0000-0000-0000B2330000}"/>
    <cellStyle name="SAPBEXundefined 2 7 2" xfId="13325" xr:uid="{00000000-0005-0000-0000-0000B3330000}"/>
    <cellStyle name="SAPBEXundefined 2 8" xfId="13326" xr:uid="{00000000-0005-0000-0000-0000B4330000}"/>
    <cellStyle name="SAPBEXundefined 2 8 2" xfId="13327" xr:uid="{00000000-0005-0000-0000-0000B5330000}"/>
    <cellStyle name="SAPBEXundefined 2 9" xfId="13328" xr:uid="{00000000-0005-0000-0000-0000B6330000}"/>
    <cellStyle name="SAPBEXundefined 2 9 2" xfId="13329" xr:uid="{00000000-0005-0000-0000-0000B7330000}"/>
    <cellStyle name="SAPBEXundefined 3" xfId="13330" xr:uid="{00000000-0005-0000-0000-0000B8330000}"/>
    <cellStyle name="SAPBEXundefined 3 2" xfId="13331" xr:uid="{00000000-0005-0000-0000-0000B9330000}"/>
    <cellStyle name="SAPBEXundefined 4" xfId="13332" xr:uid="{00000000-0005-0000-0000-0000BA330000}"/>
    <cellStyle name="SAPBEXundefined 4 2" xfId="13333" xr:uid="{00000000-0005-0000-0000-0000BB330000}"/>
    <cellStyle name="SAPBEXundefined 5" xfId="13334" xr:uid="{00000000-0005-0000-0000-0000BC330000}"/>
    <cellStyle name="SAPBEXundefined 5 2" xfId="13335" xr:uid="{00000000-0005-0000-0000-0000BD330000}"/>
    <cellStyle name="SAPBEXundefined 6" xfId="13336" xr:uid="{00000000-0005-0000-0000-0000BE330000}"/>
    <cellStyle name="SAPBEXundefined 6 2" xfId="13337" xr:uid="{00000000-0005-0000-0000-0000BF330000}"/>
    <cellStyle name="SAPBEXundefined 7" xfId="13338" xr:uid="{00000000-0005-0000-0000-0000C0330000}"/>
    <cellStyle name="SAPBEXundefined 7 2" xfId="13339" xr:uid="{00000000-0005-0000-0000-0000C1330000}"/>
    <cellStyle name="SAPBEXundefined 8" xfId="13340" xr:uid="{00000000-0005-0000-0000-0000C2330000}"/>
    <cellStyle name="SAPBEXundefined 8 2" xfId="13341" xr:uid="{00000000-0005-0000-0000-0000C3330000}"/>
    <cellStyle name="SAPBEXundefined 9" xfId="13342" xr:uid="{00000000-0005-0000-0000-0000C4330000}"/>
    <cellStyle name="SAPBEXundefined 9 2" xfId="13343" xr:uid="{00000000-0005-0000-0000-0000C5330000}"/>
    <cellStyle name="SAPDataCell" xfId="13344" xr:uid="{00000000-0005-0000-0000-0000C6330000}"/>
    <cellStyle name="SAPDataTotalCell" xfId="13345" xr:uid="{00000000-0005-0000-0000-0000C7330000}"/>
    <cellStyle name="SAPDimensionCell" xfId="13346" xr:uid="{00000000-0005-0000-0000-0000C8330000}"/>
    <cellStyle name="SAPEmphasized" xfId="13347" xr:uid="{00000000-0005-0000-0000-0000C9330000}"/>
    <cellStyle name="SAPHierarchyCell0" xfId="13348" xr:uid="{00000000-0005-0000-0000-0000CA330000}"/>
    <cellStyle name="SAPHierarchyCell1" xfId="13349" xr:uid="{00000000-0005-0000-0000-0000CB330000}"/>
    <cellStyle name="SAPHierarchyCell2" xfId="13350" xr:uid="{00000000-0005-0000-0000-0000CC330000}"/>
    <cellStyle name="SAPHierarchyCell3" xfId="13351" xr:uid="{00000000-0005-0000-0000-0000CD330000}"/>
    <cellStyle name="SAPHierarchyCell4" xfId="13352" xr:uid="{00000000-0005-0000-0000-0000CE330000}"/>
    <cellStyle name="SAPLocked" xfId="13353" xr:uid="{00000000-0005-0000-0000-0000CF330000}"/>
    <cellStyle name="SAPLocked 10" xfId="13354" xr:uid="{00000000-0005-0000-0000-0000D0330000}"/>
    <cellStyle name="SAPLocked 10 10" xfId="13355" xr:uid="{00000000-0005-0000-0000-0000D1330000}"/>
    <cellStyle name="SAPLocked 10 10 2" xfId="13356" xr:uid="{00000000-0005-0000-0000-0000D2330000}"/>
    <cellStyle name="SAPLocked 10 11" xfId="13357" xr:uid="{00000000-0005-0000-0000-0000D3330000}"/>
    <cellStyle name="SAPLocked 10 11 2" xfId="13358" xr:uid="{00000000-0005-0000-0000-0000D4330000}"/>
    <cellStyle name="SAPLocked 10 12" xfId="13359" xr:uid="{00000000-0005-0000-0000-0000D5330000}"/>
    <cellStyle name="SAPLocked 10 12 2" xfId="13360" xr:uid="{00000000-0005-0000-0000-0000D6330000}"/>
    <cellStyle name="SAPLocked 10 13" xfId="13361" xr:uid="{00000000-0005-0000-0000-0000D7330000}"/>
    <cellStyle name="SAPLocked 10 2" xfId="13362" xr:uid="{00000000-0005-0000-0000-0000D8330000}"/>
    <cellStyle name="SAPLocked 10 2 10" xfId="13363" xr:uid="{00000000-0005-0000-0000-0000D9330000}"/>
    <cellStyle name="SAPLocked 10 2 10 2" xfId="13364" xr:uid="{00000000-0005-0000-0000-0000DA330000}"/>
    <cellStyle name="SAPLocked 10 2 11" xfId="13365" xr:uid="{00000000-0005-0000-0000-0000DB330000}"/>
    <cellStyle name="SAPLocked 10 2 11 2" xfId="13366" xr:uid="{00000000-0005-0000-0000-0000DC330000}"/>
    <cellStyle name="SAPLocked 10 2 12" xfId="13367" xr:uid="{00000000-0005-0000-0000-0000DD330000}"/>
    <cellStyle name="SAPLocked 10 2 2" xfId="13368" xr:uid="{00000000-0005-0000-0000-0000DE330000}"/>
    <cellStyle name="SAPLocked 10 2 2 2" xfId="13369" xr:uid="{00000000-0005-0000-0000-0000DF330000}"/>
    <cellStyle name="SAPLocked 10 2 3" xfId="13370" xr:uid="{00000000-0005-0000-0000-0000E0330000}"/>
    <cellStyle name="SAPLocked 10 2 3 2" xfId="13371" xr:uid="{00000000-0005-0000-0000-0000E1330000}"/>
    <cellStyle name="SAPLocked 10 2 4" xfId="13372" xr:uid="{00000000-0005-0000-0000-0000E2330000}"/>
    <cellStyle name="SAPLocked 10 2 4 2" xfId="13373" xr:uid="{00000000-0005-0000-0000-0000E3330000}"/>
    <cellStyle name="SAPLocked 10 2 5" xfId="13374" xr:uid="{00000000-0005-0000-0000-0000E4330000}"/>
    <cellStyle name="SAPLocked 10 2 5 2" xfId="13375" xr:uid="{00000000-0005-0000-0000-0000E5330000}"/>
    <cellStyle name="SAPLocked 10 2 6" xfId="13376" xr:uid="{00000000-0005-0000-0000-0000E6330000}"/>
    <cellStyle name="SAPLocked 10 2 6 2" xfId="13377" xr:uid="{00000000-0005-0000-0000-0000E7330000}"/>
    <cellStyle name="SAPLocked 10 2 7" xfId="13378" xr:uid="{00000000-0005-0000-0000-0000E8330000}"/>
    <cellStyle name="SAPLocked 10 2 7 2" xfId="13379" xr:uid="{00000000-0005-0000-0000-0000E9330000}"/>
    <cellStyle name="SAPLocked 10 2 8" xfId="13380" xr:uid="{00000000-0005-0000-0000-0000EA330000}"/>
    <cellStyle name="SAPLocked 10 2 8 2" xfId="13381" xr:uid="{00000000-0005-0000-0000-0000EB330000}"/>
    <cellStyle name="SAPLocked 10 2 9" xfId="13382" xr:uid="{00000000-0005-0000-0000-0000EC330000}"/>
    <cellStyle name="SAPLocked 10 2 9 2" xfId="13383" xr:uid="{00000000-0005-0000-0000-0000ED330000}"/>
    <cellStyle name="SAPLocked 10 3" xfId="13384" xr:uid="{00000000-0005-0000-0000-0000EE330000}"/>
    <cellStyle name="SAPLocked 10 3 2" xfId="13385" xr:uid="{00000000-0005-0000-0000-0000EF330000}"/>
    <cellStyle name="SAPLocked 10 4" xfId="13386" xr:uid="{00000000-0005-0000-0000-0000F0330000}"/>
    <cellStyle name="SAPLocked 10 4 2" xfId="13387" xr:uid="{00000000-0005-0000-0000-0000F1330000}"/>
    <cellStyle name="SAPLocked 10 5" xfId="13388" xr:uid="{00000000-0005-0000-0000-0000F2330000}"/>
    <cellStyle name="SAPLocked 10 5 2" xfId="13389" xr:uid="{00000000-0005-0000-0000-0000F3330000}"/>
    <cellStyle name="SAPLocked 10 6" xfId="13390" xr:uid="{00000000-0005-0000-0000-0000F4330000}"/>
    <cellStyle name="SAPLocked 10 6 2" xfId="13391" xr:uid="{00000000-0005-0000-0000-0000F5330000}"/>
    <cellStyle name="SAPLocked 10 7" xfId="13392" xr:uid="{00000000-0005-0000-0000-0000F6330000}"/>
    <cellStyle name="SAPLocked 10 7 2" xfId="13393" xr:uid="{00000000-0005-0000-0000-0000F7330000}"/>
    <cellStyle name="SAPLocked 10 8" xfId="13394" xr:uid="{00000000-0005-0000-0000-0000F8330000}"/>
    <cellStyle name="SAPLocked 10 8 2" xfId="13395" xr:uid="{00000000-0005-0000-0000-0000F9330000}"/>
    <cellStyle name="SAPLocked 10 9" xfId="13396" xr:uid="{00000000-0005-0000-0000-0000FA330000}"/>
    <cellStyle name="SAPLocked 10 9 2" xfId="13397" xr:uid="{00000000-0005-0000-0000-0000FB330000}"/>
    <cellStyle name="SAPLocked 11" xfId="13398" xr:uid="{00000000-0005-0000-0000-0000FC330000}"/>
    <cellStyle name="SAPLocked 11 10" xfId="13399" xr:uid="{00000000-0005-0000-0000-0000FD330000}"/>
    <cellStyle name="SAPLocked 11 10 2" xfId="13400" xr:uid="{00000000-0005-0000-0000-0000FE330000}"/>
    <cellStyle name="SAPLocked 11 11" xfId="13401" xr:uid="{00000000-0005-0000-0000-0000FF330000}"/>
    <cellStyle name="SAPLocked 11 11 2" xfId="13402" xr:uid="{00000000-0005-0000-0000-000000340000}"/>
    <cellStyle name="SAPLocked 11 12" xfId="13403" xr:uid="{00000000-0005-0000-0000-000001340000}"/>
    <cellStyle name="SAPLocked 11 12 2" xfId="13404" xr:uid="{00000000-0005-0000-0000-000002340000}"/>
    <cellStyle name="SAPLocked 11 13" xfId="13405" xr:uid="{00000000-0005-0000-0000-000003340000}"/>
    <cellStyle name="SAPLocked 11 2" xfId="13406" xr:uid="{00000000-0005-0000-0000-000004340000}"/>
    <cellStyle name="SAPLocked 11 2 10" xfId="13407" xr:uid="{00000000-0005-0000-0000-000005340000}"/>
    <cellStyle name="SAPLocked 11 2 10 2" xfId="13408" xr:uid="{00000000-0005-0000-0000-000006340000}"/>
    <cellStyle name="SAPLocked 11 2 11" xfId="13409" xr:uid="{00000000-0005-0000-0000-000007340000}"/>
    <cellStyle name="SAPLocked 11 2 11 2" xfId="13410" xr:uid="{00000000-0005-0000-0000-000008340000}"/>
    <cellStyle name="SAPLocked 11 2 12" xfId="13411" xr:uid="{00000000-0005-0000-0000-000009340000}"/>
    <cellStyle name="SAPLocked 11 2 2" xfId="13412" xr:uid="{00000000-0005-0000-0000-00000A340000}"/>
    <cellStyle name="SAPLocked 11 2 2 2" xfId="13413" xr:uid="{00000000-0005-0000-0000-00000B340000}"/>
    <cellStyle name="SAPLocked 11 2 3" xfId="13414" xr:uid="{00000000-0005-0000-0000-00000C340000}"/>
    <cellStyle name="SAPLocked 11 2 3 2" xfId="13415" xr:uid="{00000000-0005-0000-0000-00000D340000}"/>
    <cellStyle name="SAPLocked 11 2 4" xfId="13416" xr:uid="{00000000-0005-0000-0000-00000E340000}"/>
    <cellStyle name="SAPLocked 11 2 4 2" xfId="13417" xr:uid="{00000000-0005-0000-0000-00000F340000}"/>
    <cellStyle name="SAPLocked 11 2 5" xfId="13418" xr:uid="{00000000-0005-0000-0000-000010340000}"/>
    <cellStyle name="SAPLocked 11 2 5 2" xfId="13419" xr:uid="{00000000-0005-0000-0000-000011340000}"/>
    <cellStyle name="SAPLocked 11 2 6" xfId="13420" xr:uid="{00000000-0005-0000-0000-000012340000}"/>
    <cellStyle name="SAPLocked 11 2 6 2" xfId="13421" xr:uid="{00000000-0005-0000-0000-000013340000}"/>
    <cellStyle name="SAPLocked 11 2 7" xfId="13422" xr:uid="{00000000-0005-0000-0000-000014340000}"/>
    <cellStyle name="SAPLocked 11 2 7 2" xfId="13423" xr:uid="{00000000-0005-0000-0000-000015340000}"/>
    <cellStyle name="SAPLocked 11 2 8" xfId="13424" xr:uid="{00000000-0005-0000-0000-000016340000}"/>
    <cellStyle name="SAPLocked 11 2 8 2" xfId="13425" xr:uid="{00000000-0005-0000-0000-000017340000}"/>
    <cellStyle name="SAPLocked 11 2 9" xfId="13426" xr:uid="{00000000-0005-0000-0000-000018340000}"/>
    <cellStyle name="SAPLocked 11 2 9 2" xfId="13427" xr:uid="{00000000-0005-0000-0000-000019340000}"/>
    <cellStyle name="SAPLocked 11 3" xfId="13428" xr:uid="{00000000-0005-0000-0000-00001A340000}"/>
    <cellStyle name="SAPLocked 11 3 2" xfId="13429" xr:uid="{00000000-0005-0000-0000-00001B340000}"/>
    <cellStyle name="SAPLocked 11 4" xfId="13430" xr:uid="{00000000-0005-0000-0000-00001C340000}"/>
    <cellStyle name="SAPLocked 11 4 2" xfId="13431" xr:uid="{00000000-0005-0000-0000-00001D340000}"/>
    <cellStyle name="SAPLocked 11 5" xfId="13432" xr:uid="{00000000-0005-0000-0000-00001E340000}"/>
    <cellStyle name="SAPLocked 11 5 2" xfId="13433" xr:uid="{00000000-0005-0000-0000-00001F340000}"/>
    <cellStyle name="SAPLocked 11 6" xfId="13434" xr:uid="{00000000-0005-0000-0000-000020340000}"/>
    <cellStyle name="SAPLocked 11 6 2" xfId="13435" xr:uid="{00000000-0005-0000-0000-000021340000}"/>
    <cellStyle name="SAPLocked 11 7" xfId="13436" xr:uid="{00000000-0005-0000-0000-000022340000}"/>
    <cellStyle name="SAPLocked 11 7 2" xfId="13437" xr:uid="{00000000-0005-0000-0000-000023340000}"/>
    <cellStyle name="SAPLocked 11 8" xfId="13438" xr:uid="{00000000-0005-0000-0000-000024340000}"/>
    <cellStyle name="SAPLocked 11 8 2" xfId="13439" xr:uid="{00000000-0005-0000-0000-000025340000}"/>
    <cellStyle name="SAPLocked 11 9" xfId="13440" xr:uid="{00000000-0005-0000-0000-000026340000}"/>
    <cellStyle name="SAPLocked 11 9 2" xfId="13441" xr:uid="{00000000-0005-0000-0000-000027340000}"/>
    <cellStyle name="SAPLocked 12" xfId="13442" xr:uid="{00000000-0005-0000-0000-000028340000}"/>
    <cellStyle name="SAPLocked 12 10" xfId="13443" xr:uid="{00000000-0005-0000-0000-000029340000}"/>
    <cellStyle name="SAPLocked 12 10 2" xfId="13444" xr:uid="{00000000-0005-0000-0000-00002A340000}"/>
    <cellStyle name="SAPLocked 12 11" xfId="13445" xr:uid="{00000000-0005-0000-0000-00002B340000}"/>
    <cellStyle name="SAPLocked 12 11 2" xfId="13446" xr:uid="{00000000-0005-0000-0000-00002C340000}"/>
    <cellStyle name="SAPLocked 12 12" xfId="13447" xr:uid="{00000000-0005-0000-0000-00002D340000}"/>
    <cellStyle name="SAPLocked 12 12 2" xfId="13448" xr:uid="{00000000-0005-0000-0000-00002E340000}"/>
    <cellStyle name="SAPLocked 12 13" xfId="13449" xr:uid="{00000000-0005-0000-0000-00002F340000}"/>
    <cellStyle name="SAPLocked 12 2" xfId="13450" xr:uid="{00000000-0005-0000-0000-000030340000}"/>
    <cellStyle name="SAPLocked 12 2 10" xfId="13451" xr:uid="{00000000-0005-0000-0000-000031340000}"/>
    <cellStyle name="SAPLocked 12 2 10 2" xfId="13452" xr:uid="{00000000-0005-0000-0000-000032340000}"/>
    <cellStyle name="SAPLocked 12 2 11" xfId="13453" xr:uid="{00000000-0005-0000-0000-000033340000}"/>
    <cellStyle name="SAPLocked 12 2 11 2" xfId="13454" xr:uid="{00000000-0005-0000-0000-000034340000}"/>
    <cellStyle name="SAPLocked 12 2 12" xfId="13455" xr:uid="{00000000-0005-0000-0000-000035340000}"/>
    <cellStyle name="SAPLocked 12 2 2" xfId="13456" xr:uid="{00000000-0005-0000-0000-000036340000}"/>
    <cellStyle name="SAPLocked 12 2 2 2" xfId="13457" xr:uid="{00000000-0005-0000-0000-000037340000}"/>
    <cellStyle name="SAPLocked 12 2 3" xfId="13458" xr:uid="{00000000-0005-0000-0000-000038340000}"/>
    <cellStyle name="SAPLocked 12 2 3 2" xfId="13459" xr:uid="{00000000-0005-0000-0000-000039340000}"/>
    <cellStyle name="SAPLocked 12 2 4" xfId="13460" xr:uid="{00000000-0005-0000-0000-00003A340000}"/>
    <cellStyle name="SAPLocked 12 2 4 2" xfId="13461" xr:uid="{00000000-0005-0000-0000-00003B340000}"/>
    <cellStyle name="SAPLocked 12 2 5" xfId="13462" xr:uid="{00000000-0005-0000-0000-00003C340000}"/>
    <cellStyle name="SAPLocked 12 2 5 2" xfId="13463" xr:uid="{00000000-0005-0000-0000-00003D340000}"/>
    <cellStyle name="SAPLocked 12 2 6" xfId="13464" xr:uid="{00000000-0005-0000-0000-00003E340000}"/>
    <cellStyle name="SAPLocked 12 2 6 2" xfId="13465" xr:uid="{00000000-0005-0000-0000-00003F340000}"/>
    <cellStyle name="SAPLocked 12 2 7" xfId="13466" xr:uid="{00000000-0005-0000-0000-000040340000}"/>
    <cellStyle name="SAPLocked 12 2 7 2" xfId="13467" xr:uid="{00000000-0005-0000-0000-000041340000}"/>
    <cellStyle name="SAPLocked 12 2 8" xfId="13468" xr:uid="{00000000-0005-0000-0000-000042340000}"/>
    <cellStyle name="SAPLocked 12 2 8 2" xfId="13469" xr:uid="{00000000-0005-0000-0000-000043340000}"/>
    <cellStyle name="SAPLocked 12 2 9" xfId="13470" xr:uid="{00000000-0005-0000-0000-000044340000}"/>
    <cellStyle name="SAPLocked 12 2 9 2" xfId="13471" xr:uid="{00000000-0005-0000-0000-000045340000}"/>
    <cellStyle name="SAPLocked 12 3" xfId="13472" xr:uid="{00000000-0005-0000-0000-000046340000}"/>
    <cellStyle name="SAPLocked 12 3 2" xfId="13473" xr:uid="{00000000-0005-0000-0000-000047340000}"/>
    <cellStyle name="SAPLocked 12 4" xfId="13474" xr:uid="{00000000-0005-0000-0000-000048340000}"/>
    <cellStyle name="SAPLocked 12 4 2" xfId="13475" xr:uid="{00000000-0005-0000-0000-000049340000}"/>
    <cellStyle name="SAPLocked 12 5" xfId="13476" xr:uid="{00000000-0005-0000-0000-00004A340000}"/>
    <cellStyle name="SAPLocked 12 5 2" xfId="13477" xr:uid="{00000000-0005-0000-0000-00004B340000}"/>
    <cellStyle name="SAPLocked 12 6" xfId="13478" xr:uid="{00000000-0005-0000-0000-00004C340000}"/>
    <cellStyle name="SAPLocked 12 6 2" xfId="13479" xr:uid="{00000000-0005-0000-0000-00004D340000}"/>
    <cellStyle name="SAPLocked 12 7" xfId="13480" xr:uid="{00000000-0005-0000-0000-00004E340000}"/>
    <cellStyle name="SAPLocked 12 7 2" xfId="13481" xr:uid="{00000000-0005-0000-0000-00004F340000}"/>
    <cellStyle name="SAPLocked 12 8" xfId="13482" xr:uid="{00000000-0005-0000-0000-000050340000}"/>
    <cellStyle name="SAPLocked 12 8 2" xfId="13483" xr:uid="{00000000-0005-0000-0000-000051340000}"/>
    <cellStyle name="SAPLocked 12 9" xfId="13484" xr:uid="{00000000-0005-0000-0000-000052340000}"/>
    <cellStyle name="SAPLocked 12 9 2" xfId="13485" xr:uid="{00000000-0005-0000-0000-000053340000}"/>
    <cellStyle name="SAPLocked 13" xfId="13486" xr:uid="{00000000-0005-0000-0000-000054340000}"/>
    <cellStyle name="SAPLocked 13 10" xfId="13487" xr:uid="{00000000-0005-0000-0000-000055340000}"/>
    <cellStyle name="SAPLocked 13 10 2" xfId="13488" xr:uid="{00000000-0005-0000-0000-000056340000}"/>
    <cellStyle name="SAPLocked 13 11" xfId="13489" xr:uid="{00000000-0005-0000-0000-000057340000}"/>
    <cellStyle name="SAPLocked 13 11 2" xfId="13490" xr:uid="{00000000-0005-0000-0000-000058340000}"/>
    <cellStyle name="SAPLocked 13 12" xfId="13491" xr:uid="{00000000-0005-0000-0000-000059340000}"/>
    <cellStyle name="SAPLocked 13 12 2" xfId="13492" xr:uid="{00000000-0005-0000-0000-00005A340000}"/>
    <cellStyle name="SAPLocked 13 13" xfId="13493" xr:uid="{00000000-0005-0000-0000-00005B340000}"/>
    <cellStyle name="SAPLocked 13 2" xfId="13494" xr:uid="{00000000-0005-0000-0000-00005C340000}"/>
    <cellStyle name="SAPLocked 13 2 10" xfId="13495" xr:uid="{00000000-0005-0000-0000-00005D340000}"/>
    <cellStyle name="SAPLocked 13 2 10 2" xfId="13496" xr:uid="{00000000-0005-0000-0000-00005E340000}"/>
    <cellStyle name="SAPLocked 13 2 11" xfId="13497" xr:uid="{00000000-0005-0000-0000-00005F340000}"/>
    <cellStyle name="SAPLocked 13 2 11 2" xfId="13498" xr:uid="{00000000-0005-0000-0000-000060340000}"/>
    <cellStyle name="SAPLocked 13 2 12" xfId="13499" xr:uid="{00000000-0005-0000-0000-000061340000}"/>
    <cellStyle name="SAPLocked 13 2 2" xfId="13500" xr:uid="{00000000-0005-0000-0000-000062340000}"/>
    <cellStyle name="SAPLocked 13 2 2 2" xfId="13501" xr:uid="{00000000-0005-0000-0000-000063340000}"/>
    <cellStyle name="SAPLocked 13 2 3" xfId="13502" xr:uid="{00000000-0005-0000-0000-000064340000}"/>
    <cellStyle name="SAPLocked 13 2 3 2" xfId="13503" xr:uid="{00000000-0005-0000-0000-000065340000}"/>
    <cellStyle name="SAPLocked 13 2 4" xfId="13504" xr:uid="{00000000-0005-0000-0000-000066340000}"/>
    <cellStyle name="SAPLocked 13 2 4 2" xfId="13505" xr:uid="{00000000-0005-0000-0000-000067340000}"/>
    <cellStyle name="SAPLocked 13 2 5" xfId="13506" xr:uid="{00000000-0005-0000-0000-000068340000}"/>
    <cellStyle name="SAPLocked 13 2 5 2" xfId="13507" xr:uid="{00000000-0005-0000-0000-000069340000}"/>
    <cellStyle name="SAPLocked 13 2 6" xfId="13508" xr:uid="{00000000-0005-0000-0000-00006A340000}"/>
    <cellStyle name="SAPLocked 13 2 6 2" xfId="13509" xr:uid="{00000000-0005-0000-0000-00006B340000}"/>
    <cellStyle name="SAPLocked 13 2 7" xfId="13510" xr:uid="{00000000-0005-0000-0000-00006C340000}"/>
    <cellStyle name="SAPLocked 13 2 7 2" xfId="13511" xr:uid="{00000000-0005-0000-0000-00006D340000}"/>
    <cellStyle name="SAPLocked 13 2 8" xfId="13512" xr:uid="{00000000-0005-0000-0000-00006E340000}"/>
    <cellStyle name="SAPLocked 13 2 8 2" xfId="13513" xr:uid="{00000000-0005-0000-0000-00006F340000}"/>
    <cellStyle name="SAPLocked 13 2 9" xfId="13514" xr:uid="{00000000-0005-0000-0000-000070340000}"/>
    <cellStyle name="SAPLocked 13 2 9 2" xfId="13515" xr:uid="{00000000-0005-0000-0000-000071340000}"/>
    <cellStyle name="SAPLocked 13 3" xfId="13516" xr:uid="{00000000-0005-0000-0000-000072340000}"/>
    <cellStyle name="SAPLocked 13 3 2" xfId="13517" xr:uid="{00000000-0005-0000-0000-000073340000}"/>
    <cellStyle name="SAPLocked 13 4" xfId="13518" xr:uid="{00000000-0005-0000-0000-000074340000}"/>
    <cellStyle name="SAPLocked 13 4 2" xfId="13519" xr:uid="{00000000-0005-0000-0000-000075340000}"/>
    <cellStyle name="SAPLocked 13 5" xfId="13520" xr:uid="{00000000-0005-0000-0000-000076340000}"/>
    <cellStyle name="SAPLocked 13 5 2" xfId="13521" xr:uid="{00000000-0005-0000-0000-000077340000}"/>
    <cellStyle name="SAPLocked 13 6" xfId="13522" xr:uid="{00000000-0005-0000-0000-000078340000}"/>
    <cellStyle name="SAPLocked 13 6 2" xfId="13523" xr:uid="{00000000-0005-0000-0000-000079340000}"/>
    <cellStyle name="SAPLocked 13 7" xfId="13524" xr:uid="{00000000-0005-0000-0000-00007A340000}"/>
    <cellStyle name="SAPLocked 13 7 2" xfId="13525" xr:uid="{00000000-0005-0000-0000-00007B340000}"/>
    <cellStyle name="SAPLocked 13 8" xfId="13526" xr:uid="{00000000-0005-0000-0000-00007C340000}"/>
    <cellStyle name="SAPLocked 13 8 2" xfId="13527" xr:uid="{00000000-0005-0000-0000-00007D340000}"/>
    <cellStyle name="SAPLocked 13 9" xfId="13528" xr:uid="{00000000-0005-0000-0000-00007E340000}"/>
    <cellStyle name="SAPLocked 13 9 2" xfId="13529" xr:uid="{00000000-0005-0000-0000-00007F340000}"/>
    <cellStyle name="SAPLocked 14" xfId="13530" xr:uid="{00000000-0005-0000-0000-000080340000}"/>
    <cellStyle name="SAPLocked 14 10" xfId="13531" xr:uid="{00000000-0005-0000-0000-000081340000}"/>
    <cellStyle name="SAPLocked 14 10 2" xfId="13532" xr:uid="{00000000-0005-0000-0000-000082340000}"/>
    <cellStyle name="SAPLocked 14 11" xfId="13533" xr:uid="{00000000-0005-0000-0000-000083340000}"/>
    <cellStyle name="SAPLocked 14 11 2" xfId="13534" xr:uid="{00000000-0005-0000-0000-000084340000}"/>
    <cellStyle name="SAPLocked 14 12" xfId="13535" xr:uid="{00000000-0005-0000-0000-000085340000}"/>
    <cellStyle name="SAPLocked 14 12 2" xfId="13536" xr:uid="{00000000-0005-0000-0000-000086340000}"/>
    <cellStyle name="SAPLocked 14 13" xfId="13537" xr:uid="{00000000-0005-0000-0000-000087340000}"/>
    <cellStyle name="SAPLocked 14 2" xfId="13538" xr:uid="{00000000-0005-0000-0000-000088340000}"/>
    <cellStyle name="SAPLocked 14 2 10" xfId="13539" xr:uid="{00000000-0005-0000-0000-000089340000}"/>
    <cellStyle name="SAPLocked 14 2 10 2" xfId="13540" xr:uid="{00000000-0005-0000-0000-00008A340000}"/>
    <cellStyle name="SAPLocked 14 2 11" xfId="13541" xr:uid="{00000000-0005-0000-0000-00008B340000}"/>
    <cellStyle name="SAPLocked 14 2 11 2" xfId="13542" xr:uid="{00000000-0005-0000-0000-00008C340000}"/>
    <cellStyle name="SAPLocked 14 2 12" xfId="13543" xr:uid="{00000000-0005-0000-0000-00008D340000}"/>
    <cellStyle name="SAPLocked 14 2 2" xfId="13544" xr:uid="{00000000-0005-0000-0000-00008E340000}"/>
    <cellStyle name="SAPLocked 14 2 2 2" xfId="13545" xr:uid="{00000000-0005-0000-0000-00008F340000}"/>
    <cellStyle name="SAPLocked 14 2 3" xfId="13546" xr:uid="{00000000-0005-0000-0000-000090340000}"/>
    <cellStyle name="SAPLocked 14 2 3 2" xfId="13547" xr:uid="{00000000-0005-0000-0000-000091340000}"/>
    <cellStyle name="SAPLocked 14 2 4" xfId="13548" xr:uid="{00000000-0005-0000-0000-000092340000}"/>
    <cellStyle name="SAPLocked 14 2 4 2" xfId="13549" xr:uid="{00000000-0005-0000-0000-000093340000}"/>
    <cellStyle name="SAPLocked 14 2 5" xfId="13550" xr:uid="{00000000-0005-0000-0000-000094340000}"/>
    <cellStyle name="SAPLocked 14 2 5 2" xfId="13551" xr:uid="{00000000-0005-0000-0000-000095340000}"/>
    <cellStyle name="SAPLocked 14 2 6" xfId="13552" xr:uid="{00000000-0005-0000-0000-000096340000}"/>
    <cellStyle name="SAPLocked 14 2 6 2" xfId="13553" xr:uid="{00000000-0005-0000-0000-000097340000}"/>
    <cellStyle name="SAPLocked 14 2 7" xfId="13554" xr:uid="{00000000-0005-0000-0000-000098340000}"/>
    <cellStyle name="SAPLocked 14 2 7 2" xfId="13555" xr:uid="{00000000-0005-0000-0000-000099340000}"/>
    <cellStyle name="SAPLocked 14 2 8" xfId="13556" xr:uid="{00000000-0005-0000-0000-00009A340000}"/>
    <cellStyle name="SAPLocked 14 2 8 2" xfId="13557" xr:uid="{00000000-0005-0000-0000-00009B340000}"/>
    <cellStyle name="SAPLocked 14 2 9" xfId="13558" xr:uid="{00000000-0005-0000-0000-00009C340000}"/>
    <cellStyle name="SAPLocked 14 2 9 2" xfId="13559" xr:uid="{00000000-0005-0000-0000-00009D340000}"/>
    <cellStyle name="SAPLocked 14 3" xfId="13560" xr:uid="{00000000-0005-0000-0000-00009E340000}"/>
    <cellStyle name="SAPLocked 14 3 2" xfId="13561" xr:uid="{00000000-0005-0000-0000-00009F340000}"/>
    <cellStyle name="SAPLocked 14 4" xfId="13562" xr:uid="{00000000-0005-0000-0000-0000A0340000}"/>
    <cellStyle name="SAPLocked 14 4 2" xfId="13563" xr:uid="{00000000-0005-0000-0000-0000A1340000}"/>
    <cellStyle name="SAPLocked 14 5" xfId="13564" xr:uid="{00000000-0005-0000-0000-0000A2340000}"/>
    <cellStyle name="SAPLocked 14 5 2" xfId="13565" xr:uid="{00000000-0005-0000-0000-0000A3340000}"/>
    <cellStyle name="SAPLocked 14 6" xfId="13566" xr:uid="{00000000-0005-0000-0000-0000A4340000}"/>
    <cellStyle name="SAPLocked 14 6 2" xfId="13567" xr:uid="{00000000-0005-0000-0000-0000A5340000}"/>
    <cellStyle name="SAPLocked 14 7" xfId="13568" xr:uid="{00000000-0005-0000-0000-0000A6340000}"/>
    <cellStyle name="SAPLocked 14 7 2" xfId="13569" xr:uid="{00000000-0005-0000-0000-0000A7340000}"/>
    <cellStyle name="SAPLocked 14 8" xfId="13570" xr:uid="{00000000-0005-0000-0000-0000A8340000}"/>
    <cellStyle name="SAPLocked 14 8 2" xfId="13571" xr:uid="{00000000-0005-0000-0000-0000A9340000}"/>
    <cellStyle name="SAPLocked 14 9" xfId="13572" xr:uid="{00000000-0005-0000-0000-0000AA340000}"/>
    <cellStyle name="SAPLocked 14 9 2" xfId="13573" xr:uid="{00000000-0005-0000-0000-0000AB340000}"/>
    <cellStyle name="SAPLocked 15" xfId="13574" xr:uid="{00000000-0005-0000-0000-0000AC340000}"/>
    <cellStyle name="SAPLocked 15 10" xfId="13575" xr:uid="{00000000-0005-0000-0000-0000AD340000}"/>
    <cellStyle name="SAPLocked 15 10 2" xfId="13576" xr:uid="{00000000-0005-0000-0000-0000AE340000}"/>
    <cellStyle name="SAPLocked 15 11" xfId="13577" xr:uid="{00000000-0005-0000-0000-0000AF340000}"/>
    <cellStyle name="SAPLocked 15 11 2" xfId="13578" xr:uid="{00000000-0005-0000-0000-0000B0340000}"/>
    <cellStyle name="SAPLocked 15 12" xfId="13579" xr:uid="{00000000-0005-0000-0000-0000B1340000}"/>
    <cellStyle name="SAPLocked 15 12 2" xfId="13580" xr:uid="{00000000-0005-0000-0000-0000B2340000}"/>
    <cellStyle name="SAPLocked 15 13" xfId="13581" xr:uid="{00000000-0005-0000-0000-0000B3340000}"/>
    <cellStyle name="SAPLocked 15 2" xfId="13582" xr:uid="{00000000-0005-0000-0000-0000B4340000}"/>
    <cellStyle name="SAPLocked 15 2 10" xfId="13583" xr:uid="{00000000-0005-0000-0000-0000B5340000}"/>
    <cellStyle name="SAPLocked 15 2 10 2" xfId="13584" xr:uid="{00000000-0005-0000-0000-0000B6340000}"/>
    <cellStyle name="SAPLocked 15 2 11" xfId="13585" xr:uid="{00000000-0005-0000-0000-0000B7340000}"/>
    <cellStyle name="SAPLocked 15 2 11 2" xfId="13586" xr:uid="{00000000-0005-0000-0000-0000B8340000}"/>
    <cellStyle name="SAPLocked 15 2 12" xfId="13587" xr:uid="{00000000-0005-0000-0000-0000B9340000}"/>
    <cellStyle name="SAPLocked 15 2 2" xfId="13588" xr:uid="{00000000-0005-0000-0000-0000BA340000}"/>
    <cellStyle name="SAPLocked 15 2 2 2" xfId="13589" xr:uid="{00000000-0005-0000-0000-0000BB340000}"/>
    <cellStyle name="SAPLocked 15 2 3" xfId="13590" xr:uid="{00000000-0005-0000-0000-0000BC340000}"/>
    <cellStyle name="SAPLocked 15 2 3 2" xfId="13591" xr:uid="{00000000-0005-0000-0000-0000BD340000}"/>
    <cellStyle name="SAPLocked 15 2 4" xfId="13592" xr:uid="{00000000-0005-0000-0000-0000BE340000}"/>
    <cellStyle name="SAPLocked 15 2 4 2" xfId="13593" xr:uid="{00000000-0005-0000-0000-0000BF340000}"/>
    <cellStyle name="SAPLocked 15 2 5" xfId="13594" xr:uid="{00000000-0005-0000-0000-0000C0340000}"/>
    <cellStyle name="SAPLocked 15 2 5 2" xfId="13595" xr:uid="{00000000-0005-0000-0000-0000C1340000}"/>
    <cellStyle name="SAPLocked 15 2 6" xfId="13596" xr:uid="{00000000-0005-0000-0000-0000C2340000}"/>
    <cellStyle name="SAPLocked 15 2 6 2" xfId="13597" xr:uid="{00000000-0005-0000-0000-0000C3340000}"/>
    <cellStyle name="SAPLocked 15 2 7" xfId="13598" xr:uid="{00000000-0005-0000-0000-0000C4340000}"/>
    <cellStyle name="SAPLocked 15 2 7 2" xfId="13599" xr:uid="{00000000-0005-0000-0000-0000C5340000}"/>
    <cellStyle name="SAPLocked 15 2 8" xfId="13600" xr:uid="{00000000-0005-0000-0000-0000C6340000}"/>
    <cellStyle name="SAPLocked 15 2 8 2" xfId="13601" xr:uid="{00000000-0005-0000-0000-0000C7340000}"/>
    <cellStyle name="SAPLocked 15 2 9" xfId="13602" xr:uid="{00000000-0005-0000-0000-0000C8340000}"/>
    <cellStyle name="SAPLocked 15 2 9 2" xfId="13603" xr:uid="{00000000-0005-0000-0000-0000C9340000}"/>
    <cellStyle name="SAPLocked 15 3" xfId="13604" xr:uid="{00000000-0005-0000-0000-0000CA340000}"/>
    <cellStyle name="SAPLocked 15 3 2" xfId="13605" xr:uid="{00000000-0005-0000-0000-0000CB340000}"/>
    <cellStyle name="SAPLocked 15 4" xfId="13606" xr:uid="{00000000-0005-0000-0000-0000CC340000}"/>
    <cellStyle name="SAPLocked 15 4 2" xfId="13607" xr:uid="{00000000-0005-0000-0000-0000CD340000}"/>
    <cellStyle name="SAPLocked 15 5" xfId="13608" xr:uid="{00000000-0005-0000-0000-0000CE340000}"/>
    <cellStyle name="SAPLocked 15 5 2" xfId="13609" xr:uid="{00000000-0005-0000-0000-0000CF340000}"/>
    <cellStyle name="SAPLocked 15 6" xfId="13610" xr:uid="{00000000-0005-0000-0000-0000D0340000}"/>
    <cellStyle name="SAPLocked 15 6 2" xfId="13611" xr:uid="{00000000-0005-0000-0000-0000D1340000}"/>
    <cellStyle name="SAPLocked 15 7" xfId="13612" xr:uid="{00000000-0005-0000-0000-0000D2340000}"/>
    <cellStyle name="SAPLocked 15 7 2" xfId="13613" xr:uid="{00000000-0005-0000-0000-0000D3340000}"/>
    <cellStyle name="SAPLocked 15 8" xfId="13614" xr:uid="{00000000-0005-0000-0000-0000D4340000}"/>
    <cellStyle name="SAPLocked 15 8 2" xfId="13615" xr:uid="{00000000-0005-0000-0000-0000D5340000}"/>
    <cellStyle name="SAPLocked 15 9" xfId="13616" xr:uid="{00000000-0005-0000-0000-0000D6340000}"/>
    <cellStyle name="SAPLocked 15 9 2" xfId="13617" xr:uid="{00000000-0005-0000-0000-0000D7340000}"/>
    <cellStyle name="SAPLocked 16" xfId="13618" xr:uid="{00000000-0005-0000-0000-0000D8340000}"/>
    <cellStyle name="SAPLocked 16 10" xfId="13619" xr:uid="{00000000-0005-0000-0000-0000D9340000}"/>
    <cellStyle name="SAPLocked 16 10 2" xfId="13620" xr:uid="{00000000-0005-0000-0000-0000DA340000}"/>
    <cellStyle name="SAPLocked 16 11" xfId="13621" xr:uid="{00000000-0005-0000-0000-0000DB340000}"/>
    <cellStyle name="SAPLocked 16 11 2" xfId="13622" xr:uid="{00000000-0005-0000-0000-0000DC340000}"/>
    <cellStyle name="SAPLocked 16 12" xfId="13623" xr:uid="{00000000-0005-0000-0000-0000DD340000}"/>
    <cellStyle name="SAPLocked 16 12 2" xfId="13624" xr:uid="{00000000-0005-0000-0000-0000DE340000}"/>
    <cellStyle name="SAPLocked 16 13" xfId="13625" xr:uid="{00000000-0005-0000-0000-0000DF340000}"/>
    <cellStyle name="SAPLocked 16 2" xfId="13626" xr:uid="{00000000-0005-0000-0000-0000E0340000}"/>
    <cellStyle name="SAPLocked 16 2 10" xfId="13627" xr:uid="{00000000-0005-0000-0000-0000E1340000}"/>
    <cellStyle name="SAPLocked 16 2 10 2" xfId="13628" xr:uid="{00000000-0005-0000-0000-0000E2340000}"/>
    <cellStyle name="SAPLocked 16 2 11" xfId="13629" xr:uid="{00000000-0005-0000-0000-0000E3340000}"/>
    <cellStyle name="SAPLocked 16 2 11 2" xfId="13630" xr:uid="{00000000-0005-0000-0000-0000E4340000}"/>
    <cellStyle name="SAPLocked 16 2 12" xfId="13631" xr:uid="{00000000-0005-0000-0000-0000E5340000}"/>
    <cellStyle name="SAPLocked 16 2 2" xfId="13632" xr:uid="{00000000-0005-0000-0000-0000E6340000}"/>
    <cellStyle name="SAPLocked 16 2 2 2" xfId="13633" xr:uid="{00000000-0005-0000-0000-0000E7340000}"/>
    <cellStyle name="SAPLocked 16 2 3" xfId="13634" xr:uid="{00000000-0005-0000-0000-0000E8340000}"/>
    <cellStyle name="SAPLocked 16 2 3 2" xfId="13635" xr:uid="{00000000-0005-0000-0000-0000E9340000}"/>
    <cellStyle name="SAPLocked 16 2 4" xfId="13636" xr:uid="{00000000-0005-0000-0000-0000EA340000}"/>
    <cellStyle name="SAPLocked 16 2 4 2" xfId="13637" xr:uid="{00000000-0005-0000-0000-0000EB340000}"/>
    <cellStyle name="SAPLocked 16 2 5" xfId="13638" xr:uid="{00000000-0005-0000-0000-0000EC340000}"/>
    <cellStyle name="SAPLocked 16 2 5 2" xfId="13639" xr:uid="{00000000-0005-0000-0000-0000ED340000}"/>
    <cellStyle name="SAPLocked 16 2 6" xfId="13640" xr:uid="{00000000-0005-0000-0000-0000EE340000}"/>
    <cellStyle name="SAPLocked 16 2 6 2" xfId="13641" xr:uid="{00000000-0005-0000-0000-0000EF340000}"/>
    <cellStyle name="SAPLocked 16 2 7" xfId="13642" xr:uid="{00000000-0005-0000-0000-0000F0340000}"/>
    <cellStyle name="SAPLocked 16 2 7 2" xfId="13643" xr:uid="{00000000-0005-0000-0000-0000F1340000}"/>
    <cellStyle name="SAPLocked 16 2 8" xfId="13644" xr:uid="{00000000-0005-0000-0000-0000F2340000}"/>
    <cellStyle name="SAPLocked 16 2 8 2" xfId="13645" xr:uid="{00000000-0005-0000-0000-0000F3340000}"/>
    <cellStyle name="SAPLocked 16 2 9" xfId="13646" xr:uid="{00000000-0005-0000-0000-0000F4340000}"/>
    <cellStyle name="SAPLocked 16 2 9 2" xfId="13647" xr:uid="{00000000-0005-0000-0000-0000F5340000}"/>
    <cellStyle name="SAPLocked 16 3" xfId="13648" xr:uid="{00000000-0005-0000-0000-0000F6340000}"/>
    <cellStyle name="SAPLocked 16 3 2" xfId="13649" xr:uid="{00000000-0005-0000-0000-0000F7340000}"/>
    <cellStyle name="SAPLocked 16 4" xfId="13650" xr:uid="{00000000-0005-0000-0000-0000F8340000}"/>
    <cellStyle name="SAPLocked 16 4 2" xfId="13651" xr:uid="{00000000-0005-0000-0000-0000F9340000}"/>
    <cellStyle name="SAPLocked 16 5" xfId="13652" xr:uid="{00000000-0005-0000-0000-0000FA340000}"/>
    <cellStyle name="SAPLocked 16 5 2" xfId="13653" xr:uid="{00000000-0005-0000-0000-0000FB340000}"/>
    <cellStyle name="SAPLocked 16 6" xfId="13654" xr:uid="{00000000-0005-0000-0000-0000FC340000}"/>
    <cellStyle name="SAPLocked 16 6 2" xfId="13655" xr:uid="{00000000-0005-0000-0000-0000FD340000}"/>
    <cellStyle name="SAPLocked 16 7" xfId="13656" xr:uid="{00000000-0005-0000-0000-0000FE340000}"/>
    <cellStyle name="SAPLocked 16 7 2" xfId="13657" xr:uid="{00000000-0005-0000-0000-0000FF340000}"/>
    <cellStyle name="SAPLocked 16 8" xfId="13658" xr:uid="{00000000-0005-0000-0000-000000350000}"/>
    <cellStyle name="SAPLocked 16 8 2" xfId="13659" xr:uid="{00000000-0005-0000-0000-000001350000}"/>
    <cellStyle name="SAPLocked 16 9" xfId="13660" xr:uid="{00000000-0005-0000-0000-000002350000}"/>
    <cellStyle name="SAPLocked 16 9 2" xfId="13661" xr:uid="{00000000-0005-0000-0000-000003350000}"/>
    <cellStyle name="SAPLocked 17" xfId="13662" xr:uid="{00000000-0005-0000-0000-000004350000}"/>
    <cellStyle name="SAPLocked 17 10" xfId="13663" xr:uid="{00000000-0005-0000-0000-000005350000}"/>
    <cellStyle name="SAPLocked 17 10 2" xfId="13664" xr:uid="{00000000-0005-0000-0000-000006350000}"/>
    <cellStyle name="SAPLocked 17 11" xfId="13665" xr:uid="{00000000-0005-0000-0000-000007350000}"/>
    <cellStyle name="SAPLocked 17 11 2" xfId="13666" xr:uid="{00000000-0005-0000-0000-000008350000}"/>
    <cellStyle name="SAPLocked 17 12" xfId="13667" xr:uid="{00000000-0005-0000-0000-000009350000}"/>
    <cellStyle name="SAPLocked 17 12 2" xfId="13668" xr:uid="{00000000-0005-0000-0000-00000A350000}"/>
    <cellStyle name="SAPLocked 17 13" xfId="13669" xr:uid="{00000000-0005-0000-0000-00000B350000}"/>
    <cellStyle name="SAPLocked 17 2" xfId="13670" xr:uid="{00000000-0005-0000-0000-00000C350000}"/>
    <cellStyle name="SAPLocked 17 2 10" xfId="13671" xr:uid="{00000000-0005-0000-0000-00000D350000}"/>
    <cellStyle name="SAPLocked 17 2 10 2" xfId="13672" xr:uid="{00000000-0005-0000-0000-00000E350000}"/>
    <cellStyle name="SAPLocked 17 2 11" xfId="13673" xr:uid="{00000000-0005-0000-0000-00000F350000}"/>
    <cellStyle name="SAPLocked 17 2 11 2" xfId="13674" xr:uid="{00000000-0005-0000-0000-000010350000}"/>
    <cellStyle name="SAPLocked 17 2 12" xfId="13675" xr:uid="{00000000-0005-0000-0000-000011350000}"/>
    <cellStyle name="SAPLocked 17 2 2" xfId="13676" xr:uid="{00000000-0005-0000-0000-000012350000}"/>
    <cellStyle name="SAPLocked 17 2 2 2" xfId="13677" xr:uid="{00000000-0005-0000-0000-000013350000}"/>
    <cellStyle name="SAPLocked 17 2 3" xfId="13678" xr:uid="{00000000-0005-0000-0000-000014350000}"/>
    <cellStyle name="SAPLocked 17 2 3 2" xfId="13679" xr:uid="{00000000-0005-0000-0000-000015350000}"/>
    <cellStyle name="SAPLocked 17 2 4" xfId="13680" xr:uid="{00000000-0005-0000-0000-000016350000}"/>
    <cellStyle name="SAPLocked 17 2 4 2" xfId="13681" xr:uid="{00000000-0005-0000-0000-000017350000}"/>
    <cellStyle name="SAPLocked 17 2 5" xfId="13682" xr:uid="{00000000-0005-0000-0000-000018350000}"/>
    <cellStyle name="SAPLocked 17 2 5 2" xfId="13683" xr:uid="{00000000-0005-0000-0000-000019350000}"/>
    <cellStyle name="SAPLocked 17 2 6" xfId="13684" xr:uid="{00000000-0005-0000-0000-00001A350000}"/>
    <cellStyle name="SAPLocked 17 2 6 2" xfId="13685" xr:uid="{00000000-0005-0000-0000-00001B350000}"/>
    <cellStyle name="SAPLocked 17 2 7" xfId="13686" xr:uid="{00000000-0005-0000-0000-00001C350000}"/>
    <cellStyle name="SAPLocked 17 2 7 2" xfId="13687" xr:uid="{00000000-0005-0000-0000-00001D350000}"/>
    <cellStyle name="SAPLocked 17 2 8" xfId="13688" xr:uid="{00000000-0005-0000-0000-00001E350000}"/>
    <cellStyle name="SAPLocked 17 2 8 2" xfId="13689" xr:uid="{00000000-0005-0000-0000-00001F350000}"/>
    <cellStyle name="SAPLocked 17 2 9" xfId="13690" xr:uid="{00000000-0005-0000-0000-000020350000}"/>
    <cellStyle name="SAPLocked 17 2 9 2" xfId="13691" xr:uid="{00000000-0005-0000-0000-000021350000}"/>
    <cellStyle name="SAPLocked 17 3" xfId="13692" xr:uid="{00000000-0005-0000-0000-000022350000}"/>
    <cellStyle name="SAPLocked 17 3 2" xfId="13693" xr:uid="{00000000-0005-0000-0000-000023350000}"/>
    <cellStyle name="SAPLocked 17 4" xfId="13694" xr:uid="{00000000-0005-0000-0000-000024350000}"/>
    <cellStyle name="SAPLocked 17 4 2" xfId="13695" xr:uid="{00000000-0005-0000-0000-000025350000}"/>
    <cellStyle name="SAPLocked 17 5" xfId="13696" xr:uid="{00000000-0005-0000-0000-000026350000}"/>
    <cellStyle name="SAPLocked 17 5 2" xfId="13697" xr:uid="{00000000-0005-0000-0000-000027350000}"/>
    <cellStyle name="SAPLocked 17 6" xfId="13698" xr:uid="{00000000-0005-0000-0000-000028350000}"/>
    <cellStyle name="SAPLocked 17 6 2" xfId="13699" xr:uid="{00000000-0005-0000-0000-000029350000}"/>
    <cellStyle name="SAPLocked 17 7" xfId="13700" xr:uid="{00000000-0005-0000-0000-00002A350000}"/>
    <cellStyle name="SAPLocked 17 7 2" xfId="13701" xr:uid="{00000000-0005-0000-0000-00002B350000}"/>
    <cellStyle name="SAPLocked 17 8" xfId="13702" xr:uid="{00000000-0005-0000-0000-00002C350000}"/>
    <cellStyle name="SAPLocked 17 8 2" xfId="13703" xr:uid="{00000000-0005-0000-0000-00002D350000}"/>
    <cellStyle name="SAPLocked 17 9" xfId="13704" xr:uid="{00000000-0005-0000-0000-00002E350000}"/>
    <cellStyle name="SAPLocked 17 9 2" xfId="13705" xr:uid="{00000000-0005-0000-0000-00002F350000}"/>
    <cellStyle name="SAPLocked 18" xfId="13706" xr:uid="{00000000-0005-0000-0000-000030350000}"/>
    <cellStyle name="SAPLocked 18 10" xfId="13707" xr:uid="{00000000-0005-0000-0000-000031350000}"/>
    <cellStyle name="SAPLocked 18 10 2" xfId="13708" xr:uid="{00000000-0005-0000-0000-000032350000}"/>
    <cellStyle name="SAPLocked 18 11" xfId="13709" xr:uid="{00000000-0005-0000-0000-000033350000}"/>
    <cellStyle name="SAPLocked 18 11 2" xfId="13710" xr:uid="{00000000-0005-0000-0000-000034350000}"/>
    <cellStyle name="SAPLocked 18 12" xfId="13711" xr:uid="{00000000-0005-0000-0000-000035350000}"/>
    <cellStyle name="SAPLocked 18 12 2" xfId="13712" xr:uid="{00000000-0005-0000-0000-000036350000}"/>
    <cellStyle name="SAPLocked 18 13" xfId="13713" xr:uid="{00000000-0005-0000-0000-000037350000}"/>
    <cellStyle name="SAPLocked 18 2" xfId="13714" xr:uid="{00000000-0005-0000-0000-000038350000}"/>
    <cellStyle name="SAPLocked 18 2 10" xfId="13715" xr:uid="{00000000-0005-0000-0000-000039350000}"/>
    <cellStyle name="SAPLocked 18 2 10 2" xfId="13716" xr:uid="{00000000-0005-0000-0000-00003A350000}"/>
    <cellStyle name="SAPLocked 18 2 11" xfId="13717" xr:uid="{00000000-0005-0000-0000-00003B350000}"/>
    <cellStyle name="SAPLocked 18 2 11 2" xfId="13718" xr:uid="{00000000-0005-0000-0000-00003C350000}"/>
    <cellStyle name="SAPLocked 18 2 12" xfId="13719" xr:uid="{00000000-0005-0000-0000-00003D350000}"/>
    <cellStyle name="SAPLocked 18 2 2" xfId="13720" xr:uid="{00000000-0005-0000-0000-00003E350000}"/>
    <cellStyle name="SAPLocked 18 2 2 2" xfId="13721" xr:uid="{00000000-0005-0000-0000-00003F350000}"/>
    <cellStyle name="SAPLocked 18 2 3" xfId="13722" xr:uid="{00000000-0005-0000-0000-000040350000}"/>
    <cellStyle name="SAPLocked 18 2 3 2" xfId="13723" xr:uid="{00000000-0005-0000-0000-000041350000}"/>
    <cellStyle name="SAPLocked 18 2 4" xfId="13724" xr:uid="{00000000-0005-0000-0000-000042350000}"/>
    <cellStyle name="SAPLocked 18 2 4 2" xfId="13725" xr:uid="{00000000-0005-0000-0000-000043350000}"/>
    <cellStyle name="SAPLocked 18 2 5" xfId="13726" xr:uid="{00000000-0005-0000-0000-000044350000}"/>
    <cellStyle name="SAPLocked 18 2 5 2" xfId="13727" xr:uid="{00000000-0005-0000-0000-000045350000}"/>
    <cellStyle name="SAPLocked 18 2 6" xfId="13728" xr:uid="{00000000-0005-0000-0000-000046350000}"/>
    <cellStyle name="SAPLocked 18 2 6 2" xfId="13729" xr:uid="{00000000-0005-0000-0000-000047350000}"/>
    <cellStyle name="SAPLocked 18 2 7" xfId="13730" xr:uid="{00000000-0005-0000-0000-000048350000}"/>
    <cellStyle name="SAPLocked 18 2 7 2" xfId="13731" xr:uid="{00000000-0005-0000-0000-000049350000}"/>
    <cellStyle name="SAPLocked 18 2 8" xfId="13732" xr:uid="{00000000-0005-0000-0000-00004A350000}"/>
    <cellStyle name="SAPLocked 18 2 8 2" xfId="13733" xr:uid="{00000000-0005-0000-0000-00004B350000}"/>
    <cellStyle name="SAPLocked 18 2 9" xfId="13734" xr:uid="{00000000-0005-0000-0000-00004C350000}"/>
    <cellStyle name="SAPLocked 18 2 9 2" xfId="13735" xr:uid="{00000000-0005-0000-0000-00004D350000}"/>
    <cellStyle name="SAPLocked 18 3" xfId="13736" xr:uid="{00000000-0005-0000-0000-00004E350000}"/>
    <cellStyle name="SAPLocked 18 3 2" xfId="13737" xr:uid="{00000000-0005-0000-0000-00004F350000}"/>
    <cellStyle name="SAPLocked 18 4" xfId="13738" xr:uid="{00000000-0005-0000-0000-000050350000}"/>
    <cellStyle name="SAPLocked 18 4 2" xfId="13739" xr:uid="{00000000-0005-0000-0000-000051350000}"/>
    <cellStyle name="SAPLocked 18 5" xfId="13740" xr:uid="{00000000-0005-0000-0000-000052350000}"/>
    <cellStyle name="SAPLocked 18 5 2" xfId="13741" xr:uid="{00000000-0005-0000-0000-000053350000}"/>
    <cellStyle name="SAPLocked 18 6" xfId="13742" xr:uid="{00000000-0005-0000-0000-000054350000}"/>
    <cellStyle name="SAPLocked 18 6 2" xfId="13743" xr:uid="{00000000-0005-0000-0000-000055350000}"/>
    <cellStyle name="SAPLocked 18 7" xfId="13744" xr:uid="{00000000-0005-0000-0000-000056350000}"/>
    <cellStyle name="SAPLocked 18 7 2" xfId="13745" xr:uid="{00000000-0005-0000-0000-000057350000}"/>
    <cellStyle name="SAPLocked 18 8" xfId="13746" xr:uid="{00000000-0005-0000-0000-000058350000}"/>
    <cellStyle name="SAPLocked 18 8 2" xfId="13747" xr:uid="{00000000-0005-0000-0000-000059350000}"/>
    <cellStyle name="SAPLocked 18 9" xfId="13748" xr:uid="{00000000-0005-0000-0000-00005A350000}"/>
    <cellStyle name="SAPLocked 18 9 2" xfId="13749" xr:uid="{00000000-0005-0000-0000-00005B350000}"/>
    <cellStyle name="SAPLocked 19" xfId="13750" xr:uid="{00000000-0005-0000-0000-00005C350000}"/>
    <cellStyle name="SAPLocked 19 10" xfId="13751" xr:uid="{00000000-0005-0000-0000-00005D350000}"/>
    <cellStyle name="SAPLocked 19 10 2" xfId="13752" xr:uid="{00000000-0005-0000-0000-00005E350000}"/>
    <cellStyle name="SAPLocked 19 11" xfId="13753" xr:uid="{00000000-0005-0000-0000-00005F350000}"/>
    <cellStyle name="SAPLocked 19 11 2" xfId="13754" xr:uid="{00000000-0005-0000-0000-000060350000}"/>
    <cellStyle name="SAPLocked 19 12" xfId="13755" xr:uid="{00000000-0005-0000-0000-000061350000}"/>
    <cellStyle name="SAPLocked 19 12 2" xfId="13756" xr:uid="{00000000-0005-0000-0000-000062350000}"/>
    <cellStyle name="SAPLocked 19 13" xfId="13757" xr:uid="{00000000-0005-0000-0000-000063350000}"/>
    <cellStyle name="SAPLocked 19 2" xfId="13758" xr:uid="{00000000-0005-0000-0000-000064350000}"/>
    <cellStyle name="SAPLocked 19 2 10" xfId="13759" xr:uid="{00000000-0005-0000-0000-000065350000}"/>
    <cellStyle name="SAPLocked 19 2 10 2" xfId="13760" xr:uid="{00000000-0005-0000-0000-000066350000}"/>
    <cellStyle name="SAPLocked 19 2 11" xfId="13761" xr:uid="{00000000-0005-0000-0000-000067350000}"/>
    <cellStyle name="SAPLocked 19 2 11 2" xfId="13762" xr:uid="{00000000-0005-0000-0000-000068350000}"/>
    <cellStyle name="SAPLocked 19 2 12" xfId="13763" xr:uid="{00000000-0005-0000-0000-000069350000}"/>
    <cellStyle name="SAPLocked 19 2 2" xfId="13764" xr:uid="{00000000-0005-0000-0000-00006A350000}"/>
    <cellStyle name="SAPLocked 19 2 2 2" xfId="13765" xr:uid="{00000000-0005-0000-0000-00006B350000}"/>
    <cellStyle name="SAPLocked 19 2 3" xfId="13766" xr:uid="{00000000-0005-0000-0000-00006C350000}"/>
    <cellStyle name="SAPLocked 19 2 3 2" xfId="13767" xr:uid="{00000000-0005-0000-0000-00006D350000}"/>
    <cellStyle name="SAPLocked 19 2 4" xfId="13768" xr:uid="{00000000-0005-0000-0000-00006E350000}"/>
    <cellStyle name="SAPLocked 19 2 4 2" xfId="13769" xr:uid="{00000000-0005-0000-0000-00006F350000}"/>
    <cellStyle name="SAPLocked 19 2 5" xfId="13770" xr:uid="{00000000-0005-0000-0000-000070350000}"/>
    <cellStyle name="SAPLocked 19 2 5 2" xfId="13771" xr:uid="{00000000-0005-0000-0000-000071350000}"/>
    <cellStyle name="SAPLocked 19 2 6" xfId="13772" xr:uid="{00000000-0005-0000-0000-000072350000}"/>
    <cellStyle name="SAPLocked 19 2 6 2" xfId="13773" xr:uid="{00000000-0005-0000-0000-000073350000}"/>
    <cellStyle name="SAPLocked 19 2 7" xfId="13774" xr:uid="{00000000-0005-0000-0000-000074350000}"/>
    <cellStyle name="SAPLocked 19 2 7 2" xfId="13775" xr:uid="{00000000-0005-0000-0000-000075350000}"/>
    <cellStyle name="SAPLocked 19 2 8" xfId="13776" xr:uid="{00000000-0005-0000-0000-000076350000}"/>
    <cellStyle name="SAPLocked 19 2 8 2" xfId="13777" xr:uid="{00000000-0005-0000-0000-000077350000}"/>
    <cellStyle name="SAPLocked 19 2 9" xfId="13778" xr:uid="{00000000-0005-0000-0000-000078350000}"/>
    <cellStyle name="SAPLocked 19 2 9 2" xfId="13779" xr:uid="{00000000-0005-0000-0000-000079350000}"/>
    <cellStyle name="SAPLocked 19 3" xfId="13780" xr:uid="{00000000-0005-0000-0000-00007A350000}"/>
    <cellStyle name="SAPLocked 19 3 2" xfId="13781" xr:uid="{00000000-0005-0000-0000-00007B350000}"/>
    <cellStyle name="SAPLocked 19 4" xfId="13782" xr:uid="{00000000-0005-0000-0000-00007C350000}"/>
    <cellStyle name="SAPLocked 19 4 2" xfId="13783" xr:uid="{00000000-0005-0000-0000-00007D350000}"/>
    <cellStyle name="SAPLocked 19 5" xfId="13784" xr:uid="{00000000-0005-0000-0000-00007E350000}"/>
    <cellStyle name="SAPLocked 19 5 2" xfId="13785" xr:uid="{00000000-0005-0000-0000-00007F350000}"/>
    <cellStyle name="SAPLocked 19 6" xfId="13786" xr:uid="{00000000-0005-0000-0000-000080350000}"/>
    <cellStyle name="SAPLocked 19 6 2" xfId="13787" xr:uid="{00000000-0005-0000-0000-000081350000}"/>
    <cellStyle name="SAPLocked 19 7" xfId="13788" xr:uid="{00000000-0005-0000-0000-000082350000}"/>
    <cellStyle name="SAPLocked 19 7 2" xfId="13789" xr:uid="{00000000-0005-0000-0000-000083350000}"/>
    <cellStyle name="SAPLocked 19 8" xfId="13790" xr:uid="{00000000-0005-0000-0000-000084350000}"/>
    <cellStyle name="SAPLocked 19 8 2" xfId="13791" xr:uid="{00000000-0005-0000-0000-000085350000}"/>
    <cellStyle name="SAPLocked 19 9" xfId="13792" xr:uid="{00000000-0005-0000-0000-000086350000}"/>
    <cellStyle name="SAPLocked 19 9 2" xfId="13793" xr:uid="{00000000-0005-0000-0000-000087350000}"/>
    <cellStyle name="SAPLocked 2" xfId="13794" xr:uid="{00000000-0005-0000-0000-000088350000}"/>
    <cellStyle name="SAPLocked 2 10" xfId="13795" xr:uid="{00000000-0005-0000-0000-000089350000}"/>
    <cellStyle name="SAPLocked 2 10 10" xfId="13796" xr:uid="{00000000-0005-0000-0000-00008A350000}"/>
    <cellStyle name="SAPLocked 2 10 10 2" xfId="13797" xr:uid="{00000000-0005-0000-0000-00008B350000}"/>
    <cellStyle name="SAPLocked 2 10 11" xfId="13798" xr:uid="{00000000-0005-0000-0000-00008C350000}"/>
    <cellStyle name="SAPLocked 2 10 11 2" xfId="13799" xr:uid="{00000000-0005-0000-0000-00008D350000}"/>
    <cellStyle name="SAPLocked 2 10 12" xfId="13800" xr:uid="{00000000-0005-0000-0000-00008E350000}"/>
    <cellStyle name="SAPLocked 2 10 12 2" xfId="13801" xr:uid="{00000000-0005-0000-0000-00008F350000}"/>
    <cellStyle name="SAPLocked 2 10 13" xfId="13802" xr:uid="{00000000-0005-0000-0000-000090350000}"/>
    <cellStyle name="SAPLocked 2 10 2" xfId="13803" xr:uid="{00000000-0005-0000-0000-000091350000}"/>
    <cellStyle name="SAPLocked 2 10 2 10" xfId="13804" xr:uid="{00000000-0005-0000-0000-000092350000}"/>
    <cellStyle name="SAPLocked 2 10 2 10 2" xfId="13805" xr:uid="{00000000-0005-0000-0000-000093350000}"/>
    <cellStyle name="SAPLocked 2 10 2 11" xfId="13806" xr:uid="{00000000-0005-0000-0000-000094350000}"/>
    <cellStyle name="SAPLocked 2 10 2 11 2" xfId="13807" xr:uid="{00000000-0005-0000-0000-000095350000}"/>
    <cellStyle name="SAPLocked 2 10 2 12" xfId="13808" xr:uid="{00000000-0005-0000-0000-000096350000}"/>
    <cellStyle name="SAPLocked 2 10 2 2" xfId="13809" xr:uid="{00000000-0005-0000-0000-000097350000}"/>
    <cellStyle name="SAPLocked 2 10 2 2 2" xfId="13810" xr:uid="{00000000-0005-0000-0000-000098350000}"/>
    <cellStyle name="SAPLocked 2 10 2 3" xfId="13811" xr:uid="{00000000-0005-0000-0000-000099350000}"/>
    <cellStyle name="SAPLocked 2 10 2 3 2" xfId="13812" xr:uid="{00000000-0005-0000-0000-00009A350000}"/>
    <cellStyle name="SAPLocked 2 10 2 4" xfId="13813" xr:uid="{00000000-0005-0000-0000-00009B350000}"/>
    <cellStyle name="SAPLocked 2 10 2 4 2" xfId="13814" xr:uid="{00000000-0005-0000-0000-00009C350000}"/>
    <cellStyle name="SAPLocked 2 10 2 5" xfId="13815" xr:uid="{00000000-0005-0000-0000-00009D350000}"/>
    <cellStyle name="SAPLocked 2 10 2 5 2" xfId="13816" xr:uid="{00000000-0005-0000-0000-00009E350000}"/>
    <cellStyle name="SAPLocked 2 10 2 6" xfId="13817" xr:uid="{00000000-0005-0000-0000-00009F350000}"/>
    <cellStyle name="SAPLocked 2 10 2 6 2" xfId="13818" xr:uid="{00000000-0005-0000-0000-0000A0350000}"/>
    <cellStyle name="SAPLocked 2 10 2 7" xfId="13819" xr:uid="{00000000-0005-0000-0000-0000A1350000}"/>
    <cellStyle name="SAPLocked 2 10 2 7 2" xfId="13820" xr:uid="{00000000-0005-0000-0000-0000A2350000}"/>
    <cellStyle name="SAPLocked 2 10 2 8" xfId="13821" xr:uid="{00000000-0005-0000-0000-0000A3350000}"/>
    <cellStyle name="SAPLocked 2 10 2 8 2" xfId="13822" xr:uid="{00000000-0005-0000-0000-0000A4350000}"/>
    <cellStyle name="SAPLocked 2 10 2 9" xfId="13823" xr:uid="{00000000-0005-0000-0000-0000A5350000}"/>
    <cellStyle name="SAPLocked 2 10 2 9 2" xfId="13824" xr:uid="{00000000-0005-0000-0000-0000A6350000}"/>
    <cellStyle name="SAPLocked 2 10 3" xfId="13825" xr:uid="{00000000-0005-0000-0000-0000A7350000}"/>
    <cellStyle name="SAPLocked 2 10 3 2" xfId="13826" xr:uid="{00000000-0005-0000-0000-0000A8350000}"/>
    <cellStyle name="SAPLocked 2 10 4" xfId="13827" xr:uid="{00000000-0005-0000-0000-0000A9350000}"/>
    <cellStyle name="SAPLocked 2 10 4 2" xfId="13828" xr:uid="{00000000-0005-0000-0000-0000AA350000}"/>
    <cellStyle name="SAPLocked 2 10 5" xfId="13829" xr:uid="{00000000-0005-0000-0000-0000AB350000}"/>
    <cellStyle name="SAPLocked 2 10 5 2" xfId="13830" xr:uid="{00000000-0005-0000-0000-0000AC350000}"/>
    <cellStyle name="SAPLocked 2 10 6" xfId="13831" xr:uid="{00000000-0005-0000-0000-0000AD350000}"/>
    <cellStyle name="SAPLocked 2 10 6 2" xfId="13832" xr:uid="{00000000-0005-0000-0000-0000AE350000}"/>
    <cellStyle name="SAPLocked 2 10 7" xfId="13833" xr:uid="{00000000-0005-0000-0000-0000AF350000}"/>
    <cellStyle name="SAPLocked 2 10 7 2" xfId="13834" xr:uid="{00000000-0005-0000-0000-0000B0350000}"/>
    <cellStyle name="SAPLocked 2 10 8" xfId="13835" xr:uid="{00000000-0005-0000-0000-0000B1350000}"/>
    <cellStyle name="SAPLocked 2 10 8 2" xfId="13836" xr:uid="{00000000-0005-0000-0000-0000B2350000}"/>
    <cellStyle name="SAPLocked 2 10 9" xfId="13837" xr:uid="{00000000-0005-0000-0000-0000B3350000}"/>
    <cellStyle name="SAPLocked 2 10 9 2" xfId="13838" xr:uid="{00000000-0005-0000-0000-0000B4350000}"/>
    <cellStyle name="SAPLocked 2 11" xfId="13839" xr:uid="{00000000-0005-0000-0000-0000B5350000}"/>
    <cellStyle name="SAPLocked 2 11 10" xfId="13840" xr:uid="{00000000-0005-0000-0000-0000B6350000}"/>
    <cellStyle name="SAPLocked 2 11 10 2" xfId="13841" xr:uid="{00000000-0005-0000-0000-0000B7350000}"/>
    <cellStyle name="SAPLocked 2 11 11" xfId="13842" xr:uid="{00000000-0005-0000-0000-0000B8350000}"/>
    <cellStyle name="SAPLocked 2 11 11 2" xfId="13843" xr:uid="{00000000-0005-0000-0000-0000B9350000}"/>
    <cellStyle name="SAPLocked 2 11 12" xfId="13844" xr:uid="{00000000-0005-0000-0000-0000BA350000}"/>
    <cellStyle name="SAPLocked 2 11 12 2" xfId="13845" xr:uid="{00000000-0005-0000-0000-0000BB350000}"/>
    <cellStyle name="SAPLocked 2 11 13" xfId="13846" xr:uid="{00000000-0005-0000-0000-0000BC350000}"/>
    <cellStyle name="SAPLocked 2 11 2" xfId="13847" xr:uid="{00000000-0005-0000-0000-0000BD350000}"/>
    <cellStyle name="SAPLocked 2 11 2 10" xfId="13848" xr:uid="{00000000-0005-0000-0000-0000BE350000}"/>
    <cellStyle name="SAPLocked 2 11 2 10 2" xfId="13849" xr:uid="{00000000-0005-0000-0000-0000BF350000}"/>
    <cellStyle name="SAPLocked 2 11 2 11" xfId="13850" xr:uid="{00000000-0005-0000-0000-0000C0350000}"/>
    <cellStyle name="SAPLocked 2 11 2 11 2" xfId="13851" xr:uid="{00000000-0005-0000-0000-0000C1350000}"/>
    <cellStyle name="SAPLocked 2 11 2 12" xfId="13852" xr:uid="{00000000-0005-0000-0000-0000C2350000}"/>
    <cellStyle name="SAPLocked 2 11 2 2" xfId="13853" xr:uid="{00000000-0005-0000-0000-0000C3350000}"/>
    <cellStyle name="SAPLocked 2 11 2 2 2" xfId="13854" xr:uid="{00000000-0005-0000-0000-0000C4350000}"/>
    <cellStyle name="SAPLocked 2 11 2 3" xfId="13855" xr:uid="{00000000-0005-0000-0000-0000C5350000}"/>
    <cellStyle name="SAPLocked 2 11 2 3 2" xfId="13856" xr:uid="{00000000-0005-0000-0000-0000C6350000}"/>
    <cellStyle name="SAPLocked 2 11 2 4" xfId="13857" xr:uid="{00000000-0005-0000-0000-0000C7350000}"/>
    <cellStyle name="SAPLocked 2 11 2 4 2" xfId="13858" xr:uid="{00000000-0005-0000-0000-0000C8350000}"/>
    <cellStyle name="SAPLocked 2 11 2 5" xfId="13859" xr:uid="{00000000-0005-0000-0000-0000C9350000}"/>
    <cellStyle name="SAPLocked 2 11 2 5 2" xfId="13860" xr:uid="{00000000-0005-0000-0000-0000CA350000}"/>
    <cellStyle name="SAPLocked 2 11 2 6" xfId="13861" xr:uid="{00000000-0005-0000-0000-0000CB350000}"/>
    <cellStyle name="SAPLocked 2 11 2 6 2" xfId="13862" xr:uid="{00000000-0005-0000-0000-0000CC350000}"/>
    <cellStyle name="SAPLocked 2 11 2 7" xfId="13863" xr:uid="{00000000-0005-0000-0000-0000CD350000}"/>
    <cellStyle name="SAPLocked 2 11 2 7 2" xfId="13864" xr:uid="{00000000-0005-0000-0000-0000CE350000}"/>
    <cellStyle name="SAPLocked 2 11 2 8" xfId="13865" xr:uid="{00000000-0005-0000-0000-0000CF350000}"/>
    <cellStyle name="SAPLocked 2 11 2 8 2" xfId="13866" xr:uid="{00000000-0005-0000-0000-0000D0350000}"/>
    <cellStyle name="SAPLocked 2 11 2 9" xfId="13867" xr:uid="{00000000-0005-0000-0000-0000D1350000}"/>
    <cellStyle name="SAPLocked 2 11 2 9 2" xfId="13868" xr:uid="{00000000-0005-0000-0000-0000D2350000}"/>
    <cellStyle name="SAPLocked 2 11 3" xfId="13869" xr:uid="{00000000-0005-0000-0000-0000D3350000}"/>
    <cellStyle name="SAPLocked 2 11 3 2" xfId="13870" xr:uid="{00000000-0005-0000-0000-0000D4350000}"/>
    <cellStyle name="SAPLocked 2 11 4" xfId="13871" xr:uid="{00000000-0005-0000-0000-0000D5350000}"/>
    <cellStyle name="SAPLocked 2 11 4 2" xfId="13872" xr:uid="{00000000-0005-0000-0000-0000D6350000}"/>
    <cellStyle name="SAPLocked 2 11 5" xfId="13873" xr:uid="{00000000-0005-0000-0000-0000D7350000}"/>
    <cellStyle name="SAPLocked 2 11 5 2" xfId="13874" xr:uid="{00000000-0005-0000-0000-0000D8350000}"/>
    <cellStyle name="SAPLocked 2 11 6" xfId="13875" xr:uid="{00000000-0005-0000-0000-0000D9350000}"/>
    <cellStyle name="SAPLocked 2 11 6 2" xfId="13876" xr:uid="{00000000-0005-0000-0000-0000DA350000}"/>
    <cellStyle name="SAPLocked 2 11 7" xfId="13877" xr:uid="{00000000-0005-0000-0000-0000DB350000}"/>
    <cellStyle name="SAPLocked 2 11 7 2" xfId="13878" xr:uid="{00000000-0005-0000-0000-0000DC350000}"/>
    <cellStyle name="SAPLocked 2 11 8" xfId="13879" xr:uid="{00000000-0005-0000-0000-0000DD350000}"/>
    <cellStyle name="SAPLocked 2 11 8 2" xfId="13880" xr:uid="{00000000-0005-0000-0000-0000DE350000}"/>
    <cellStyle name="SAPLocked 2 11 9" xfId="13881" xr:uid="{00000000-0005-0000-0000-0000DF350000}"/>
    <cellStyle name="SAPLocked 2 11 9 2" xfId="13882" xr:uid="{00000000-0005-0000-0000-0000E0350000}"/>
    <cellStyle name="SAPLocked 2 12" xfId="13883" xr:uid="{00000000-0005-0000-0000-0000E1350000}"/>
    <cellStyle name="SAPLocked 2 12 10" xfId="13884" xr:uid="{00000000-0005-0000-0000-0000E2350000}"/>
    <cellStyle name="SAPLocked 2 12 10 2" xfId="13885" xr:uid="{00000000-0005-0000-0000-0000E3350000}"/>
    <cellStyle name="SAPLocked 2 12 11" xfId="13886" xr:uid="{00000000-0005-0000-0000-0000E4350000}"/>
    <cellStyle name="SAPLocked 2 12 11 2" xfId="13887" xr:uid="{00000000-0005-0000-0000-0000E5350000}"/>
    <cellStyle name="SAPLocked 2 12 12" xfId="13888" xr:uid="{00000000-0005-0000-0000-0000E6350000}"/>
    <cellStyle name="SAPLocked 2 12 12 2" xfId="13889" xr:uid="{00000000-0005-0000-0000-0000E7350000}"/>
    <cellStyle name="SAPLocked 2 12 13" xfId="13890" xr:uid="{00000000-0005-0000-0000-0000E8350000}"/>
    <cellStyle name="SAPLocked 2 12 2" xfId="13891" xr:uid="{00000000-0005-0000-0000-0000E9350000}"/>
    <cellStyle name="SAPLocked 2 12 2 10" xfId="13892" xr:uid="{00000000-0005-0000-0000-0000EA350000}"/>
    <cellStyle name="SAPLocked 2 12 2 10 2" xfId="13893" xr:uid="{00000000-0005-0000-0000-0000EB350000}"/>
    <cellStyle name="SAPLocked 2 12 2 11" xfId="13894" xr:uid="{00000000-0005-0000-0000-0000EC350000}"/>
    <cellStyle name="SAPLocked 2 12 2 11 2" xfId="13895" xr:uid="{00000000-0005-0000-0000-0000ED350000}"/>
    <cellStyle name="SAPLocked 2 12 2 12" xfId="13896" xr:uid="{00000000-0005-0000-0000-0000EE350000}"/>
    <cellStyle name="SAPLocked 2 12 2 2" xfId="13897" xr:uid="{00000000-0005-0000-0000-0000EF350000}"/>
    <cellStyle name="SAPLocked 2 12 2 2 2" xfId="13898" xr:uid="{00000000-0005-0000-0000-0000F0350000}"/>
    <cellStyle name="SAPLocked 2 12 2 3" xfId="13899" xr:uid="{00000000-0005-0000-0000-0000F1350000}"/>
    <cellStyle name="SAPLocked 2 12 2 3 2" xfId="13900" xr:uid="{00000000-0005-0000-0000-0000F2350000}"/>
    <cellStyle name="SAPLocked 2 12 2 4" xfId="13901" xr:uid="{00000000-0005-0000-0000-0000F3350000}"/>
    <cellStyle name="SAPLocked 2 12 2 4 2" xfId="13902" xr:uid="{00000000-0005-0000-0000-0000F4350000}"/>
    <cellStyle name="SAPLocked 2 12 2 5" xfId="13903" xr:uid="{00000000-0005-0000-0000-0000F5350000}"/>
    <cellStyle name="SAPLocked 2 12 2 5 2" xfId="13904" xr:uid="{00000000-0005-0000-0000-0000F6350000}"/>
    <cellStyle name="SAPLocked 2 12 2 6" xfId="13905" xr:uid="{00000000-0005-0000-0000-0000F7350000}"/>
    <cellStyle name="SAPLocked 2 12 2 6 2" xfId="13906" xr:uid="{00000000-0005-0000-0000-0000F8350000}"/>
    <cellStyle name="SAPLocked 2 12 2 7" xfId="13907" xr:uid="{00000000-0005-0000-0000-0000F9350000}"/>
    <cellStyle name="SAPLocked 2 12 2 7 2" xfId="13908" xr:uid="{00000000-0005-0000-0000-0000FA350000}"/>
    <cellStyle name="SAPLocked 2 12 2 8" xfId="13909" xr:uid="{00000000-0005-0000-0000-0000FB350000}"/>
    <cellStyle name="SAPLocked 2 12 2 8 2" xfId="13910" xr:uid="{00000000-0005-0000-0000-0000FC350000}"/>
    <cellStyle name="SAPLocked 2 12 2 9" xfId="13911" xr:uid="{00000000-0005-0000-0000-0000FD350000}"/>
    <cellStyle name="SAPLocked 2 12 2 9 2" xfId="13912" xr:uid="{00000000-0005-0000-0000-0000FE350000}"/>
    <cellStyle name="SAPLocked 2 12 3" xfId="13913" xr:uid="{00000000-0005-0000-0000-0000FF350000}"/>
    <cellStyle name="SAPLocked 2 12 3 2" xfId="13914" xr:uid="{00000000-0005-0000-0000-000000360000}"/>
    <cellStyle name="SAPLocked 2 12 4" xfId="13915" xr:uid="{00000000-0005-0000-0000-000001360000}"/>
    <cellStyle name="SAPLocked 2 12 4 2" xfId="13916" xr:uid="{00000000-0005-0000-0000-000002360000}"/>
    <cellStyle name="SAPLocked 2 12 5" xfId="13917" xr:uid="{00000000-0005-0000-0000-000003360000}"/>
    <cellStyle name="SAPLocked 2 12 5 2" xfId="13918" xr:uid="{00000000-0005-0000-0000-000004360000}"/>
    <cellStyle name="SAPLocked 2 12 6" xfId="13919" xr:uid="{00000000-0005-0000-0000-000005360000}"/>
    <cellStyle name="SAPLocked 2 12 6 2" xfId="13920" xr:uid="{00000000-0005-0000-0000-000006360000}"/>
    <cellStyle name="SAPLocked 2 12 7" xfId="13921" xr:uid="{00000000-0005-0000-0000-000007360000}"/>
    <cellStyle name="SAPLocked 2 12 7 2" xfId="13922" xr:uid="{00000000-0005-0000-0000-000008360000}"/>
    <cellStyle name="SAPLocked 2 12 8" xfId="13923" xr:uid="{00000000-0005-0000-0000-000009360000}"/>
    <cellStyle name="SAPLocked 2 12 8 2" xfId="13924" xr:uid="{00000000-0005-0000-0000-00000A360000}"/>
    <cellStyle name="SAPLocked 2 12 9" xfId="13925" xr:uid="{00000000-0005-0000-0000-00000B360000}"/>
    <cellStyle name="SAPLocked 2 12 9 2" xfId="13926" xr:uid="{00000000-0005-0000-0000-00000C360000}"/>
    <cellStyle name="SAPLocked 2 13" xfId="13927" xr:uid="{00000000-0005-0000-0000-00000D360000}"/>
    <cellStyle name="SAPLocked 2 13 10" xfId="13928" xr:uid="{00000000-0005-0000-0000-00000E360000}"/>
    <cellStyle name="SAPLocked 2 13 10 2" xfId="13929" xr:uid="{00000000-0005-0000-0000-00000F360000}"/>
    <cellStyle name="SAPLocked 2 13 11" xfId="13930" xr:uid="{00000000-0005-0000-0000-000010360000}"/>
    <cellStyle name="SAPLocked 2 13 11 2" xfId="13931" xr:uid="{00000000-0005-0000-0000-000011360000}"/>
    <cellStyle name="SAPLocked 2 13 12" xfId="13932" xr:uid="{00000000-0005-0000-0000-000012360000}"/>
    <cellStyle name="SAPLocked 2 13 12 2" xfId="13933" xr:uid="{00000000-0005-0000-0000-000013360000}"/>
    <cellStyle name="SAPLocked 2 13 13" xfId="13934" xr:uid="{00000000-0005-0000-0000-000014360000}"/>
    <cellStyle name="SAPLocked 2 13 2" xfId="13935" xr:uid="{00000000-0005-0000-0000-000015360000}"/>
    <cellStyle name="SAPLocked 2 13 2 10" xfId="13936" xr:uid="{00000000-0005-0000-0000-000016360000}"/>
    <cellStyle name="SAPLocked 2 13 2 10 2" xfId="13937" xr:uid="{00000000-0005-0000-0000-000017360000}"/>
    <cellStyle name="SAPLocked 2 13 2 11" xfId="13938" xr:uid="{00000000-0005-0000-0000-000018360000}"/>
    <cellStyle name="SAPLocked 2 13 2 11 2" xfId="13939" xr:uid="{00000000-0005-0000-0000-000019360000}"/>
    <cellStyle name="SAPLocked 2 13 2 12" xfId="13940" xr:uid="{00000000-0005-0000-0000-00001A360000}"/>
    <cellStyle name="SAPLocked 2 13 2 2" xfId="13941" xr:uid="{00000000-0005-0000-0000-00001B360000}"/>
    <cellStyle name="SAPLocked 2 13 2 2 2" xfId="13942" xr:uid="{00000000-0005-0000-0000-00001C360000}"/>
    <cellStyle name="SAPLocked 2 13 2 3" xfId="13943" xr:uid="{00000000-0005-0000-0000-00001D360000}"/>
    <cellStyle name="SAPLocked 2 13 2 3 2" xfId="13944" xr:uid="{00000000-0005-0000-0000-00001E360000}"/>
    <cellStyle name="SAPLocked 2 13 2 4" xfId="13945" xr:uid="{00000000-0005-0000-0000-00001F360000}"/>
    <cellStyle name="SAPLocked 2 13 2 4 2" xfId="13946" xr:uid="{00000000-0005-0000-0000-000020360000}"/>
    <cellStyle name="SAPLocked 2 13 2 5" xfId="13947" xr:uid="{00000000-0005-0000-0000-000021360000}"/>
    <cellStyle name="SAPLocked 2 13 2 5 2" xfId="13948" xr:uid="{00000000-0005-0000-0000-000022360000}"/>
    <cellStyle name="SAPLocked 2 13 2 6" xfId="13949" xr:uid="{00000000-0005-0000-0000-000023360000}"/>
    <cellStyle name="SAPLocked 2 13 2 6 2" xfId="13950" xr:uid="{00000000-0005-0000-0000-000024360000}"/>
    <cellStyle name="SAPLocked 2 13 2 7" xfId="13951" xr:uid="{00000000-0005-0000-0000-000025360000}"/>
    <cellStyle name="SAPLocked 2 13 2 7 2" xfId="13952" xr:uid="{00000000-0005-0000-0000-000026360000}"/>
    <cellStyle name="SAPLocked 2 13 2 8" xfId="13953" xr:uid="{00000000-0005-0000-0000-000027360000}"/>
    <cellStyle name="SAPLocked 2 13 2 8 2" xfId="13954" xr:uid="{00000000-0005-0000-0000-000028360000}"/>
    <cellStyle name="SAPLocked 2 13 2 9" xfId="13955" xr:uid="{00000000-0005-0000-0000-000029360000}"/>
    <cellStyle name="SAPLocked 2 13 2 9 2" xfId="13956" xr:uid="{00000000-0005-0000-0000-00002A360000}"/>
    <cellStyle name="SAPLocked 2 13 3" xfId="13957" xr:uid="{00000000-0005-0000-0000-00002B360000}"/>
    <cellStyle name="SAPLocked 2 13 3 2" xfId="13958" xr:uid="{00000000-0005-0000-0000-00002C360000}"/>
    <cellStyle name="SAPLocked 2 13 4" xfId="13959" xr:uid="{00000000-0005-0000-0000-00002D360000}"/>
    <cellStyle name="SAPLocked 2 13 4 2" xfId="13960" xr:uid="{00000000-0005-0000-0000-00002E360000}"/>
    <cellStyle name="SAPLocked 2 13 5" xfId="13961" xr:uid="{00000000-0005-0000-0000-00002F360000}"/>
    <cellStyle name="SAPLocked 2 13 5 2" xfId="13962" xr:uid="{00000000-0005-0000-0000-000030360000}"/>
    <cellStyle name="SAPLocked 2 13 6" xfId="13963" xr:uid="{00000000-0005-0000-0000-000031360000}"/>
    <cellStyle name="SAPLocked 2 13 6 2" xfId="13964" xr:uid="{00000000-0005-0000-0000-000032360000}"/>
    <cellStyle name="SAPLocked 2 13 7" xfId="13965" xr:uid="{00000000-0005-0000-0000-000033360000}"/>
    <cellStyle name="SAPLocked 2 13 7 2" xfId="13966" xr:uid="{00000000-0005-0000-0000-000034360000}"/>
    <cellStyle name="SAPLocked 2 13 8" xfId="13967" xr:uid="{00000000-0005-0000-0000-000035360000}"/>
    <cellStyle name="SAPLocked 2 13 8 2" xfId="13968" xr:uid="{00000000-0005-0000-0000-000036360000}"/>
    <cellStyle name="SAPLocked 2 13 9" xfId="13969" xr:uid="{00000000-0005-0000-0000-000037360000}"/>
    <cellStyle name="SAPLocked 2 13 9 2" xfId="13970" xr:uid="{00000000-0005-0000-0000-000038360000}"/>
    <cellStyle name="SAPLocked 2 14" xfId="13971" xr:uid="{00000000-0005-0000-0000-000039360000}"/>
    <cellStyle name="SAPLocked 2 14 10" xfId="13972" xr:uid="{00000000-0005-0000-0000-00003A360000}"/>
    <cellStyle name="SAPLocked 2 14 10 2" xfId="13973" xr:uid="{00000000-0005-0000-0000-00003B360000}"/>
    <cellStyle name="SAPLocked 2 14 11" xfId="13974" xr:uid="{00000000-0005-0000-0000-00003C360000}"/>
    <cellStyle name="SAPLocked 2 14 11 2" xfId="13975" xr:uid="{00000000-0005-0000-0000-00003D360000}"/>
    <cellStyle name="SAPLocked 2 14 12" xfId="13976" xr:uid="{00000000-0005-0000-0000-00003E360000}"/>
    <cellStyle name="SAPLocked 2 14 12 2" xfId="13977" xr:uid="{00000000-0005-0000-0000-00003F360000}"/>
    <cellStyle name="SAPLocked 2 14 13" xfId="13978" xr:uid="{00000000-0005-0000-0000-000040360000}"/>
    <cellStyle name="SAPLocked 2 14 2" xfId="13979" xr:uid="{00000000-0005-0000-0000-000041360000}"/>
    <cellStyle name="SAPLocked 2 14 2 10" xfId="13980" xr:uid="{00000000-0005-0000-0000-000042360000}"/>
    <cellStyle name="SAPLocked 2 14 2 10 2" xfId="13981" xr:uid="{00000000-0005-0000-0000-000043360000}"/>
    <cellStyle name="SAPLocked 2 14 2 11" xfId="13982" xr:uid="{00000000-0005-0000-0000-000044360000}"/>
    <cellStyle name="SAPLocked 2 14 2 11 2" xfId="13983" xr:uid="{00000000-0005-0000-0000-000045360000}"/>
    <cellStyle name="SAPLocked 2 14 2 12" xfId="13984" xr:uid="{00000000-0005-0000-0000-000046360000}"/>
    <cellStyle name="SAPLocked 2 14 2 2" xfId="13985" xr:uid="{00000000-0005-0000-0000-000047360000}"/>
    <cellStyle name="SAPLocked 2 14 2 2 2" xfId="13986" xr:uid="{00000000-0005-0000-0000-000048360000}"/>
    <cellStyle name="SAPLocked 2 14 2 3" xfId="13987" xr:uid="{00000000-0005-0000-0000-000049360000}"/>
    <cellStyle name="SAPLocked 2 14 2 3 2" xfId="13988" xr:uid="{00000000-0005-0000-0000-00004A360000}"/>
    <cellStyle name="SAPLocked 2 14 2 4" xfId="13989" xr:uid="{00000000-0005-0000-0000-00004B360000}"/>
    <cellStyle name="SAPLocked 2 14 2 4 2" xfId="13990" xr:uid="{00000000-0005-0000-0000-00004C360000}"/>
    <cellStyle name="SAPLocked 2 14 2 5" xfId="13991" xr:uid="{00000000-0005-0000-0000-00004D360000}"/>
    <cellStyle name="SAPLocked 2 14 2 5 2" xfId="13992" xr:uid="{00000000-0005-0000-0000-00004E360000}"/>
    <cellStyle name="SAPLocked 2 14 2 6" xfId="13993" xr:uid="{00000000-0005-0000-0000-00004F360000}"/>
    <cellStyle name="SAPLocked 2 14 2 6 2" xfId="13994" xr:uid="{00000000-0005-0000-0000-000050360000}"/>
    <cellStyle name="SAPLocked 2 14 2 7" xfId="13995" xr:uid="{00000000-0005-0000-0000-000051360000}"/>
    <cellStyle name="SAPLocked 2 14 2 7 2" xfId="13996" xr:uid="{00000000-0005-0000-0000-000052360000}"/>
    <cellStyle name="SAPLocked 2 14 2 8" xfId="13997" xr:uid="{00000000-0005-0000-0000-000053360000}"/>
    <cellStyle name="SAPLocked 2 14 2 8 2" xfId="13998" xr:uid="{00000000-0005-0000-0000-000054360000}"/>
    <cellStyle name="SAPLocked 2 14 2 9" xfId="13999" xr:uid="{00000000-0005-0000-0000-000055360000}"/>
    <cellStyle name="SAPLocked 2 14 2 9 2" xfId="14000" xr:uid="{00000000-0005-0000-0000-000056360000}"/>
    <cellStyle name="SAPLocked 2 14 3" xfId="14001" xr:uid="{00000000-0005-0000-0000-000057360000}"/>
    <cellStyle name="SAPLocked 2 14 3 2" xfId="14002" xr:uid="{00000000-0005-0000-0000-000058360000}"/>
    <cellStyle name="SAPLocked 2 14 4" xfId="14003" xr:uid="{00000000-0005-0000-0000-000059360000}"/>
    <cellStyle name="SAPLocked 2 14 4 2" xfId="14004" xr:uid="{00000000-0005-0000-0000-00005A360000}"/>
    <cellStyle name="SAPLocked 2 14 5" xfId="14005" xr:uid="{00000000-0005-0000-0000-00005B360000}"/>
    <cellStyle name="SAPLocked 2 14 5 2" xfId="14006" xr:uid="{00000000-0005-0000-0000-00005C360000}"/>
    <cellStyle name="SAPLocked 2 14 6" xfId="14007" xr:uid="{00000000-0005-0000-0000-00005D360000}"/>
    <cellStyle name="SAPLocked 2 14 6 2" xfId="14008" xr:uid="{00000000-0005-0000-0000-00005E360000}"/>
    <cellStyle name="SAPLocked 2 14 7" xfId="14009" xr:uid="{00000000-0005-0000-0000-00005F360000}"/>
    <cellStyle name="SAPLocked 2 14 7 2" xfId="14010" xr:uid="{00000000-0005-0000-0000-000060360000}"/>
    <cellStyle name="SAPLocked 2 14 8" xfId="14011" xr:uid="{00000000-0005-0000-0000-000061360000}"/>
    <cellStyle name="SAPLocked 2 14 8 2" xfId="14012" xr:uid="{00000000-0005-0000-0000-000062360000}"/>
    <cellStyle name="SAPLocked 2 14 9" xfId="14013" xr:uid="{00000000-0005-0000-0000-000063360000}"/>
    <cellStyle name="SAPLocked 2 14 9 2" xfId="14014" xr:uid="{00000000-0005-0000-0000-000064360000}"/>
    <cellStyle name="SAPLocked 2 15" xfId="14015" xr:uid="{00000000-0005-0000-0000-000065360000}"/>
    <cellStyle name="SAPLocked 2 15 10" xfId="14016" xr:uid="{00000000-0005-0000-0000-000066360000}"/>
    <cellStyle name="SAPLocked 2 15 10 2" xfId="14017" xr:uid="{00000000-0005-0000-0000-000067360000}"/>
    <cellStyle name="SAPLocked 2 15 11" xfId="14018" xr:uid="{00000000-0005-0000-0000-000068360000}"/>
    <cellStyle name="SAPLocked 2 15 11 2" xfId="14019" xr:uid="{00000000-0005-0000-0000-000069360000}"/>
    <cellStyle name="SAPLocked 2 15 12" xfId="14020" xr:uid="{00000000-0005-0000-0000-00006A360000}"/>
    <cellStyle name="SAPLocked 2 15 12 2" xfId="14021" xr:uid="{00000000-0005-0000-0000-00006B360000}"/>
    <cellStyle name="SAPLocked 2 15 13" xfId="14022" xr:uid="{00000000-0005-0000-0000-00006C360000}"/>
    <cellStyle name="SAPLocked 2 15 2" xfId="14023" xr:uid="{00000000-0005-0000-0000-00006D360000}"/>
    <cellStyle name="SAPLocked 2 15 2 10" xfId="14024" xr:uid="{00000000-0005-0000-0000-00006E360000}"/>
    <cellStyle name="SAPLocked 2 15 2 10 2" xfId="14025" xr:uid="{00000000-0005-0000-0000-00006F360000}"/>
    <cellStyle name="SAPLocked 2 15 2 11" xfId="14026" xr:uid="{00000000-0005-0000-0000-000070360000}"/>
    <cellStyle name="SAPLocked 2 15 2 11 2" xfId="14027" xr:uid="{00000000-0005-0000-0000-000071360000}"/>
    <cellStyle name="SAPLocked 2 15 2 12" xfId="14028" xr:uid="{00000000-0005-0000-0000-000072360000}"/>
    <cellStyle name="SAPLocked 2 15 2 2" xfId="14029" xr:uid="{00000000-0005-0000-0000-000073360000}"/>
    <cellStyle name="SAPLocked 2 15 2 2 2" xfId="14030" xr:uid="{00000000-0005-0000-0000-000074360000}"/>
    <cellStyle name="SAPLocked 2 15 2 3" xfId="14031" xr:uid="{00000000-0005-0000-0000-000075360000}"/>
    <cellStyle name="SAPLocked 2 15 2 3 2" xfId="14032" xr:uid="{00000000-0005-0000-0000-000076360000}"/>
    <cellStyle name="SAPLocked 2 15 2 4" xfId="14033" xr:uid="{00000000-0005-0000-0000-000077360000}"/>
    <cellStyle name="SAPLocked 2 15 2 4 2" xfId="14034" xr:uid="{00000000-0005-0000-0000-000078360000}"/>
    <cellStyle name="SAPLocked 2 15 2 5" xfId="14035" xr:uid="{00000000-0005-0000-0000-000079360000}"/>
    <cellStyle name="SAPLocked 2 15 2 5 2" xfId="14036" xr:uid="{00000000-0005-0000-0000-00007A360000}"/>
    <cellStyle name="SAPLocked 2 15 2 6" xfId="14037" xr:uid="{00000000-0005-0000-0000-00007B360000}"/>
    <cellStyle name="SAPLocked 2 15 2 6 2" xfId="14038" xr:uid="{00000000-0005-0000-0000-00007C360000}"/>
    <cellStyle name="SAPLocked 2 15 2 7" xfId="14039" xr:uid="{00000000-0005-0000-0000-00007D360000}"/>
    <cellStyle name="SAPLocked 2 15 2 7 2" xfId="14040" xr:uid="{00000000-0005-0000-0000-00007E360000}"/>
    <cellStyle name="SAPLocked 2 15 2 8" xfId="14041" xr:uid="{00000000-0005-0000-0000-00007F360000}"/>
    <cellStyle name="SAPLocked 2 15 2 8 2" xfId="14042" xr:uid="{00000000-0005-0000-0000-000080360000}"/>
    <cellStyle name="SAPLocked 2 15 2 9" xfId="14043" xr:uid="{00000000-0005-0000-0000-000081360000}"/>
    <cellStyle name="SAPLocked 2 15 2 9 2" xfId="14044" xr:uid="{00000000-0005-0000-0000-000082360000}"/>
    <cellStyle name="SAPLocked 2 15 3" xfId="14045" xr:uid="{00000000-0005-0000-0000-000083360000}"/>
    <cellStyle name="SAPLocked 2 15 3 2" xfId="14046" xr:uid="{00000000-0005-0000-0000-000084360000}"/>
    <cellStyle name="SAPLocked 2 15 4" xfId="14047" xr:uid="{00000000-0005-0000-0000-000085360000}"/>
    <cellStyle name="SAPLocked 2 15 4 2" xfId="14048" xr:uid="{00000000-0005-0000-0000-000086360000}"/>
    <cellStyle name="SAPLocked 2 15 5" xfId="14049" xr:uid="{00000000-0005-0000-0000-000087360000}"/>
    <cellStyle name="SAPLocked 2 15 5 2" xfId="14050" xr:uid="{00000000-0005-0000-0000-000088360000}"/>
    <cellStyle name="SAPLocked 2 15 6" xfId="14051" xr:uid="{00000000-0005-0000-0000-000089360000}"/>
    <cellStyle name="SAPLocked 2 15 6 2" xfId="14052" xr:uid="{00000000-0005-0000-0000-00008A360000}"/>
    <cellStyle name="SAPLocked 2 15 7" xfId="14053" xr:uid="{00000000-0005-0000-0000-00008B360000}"/>
    <cellStyle name="SAPLocked 2 15 7 2" xfId="14054" xr:uid="{00000000-0005-0000-0000-00008C360000}"/>
    <cellStyle name="SAPLocked 2 15 8" xfId="14055" xr:uid="{00000000-0005-0000-0000-00008D360000}"/>
    <cellStyle name="SAPLocked 2 15 8 2" xfId="14056" xr:uid="{00000000-0005-0000-0000-00008E360000}"/>
    <cellStyle name="SAPLocked 2 15 9" xfId="14057" xr:uid="{00000000-0005-0000-0000-00008F360000}"/>
    <cellStyle name="SAPLocked 2 15 9 2" xfId="14058" xr:uid="{00000000-0005-0000-0000-000090360000}"/>
    <cellStyle name="SAPLocked 2 16" xfId="14059" xr:uid="{00000000-0005-0000-0000-000091360000}"/>
    <cellStyle name="SAPLocked 2 16 10" xfId="14060" xr:uid="{00000000-0005-0000-0000-000092360000}"/>
    <cellStyle name="SAPLocked 2 16 10 2" xfId="14061" xr:uid="{00000000-0005-0000-0000-000093360000}"/>
    <cellStyle name="SAPLocked 2 16 11" xfId="14062" xr:uid="{00000000-0005-0000-0000-000094360000}"/>
    <cellStyle name="SAPLocked 2 16 11 2" xfId="14063" xr:uid="{00000000-0005-0000-0000-000095360000}"/>
    <cellStyle name="SAPLocked 2 16 12" xfId="14064" xr:uid="{00000000-0005-0000-0000-000096360000}"/>
    <cellStyle name="SAPLocked 2 16 12 2" xfId="14065" xr:uid="{00000000-0005-0000-0000-000097360000}"/>
    <cellStyle name="SAPLocked 2 16 13" xfId="14066" xr:uid="{00000000-0005-0000-0000-000098360000}"/>
    <cellStyle name="SAPLocked 2 16 2" xfId="14067" xr:uid="{00000000-0005-0000-0000-000099360000}"/>
    <cellStyle name="SAPLocked 2 16 2 10" xfId="14068" xr:uid="{00000000-0005-0000-0000-00009A360000}"/>
    <cellStyle name="SAPLocked 2 16 2 10 2" xfId="14069" xr:uid="{00000000-0005-0000-0000-00009B360000}"/>
    <cellStyle name="SAPLocked 2 16 2 11" xfId="14070" xr:uid="{00000000-0005-0000-0000-00009C360000}"/>
    <cellStyle name="SAPLocked 2 16 2 11 2" xfId="14071" xr:uid="{00000000-0005-0000-0000-00009D360000}"/>
    <cellStyle name="SAPLocked 2 16 2 12" xfId="14072" xr:uid="{00000000-0005-0000-0000-00009E360000}"/>
    <cellStyle name="SAPLocked 2 16 2 2" xfId="14073" xr:uid="{00000000-0005-0000-0000-00009F360000}"/>
    <cellStyle name="SAPLocked 2 16 2 2 2" xfId="14074" xr:uid="{00000000-0005-0000-0000-0000A0360000}"/>
    <cellStyle name="SAPLocked 2 16 2 3" xfId="14075" xr:uid="{00000000-0005-0000-0000-0000A1360000}"/>
    <cellStyle name="SAPLocked 2 16 2 3 2" xfId="14076" xr:uid="{00000000-0005-0000-0000-0000A2360000}"/>
    <cellStyle name="SAPLocked 2 16 2 4" xfId="14077" xr:uid="{00000000-0005-0000-0000-0000A3360000}"/>
    <cellStyle name="SAPLocked 2 16 2 4 2" xfId="14078" xr:uid="{00000000-0005-0000-0000-0000A4360000}"/>
    <cellStyle name="SAPLocked 2 16 2 5" xfId="14079" xr:uid="{00000000-0005-0000-0000-0000A5360000}"/>
    <cellStyle name="SAPLocked 2 16 2 5 2" xfId="14080" xr:uid="{00000000-0005-0000-0000-0000A6360000}"/>
    <cellStyle name="SAPLocked 2 16 2 6" xfId="14081" xr:uid="{00000000-0005-0000-0000-0000A7360000}"/>
    <cellStyle name="SAPLocked 2 16 2 6 2" xfId="14082" xr:uid="{00000000-0005-0000-0000-0000A8360000}"/>
    <cellStyle name="SAPLocked 2 16 2 7" xfId="14083" xr:uid="{00000000-0005-0000-0000-0000A9360000}"/>
    <cellStyle name="SAPLocked 2 16 2 7 2" xfId="14084" xr:uid="{00000000-0005-0000-0000-0000AA360000}"/>
    <cellStyle name="SAPLocked 2 16 2 8" xfId="14085" xr:uid="{00000000-0005-0000-0000-0000AB360000}"/>
    <cellStyle name="SAPLocked 2 16 2 8 2" xfId="14086" xr:uid="{00000000-0005-0000-0000-0000AC360000}"/>
    <cellStyle name="SAPLocked 2 16 2 9" xfId="14087" xr:uid="{00000000-0005-0000-0000-0000AD360000}"/>
    <cellStyle name="SAPLocked 2 16 2 9 2" xfId="14088" xr:uid="{00000000-0005-0000-0000-0000AE360000}"/>
    <cellStyle name="SAPLocked 2 16 3" xfId="14089" xr:uid="{00000000-0005-0000-0000-0000AF360000}"/>
    <cellStyle name="SAPLocked 2 16 3 2" xfId="14090" xr:uid="{00000000-0005-0000-0000-0000B0360000}"/>
    <cellStyle name="SAPLocked 2 16 4" xfId="14091" xr:uid="{00000000-0005-0000-0000-0000B1360000}"/>
    <cellStyle name="SAPLocked 2 16 4 2" xfId="14092" xr:uid="{00000000-0005-0000-0000-0000B2360000}"/>
    <cellStyle name="SAPLocked 2 16 5" xfId="14093" xr:uid="{00000000-0005-0000-0000-0000B3360000}"/>
    <cellStyle name="SAPLocked 2 16 5 2" xfId="14094" xr:uid="{00000000-0005-0000-0000-0000B4360000}"/>
    <cellStyle name="SAPLocked 2 16 6" xfId="14095" xr:uid="{00000000-0005-0000-0000-0000B5360000}"/>
    <cellStyle name="SAPLocked 2 16 6 2" xfId="14096" xr:uid="{00000000-0005-0000-0000-0000B6360000}"/>
    <cellStyle name="SAPLocked 2 16 7" xfId="14097" xr:uid="{00000000-0005-0000-0000-0000B7360000}"/>
    <cellStyle name="SAPLocked 2 16 7 2" xfId="14098" xr:uid="{00000000-0005-0000-0000-0000B8360000}"/>
    <cellStyle name="SAPLocked 2 16 8" xfId="14099" xr:uid="{00000000-0005-0000-0000-0000B9360000}"/>
    <cellStyle name="SAPLocked 2 16 8 2" xfId="14100" xr:uid="{00000000-0005-0000-0000-0000BA360000}"/>
    <cellStyle name="SAPLocked 2 16 9" xfId="14101" xr:uid="{00000000-0005-0000-0000-0000BB360000}"/>
    <cellStyle name="SAPLocked 2 16 9 2" xfId="14102" xr:uid="{00000000-0005-0000-0000-0000BC360000}"/>
    <cellStyle name="SAPLocked 2 17" xfId="14103" xr:uid="{00000000-0005-0000-0000-0000BD360000}"/>
    <cellStyle name="SAPLocked 2 17 10" xfId="14104" xr:uid="{00000000-0005-0000-0000-0000BE360000}"/>
    <cellStyle name="SAPLocked 2 17 10 2" xfId="14105" xr:uid="{00000000-0005-0000-0000-0000BF360000}"/>
    <cellStyle name="SAPLocked 2 17 11" xfId="14106" xr:uid="{00000000-0005-0000-0000-0000C0360000}"/>
    <cellStyle name="SAPLocked 2 17 11 2" xfId="14107" xr:uid="{00000000-0005-0000-0000-0000C1360000}"/>
    <cellStyle name="SAPLocked 2 17 12" xfId="14108" xr:uid="{00000000-0005-0000-0000-0000C2360000}"/>
    <cellStyle name="SAPLocked 2 17 12 2" xfId="14109" xr:uid="{00000000-0005-0000-0000-0000C3360000}"/>
    <cellStyle name="SAPLocked 2 17 13" xfId="14110" xr:uid="{00000000-0005-0000-0000-0000C4360000}"/>
    <cellStyle name="SAPLocked 2 17 2" xfId="14111" xr:uid="{00000000-0005-0000-0000-0000C5360000}"/>
    <cellStyle name="SAPLocked 2 17 2 10" xfId="14112" xr:uid="{00000000-0005-0000-0000-0000C6360000}"/>
    <cellStyle name="SAPLocked 2 17 2 10 2" xfId="14113" xr:uid="{00000000-0005-0000-0000-0000C7360000}"/>
    <cellStyle name="SAPLocked 2 17 2 11" xfId="14114" xr:uid="{00000000-0005-0000-0000-0000C8360000}"/>
    <cellStyle name="SAPLocked 2 17 2 11 2" xfId="14115" xr:uid="{00000000-0005-0000-0000-0000C9360000}"/>
    <cellStyle name="SAPLocked 2 17 2 12" xfId="14116" xr:uid="{00000000-0005-0000-0000-0000CA360000}"/>
    <cellStyle name="SAPLocked 2 17 2 2" xfId="14117" xr:uid="{00000000-0005-0000-0000-0000CB360000}"/>
    <cellStyle name="SAPLocked 2 17 2 2 2" xfId="14118" xr:uid="{00000000-0005-0000-0000-0000CC360000}"/>
    <cellStyle name="SAPLocked 2 17 2 3" xfId="14119" xr:uid="{00000000-0005-0000-0000-0000CD360000}"/>
    <cellStyle name="SAPLocked 2 17 2 3 2" xfId="14120" xr:uid="{00000000-0005-0000-0000-0000CE360000}"/>
    <cellStyle name="SAPLocked 2 17 2 4" xfId="14121" xr:uid="{00000000-0005-0000-0000-0000CF360000}"/>
    <cellStyle name="SAPLocked 2 17 2 4 2" xfId="14122" xr:uid="{00000000-0005-0000-0000-0000D0360000}"/>
    <cellStyle name="SAPLocked 2 17 2 5" xfId="14123" xr:uid="{00000000-0005-0000-0000-0000D1360000}"/>
    <cellStyle name="SAPLocked 2 17 2 5 2" xfId="14124" xr:uid="{00000000-0005-0000-0000-0000D2360000}"/>
    <cellStyle name="SAPLocked 2 17 2 6" xfId="14125" xr:uid="{00000000-0005-0000-0000-0000D3360000}"/>
    <cellStyle name="SAPLocked 2 17 2 6 2" xfId="14126" xr:uid="{00000000-0005-0000-0000-0000D4360000}"/>
    <cellStyle name="SAPLocked 2 17 2 7" xfId="14127" xr:uid="{00000000-0005-0000-0000-0000D5360000}"/>
    <cellStyle name="SAPLocked 2 17 2 7 2" xfId="14128" xr:uid="{00000000-0005-0000-0000-0000D6360000}"/>
    <cellStyle name="SAPLocked 2 17 2 8" xfId="14129" xr:uid="{00000000-0005-0000-0000-0000D7360000}"/>
    <cellStyle name="SAPLocked 2 17 2 8 2" xfId="14130" xr:uid="{00000000-0005-0000-0000-0000D8360000}"/>
    <cellStyle name="SAPLocked 2 17 2 9" xfId="14131" xr:uid="{00000000-0005-0000-0000-0000D9360000}"/>
    <cellStyle name="SAPLocked 2 17 2 9 2" xfId="14132" xr:uid="{00000000-0005-0000-0000-0000DA360000}"/>
    <cellStyle name="SAPLocked 2 17 3" xfId="14133" xr:uid="{00000000-0005-0000-0000-0000DB360000}"/>
    <cellStyle name="SAPLocked 2 17 3 2" xfId="14134" xr:uid="{00000000-0005-0000-0000-0000DC360000}"/>
    <cellStyle name="SAPLocked 2 17 4" xfId="14135" xr:uid="{00000000-0005-0000-0000-0000DD360000}"/>
    <cellStyle name="SAPLocked 2 17 4 2" xfId="14136" xr:uid="{00000000-0005-0000-0000-0000DE360000}"/>
    <cellStyle name="SAPLocked 2 17 5" xfId="14137" xr:uid="{00000000-0005-0000-0000-0000DF360000}"/>
    <cellStyle name="SAPLocked 2 17 5 2" xfId="14138" xr:uid="{00000000-0005-0000-0000-0000E0360000}"/>
    <cellStyle name="SAPLocked 2 17 6" xfId="14139" xr:uid="{00000000-0005-0000-0000-0000E1360000}"/>
    <cellStyle name="SAPLocked 2 17 6 2" xfId="14140" xr:uid="{00000000-0005-0000-0000-0000E2360000}"/>
    <cellStyle name="SAPLocked 2 17 7" xfId="14141" xr:uid="{00000000-0005-0000-0000-0000E3360000}"/>
    <cellStyle name="SAPLocked 2 17 7 2" xfId="14142" xr:uid="{00000000-0005-0000-0000-0000E4360000}"/>
    <cellStyle name="SAPLocked 2 17 8" xfId="14143" xr:uid="{00000000-0005-0000-0000-0000E5360000}"/>
    <cellStyle name="SAPLocked 2 17 8 2" xfId="14144" xr:uid="{00000000-0005-0000-0000-0000E6360000}"/>
    <cellStyle name="SAPLocked 2 17 9" xfId="14145" xr:uid="{00000000-0005-0000-0000-0000E7360000}"/>
    <cellStyle name="SAPLocked 2 17 9 2" xfId="14146" xr:uid="{00000000-0005-0000-0000-0000E8360000}"/>
    <cellStyle name="SAPLocked 2 18" xfId="14147" xr:uid="{00000000-0005-0000-0000-0000E9360000}"/>
    <cellStyle name="SAPLocked 2 18 10" xfId="14148" xr:uid="{00000000-0005-0000-0000-0000EA360000}"/>
    <cellStyle name="SAPLocked 2 18 10 2" xfId="14149" xr:uid="{00000000-0005-0000-0000-0000EB360000}"/>
    <cellStyle name="SAPLocked 2 18 11" xfId="14150" xr:uid="{00000000-0005-0000-0000-0000EC360000}"/>
    <cellStyle name="SAPLocked 2 18 11 2" xfId="14151" xr:uid="{00000000-0005-0000-0000-0000ED360000}"/>
    <cellStyle name="SAPLocked 2 18 12" xfId="14152" xr:uid="{00000000-0005-0000-0000-0000EE360000}"/>
    <cellStyle name="SAPLocked 2 18 12 2" xfId="14153" xr:uid="{00000000-0005-0000-0000-0000EF360000}"/>
    <cellStyle name="SAPLocked 2 18 13" xfId="14154" xr:uid="{00000000-0005-0000-0000-0000F0360000}"/>
    <cellStyle name="SAPLocked 2 18 2" xfId="14155" xr:uid="{00000000-0005-0000-0000-0000F1360000}"/>
    <cellStyle name="SAPLocked 2 18 2 10" xfId="14156" xr:uid="{00000000-0005-0000-0000-0000F2360000}"/>
    <cellStyle name="SAPLocked 2 18 2 10 2" xfId="14157" xr:uid="{00000000-0005-0000-0000-0000F3360000}"/>
    <cellStyle name="SAPLocked 2 18 2 11" xfId="14158" xr:uid="{00000000-0005-0000-0000-0000F4360000}"/>
    <cellStyle name="SAPLocked 2 18 2 11 2" xfId="14159" xr:uid="{00000000-0005-0000-0000-0000F5360000}"/>
    <cellStyle name="SAPLocked 2 18 2 12" xfId="14160" xr:uid="{00000000-0005-0000-0000-0000F6360000}"/>
    <cellStyle name="SAPLocked 2 18 2 2" xfId="14161" xr:uid="{00000000-0005-0000-0000-0000F7360000}"/>
    <cellStyle name="SAPLocked 2 18 2 2 2" xfId="14162" xr:uid="{00000000-0005-0000-0000-0000F8360000}"/>
    <cellStyle name="SAPLocked 2 18 2 3" xfId="14163" xr:uid="{00000000-0005-0000-0000-0000F9360000}"/>
    <cellStyle name="SAPLocked 2 18 2 3 2" xfId="14164" xr:uid="{00000000-0005-0000-0000-0000FA360000}"/>
    <cellStyle name="SAPLocked 2 18 2 4" xfId="14165" xr:uid="{00000000-0005-0000-0000-0000FB360000}"/>
    <cellStyle name="SAPLocked 2 18 2 4 2" xfId="14166" xr:uid="{00000000-0005-0000-0000-0000FC360000}"/>
    <cellStyle name="SAPLocked 2 18 2 5" xfId="14167" xr:uid="{00000000-0005-0000-0000-0000FD360000}"/>
    <cellStyle name="SAPLocked 2 18 2 5 2" xfId="14168" xr:uid="{00000000-0005-0000-0000-0000FE360000}"/>
    <cellStyle name="SAPLocked 2 18 2 6" xfId="14169" xr:uid="{00000000-0005-0000-0000-0000FF360000}"/>
    <cellStyle name="SAPLocked 2 18 2 6 2" xfId="14170" xr:uid="{00000000-0005-0000-0000-000000370000}"/>
    <cellStyle name="SAPLocked 2 18 2 7" xfId="14171" xr:uid="{00000000-0005-0000-0000-000001370000}"/>
    <cellStyle name="SAPLocked 2 18 2 7 2" xfId="14172" xr:uid="{00000000-0005-0000-0000-000002370000}"/>
    <cellStyle name="SAPLocked 2 18 2 8" xfId="14173" xr:uid="{00000000-0005-0000-0000-000003370000}"/>
    <cellStyle name="SAPLocked 2 18 2 8 2" xfId="14174" xr:uid="{00000000-0005-0000-0000-000004370000}"/>
    <cellStyle name="SAPLocked 2 18 2 9" xfId="14175" xr:uid="{00000000-0005-0000-0000-000005370000}"/>
    <cellStyle name="SAPLocked 2 18 2 9 2" xfId="14176" xr:uid="{00000000-0005-0000-0000-000006370000}"/>
    <cellStyle name="SAPLocked 2 18 3" xfId="14177" xr:uid="{00000000-0005-0000-0000-000007370000}"/>
    <cellStyle name="SAPLocked 2 18 3 2" xfId="14178" xr:uid="{00000000-0005-0000-0000-000008370000}"/>
    <cellStyle name="SAPLocked 2 18 4" xfId="14179" xr:uid="{00000000-0005-0000-0000-000009370000}"/>
    <cellStyle name="SAPLocked 2 18 4 2" xfId="14180" xr:uid="{00000000-0005-0000-0000-00000A370000}"/>
    <cellStyle name="SAPLocked 2 18 5" xfId="14181" xr:uid="{00000000-0005-0000-0000-00000B370000}"/>
    <cellStyle name="SAPLocked 2 18 5 2" xfId="14182" xr:uid="{00000000-0005-0000-0000-00000C370000}"/>
    <cellStyle name="SAPLocked 2 18 6" xfId="14183" xr:uid="{00000000-0005-0000-0000-00000D370000}"/>
    <cellStyle name="SAPLocked 2 18 6 2" xfId="14184" xr:uid="{00000000-0005-0000-0000-00000E370000}"/>
    <cellStyle name="SAPLocked 2 18 7" xfId="14185" xr:uid="{00000000-0005-0000-0000-00000F370000}"/>
    <cellStyle name="SAPLocked 2 18 7 2" xfId="14186" xr:uid="{00000000-0005-0000-0000-000010370000}"/>
    <cellStyle name="SAPLocked 2 18 8" xfId="14187" xr:uid="{00000000-0005-0000-0000-000011370000}"/>
    <cellStyle name="SAPLocked 2 18 8 2" xfId="14188" xr:uid="{00000000-0005-0000-0000-000012370000}"/>
    <cellStyle name="SAPLocked 2 18 9" xfId="14189" xr:uid="{00000000-0005-0000-0000-000013370000}"/>
    <cellStyle name="SAPLocked 2 18 9 2" xfId="14190" xr:uid="{00000000-0005-0000-0000-000014370000}"/>
    <cellStyle name="SAPLocked 2 19" xfId="14191" xr:uid="{00000000-0005-0000-0000-000015370000}"/>
    <cellStyle name="SAPLocked 2 19 10" xfId="14192" xr:uid="{00000000-0005-0000-0000-000016370000}"/>
    <cellStyle name="SAPLocked 2 19 10 2" xfId="14193" xr:uid="{00000000-0005-0000-0000-000017370000}"/>
    <cellStyle name="SAPLocked 2 19 11" xfId="14194" xr:uid="{00000000-0005-0000-0000-000018370000}"/>
    <cellStyle name="SAPLocked 2 19 11 2" xfId="14195" xr:uid="{00000000-0005-0000-0000-000019370000}"/>
    <cellStyle name="SAPLocked 2 19 12" xfId="14196" xr:uid="{00000000-0005-0000-0000-00001A370000}"/>
    <cellStyle name="SAPLocked 2 19 12 2" xfId="14197" xr:uid="{00000000-0005-0000-0000-00001B370000}"/>
    <cellStyle name="SAPLocked 2 19 13" xfId="14198" xr:uid="{00000000-0005-0000-0000-00001C370000}"/>
    <cellStyle name="SAPLocked 2 19 2" xfId="14199" xr:uid="{00000000-0005-0000-0000-00001D370000}"/>
    <cellStyle name="SAPLocked 2 19 2 10" xfId="14200" xr:uid="{00000000-0005-0000-0000-00001E370000}"/>
    <cellStyle name="SAPLocked 2 19 2 10 2" xfId="14201" xr:uid="{00000000-0005-0000-0000-00001F370000}"/>
    <cellStyle name="SAPLocked 2 19 2 11" xfId="14202" xr:uid="{00000000-0005-0000-0000-000020370000}"/>
    <cellStyle name="SAPLocked 2 19 2 11 2" xfId="14203" xr:uid="{00000000-0005-0000-0000-000021370000}"/>
    <cellStyle name="SAPLocked 2 19 2 12" xfId="14204" xr:uid="{00000000-0005-0000-0000-000022370000}"/>
    <cellStyle name="SAPLocked 2 19 2 2" xfId="14205" xr:uid="{00000000-0005-0000-0000-000023370000}"/>
    <cellStyle name="SAPLocked 2 19 2 2 2" xfId="14206" xr:uid="{00000000-0005-0000-0000-000024370000}"/>
    <cellStyle name="SAPLocked 2 19 2 3" xfId="14207" xr:uid="{00000000-0005-0000-0000-000025370000}"/>
    <cellStyle name="SAPLocked 2 19 2 3 2" xfId="14208" xr:uid="{00000000-0005-0000-0000-000026370000}"/>
    <cellStyle name="SAPLocked 2 19 2 4" xfId="14209" xr:uid="{00000000-0005-0000-0000-000027370000}"/>
    <cellStyle name="SAPLocked 2 19 2 4 2" xfId="14210" xr:uid="{00000000-0005-0000-0000-000028370000}"/>
    <cellStyle name="SAPLocked 2 19 2 5" xfId="14211" xr:uid="{00000000-0005-0000-0000-000029370000}"/>
    <cellStyle name="SAPLocked 2 19 2 5 2" xfId="14212" xr:uid="{00000000-0005-0000-0000-00002A370000}"/>
    <cellStyle name="SAPLocked 2 19 2 6" xfId="14213" xr:uid="{00000000-0005-0000-0000-00002B370000}"/>
    <cellStyle name="SAPLocked 2 19 2 6 2" xfId="14214" xr:uid="{00000000-0005-0000-0000-00002C370000}"/>
    <cellStyle name="SAPLocked 2 19 2 7" xfId="14215" xr:uid="{00000000-0005-0000-0000-00002D370000}"/>
    <cellStyle name="SAPLocked 2 19 2 7 2" xfId="14216" xr:uid="{00000000-0005-0000-0000-00002E370000}"/>
    <cellStyle name="SAPLocked 2 19 2 8" xfId="14217" xr:uid="{00000000-0005-0000-0000-00002F370000}"/>
    <cellStyle name="SAPLocked 2 19 2 8 2" xfId="14218" xr:uid="{00000000-0005-0000-0000-000030370000}"/>
    <cellStyle name="SAPLocked 2 19 2 9" xfId="14219" xr:uid="{00000000-0005-0000-0000-000031370000}"/>
    <cellStyle name="SAPLocked 2 19 2 9 2" xfId="14220" xr:uid="{00000000-0005-0000-0000-000032370000}"/>
    <cellStyle name="SAPLocked 2 19 3" xfId="14221" xr:uid="{00000000-0005-0000-0000-000033370000}"/>
    <cellStyle name="SAPLocked 2 19 3 2" xfId="14222" xr:uid="{00000000-0005-0000-0000-000034370000}"/>
    <cellStyle name="SAPLocked 2 19 4" xfId="14223" xr:uid="{00000000-0005-0000-0000-000035370000}"/>
    <cellStyle name="SAPLocked 2 19 4 2" xfId="14224" xr:uid="{00000000-0005-0000-0000-000036370000}"/>
    <cellStyle name="SAPLocked 2 19 5" xfId="14225" xr:uid="{00000000-0005-0000-0000-000037370000}"/>
    <cellStyle name="SAPLocked 2 19 5 2" xfId="14226" xr:uid="{00000000-0005-0000-0000-000038370000}"/>
    <cellStyle name="SAPLocked 2 19 6" xfId="14227" xr:uid="{00000000-0005-0000-0000-000039370000}"/>
    <cellStyle name="SAPLocked 2 19 6 2" xfId="14228" xr:uid="{00000000-0005-0000-0000-00003A370000}"/>
    <cellStyle name="SAPLocked 2 19 7" xfId="14229" xr:uid="{00000000-0005-0000-0000-00003B370000}"/>
    <cellStyle name="SAPLocked 2 19 7 2" xfId="14230" xr:uid="{00000000-0005-0000-0000-00003C370000}"/>
    <cellStyle name="SAPLocked 2 19 8" xfId="14231" xr:uid="{00000000-0005-0000-0000-00003D370000}"/>
    <cellStyle name="SAPLocked 2 19 8 2" xfId="14232" xr:uid="{00000000-0005-0000-0000-00003E370000}"/>
    <cellStyle name="SAPLocked 2 19 9" xfId="14233" xr:uid="{00000000-0005-0000-0000-00003F370000}"/>
    <cellStyle name="SAPLocked 2 19 9 2" xfId="14234" xr:uid="{00000000-0005-0000-0000-000040370000}"/>
    <cellStyle name="SAPLocked 2 2" xfId="14235" xr:uid="{00000000-0005-0000-0000-000041370000}"/>
    <cellStyle name="SAPLocked 2 2 10" xfId="14236" xr:uid="{00000000-0005-0000-0000-000042370000}"/>
    <cellStyle name="SAPLocked 2 2 10 2" xfId="14237" xr:uid="{00000000-0005-0000-0000-000043370000}"/>
    <cellStyle name="SAPLocked 2 2 11" xfId="14238" xr:uid="{00000000-0005-0000-0000-000044370000}"/>
    <cellStyle name="SAPLocked 2 2 11 2" xfId="14239" xr:uid="{00000000-0005-0000-0000-000045370000}"/>
    <cellStyle name="SAPLocked 2 2 12" xfId="14240" xr:uid="{00000000-0005-0000-0000-000046370000}"/>
    <cellStyle name="SAPLocked 2 2 12 2" xfId="14241" xr:uid="{00000000-0005-0000-0000-000047370000}"/>
    <cellStyle name="SAPLocked 2 2 13" xfId="14242" xr:uid="{00000000-0005-0000-0000-000048370000}"/>
    <cellStyle name="SAPLocked 2 2 2" xfId="14243" xr:uid="{00000000-0005-0000-0000-000049370000}"/>
    <cellStyle name="SAPLocked 2 2 2 10" xfId="14244" xr:uid="{00000000-0005-0000-0000-00004A370000}"/>
    <cellStyle name="SAPLocked 2 2 2 10 2" xfId="14245" xr:uid="{00000000-0005-0000-0000-00004B370000}"/>
    <cellStyle name="SAPLocked 2 2 2 11" xfId="14246" xr:uid="{00000000-0005-0000-0000-00004C370000}"/>
    <cellStyle name="SAPLocked 2 2 2 11 2" xfId="14247" xr:uid="{00000000-0005-0000-0000-00004D370000}"/>
    <cellStyle name="SAPLocked 2 2 2 12" xfId="14248" xr:uid="{00000000-0005-0000-0000-00004E370000}"/>
    <cellStyle name="SAPLocked 2 2 2 2" xfId="14249" xr:uid="{00000000-0005-0000-0000-00004F370000}"/>
    <cellStyle name="SAPLocked 2 2 2 2 2" xfId="14250" xr:uid="{00000000-0005-0000-0000-000050370000}"/>
    <cellStyle name="SAPLocked 2 2 2 3" xfId="14251" xr:uid="{00000000-0005-0000-0000-000051370000}"/>
    <cellStyle name="SAPLocked 2 2 2 3 2" xfId="14252" xr:uid="{00000000-0005-0000-0000-000052370000}"/>
    <cellStyle name="SAPLocked 2 2 2 4" xfId="14253" xr:uid="{00000000-0005-0000-0000-000053370000}"/>
    <cellStyle name="SAPLocked 2 2 2 4 2" xfId="14254" xr:uid="{00000000-0005-0000-0000-000054370000}"/>
    <cellStyle name="SAPLocked 2 2 2 5" xfId="14255" xr:uid="{00000000-0005-0000-0000-000055370000}"/>
    <cellStyle name="SAPLocked 2 2 2 5 2" xfId="14256" xr:uid="{00000000-0005-0000-0000-000056370000}"/>
    <cellStyle name="SAPLocked 2 2 2 6" xfId="14257" xr:uid="{00000000-0005-0000-0000-000057370000}"/>
    <cellStyle name="SAPLocked 2 2 2 6 2" xfId="14258" xr:uid="{00000000-0005-0000-0000-000058370000}"/>
    <cellStyle name="SAPLocked 2 2 2 7" xfId="14259" xr:uid="{00000000-0005-0000-0000-000059370000}"/>
    <cellStyle name="SAPLocked 2 2 2 7 2" xfId="14260" xr:uid="{00000000-0005-0000-0000-00005A370000}"/>
    <cellStyle name="SAPLocked 2 2 2 8" xfId="14261" xr:uid="{00000000-0005-0000-0000-00005B370000}"/>
    <cellStyle name="SAPLocked 2 2 2 8 2" xfId="14262" xr:uid="{00000000-0005-0000-0000-00005C370000}"/>
    <cellStyle name="SAPLocked 2 2 2 9" xfId="14263" xr:uid="{00000000-0005-0000-0000-00005D370000}"/>
    <cellStyle name="SAPLocked 2 2 2 9 2" xfId="14264" xr:uid="{00000000-0005-0000-0000-00005E370000}"/>
    <cellStyle name="SAPLocked 2 2 3" xfId="14265" xr:uid="{00000000-0005-0000-0000-00005F370000}"/>
    <cellStyle name="SAPLocked 2 2 3 2" xfId="14266" xr:uid="{00000000-0005-0000-0000-000060370000}"/>
    <cellStyle name="SAPLocked 2 2 4" xfId="14267" xr:uid="{00000000-0005-0000-0000-000061370000}"/>
    <cellStyle name="SAPLocked 2 2 4 2" xfId="14268" xr:uid="{00000000-0005-0000-0000-000062370000}"/>
    <cellStyle name="SAPLocked 2 2 5" xfId="14269" xr:uid="{00000000-0005-0000-0000-000063370000}"/>
    <cellStyle name="SAPLocked 2 2 5 2" xfId="14270" xr:uid="{00000000-0005-0000-0000-000064370000}"/>
    <cellStyle name="SAPLocked 2 2 6" xfId="14271" xr:uid="{00000000-0005-0000-0000-000065370000}"/>
    <cellStyle name="SAPLocked 2 2 6 2" xfId="14272" xr:uid="{00000000-0005-0000-0000-000066370000}"/>
    <cellStyle name="SAPLocked 2 2 7" xfId="14273" xr:uid="{00000000-0005-0000-0000-000067370000}"/>
    <cellStyle name="SAPLocked 2 2 7 2" xfId="14274" xr:uid="{00000000-0005-0000-0000-000068370000}"/>
    <cellStyle name="SAPLocked 2 2 8" xfId="14275" xr:uid="{00000000-0005-0000-0000-000069370000}"/>
    <cellStyle name="SAPLocked 2 2 8 2" xfId="14276" xr:uid="{00000000-0005-0000-0000-00006A370000}"/>
    <cellStyle name="SAPLocked 2 2 9" xfId="14277" xr:uid="{00000000-0005-0000-0000-00006B370000}"/>
    <cellStyle name="SAPLocked 2 2 9 2" xfId="14278" xr:uid="{00000000-0005-0000-0000-00006C370000}"/>
    <cellStyle name="SAPLocked 2 20" xfId="14279" xr:uid="{00000000-0005-0000-0000-00006D370000}"/>
    <cellStyle name="SAPLocked 2 20 10" xfId="14280" xr:uid="{00000000-0005-0000-0000-00006E370000}"/>
    <cellStyle name="SAPLocked 2 20 10 2" xfId="14281" xr:uid="{00000000-0005-0000-0000-00006F370000}"/>
    <cellStyle name="SAPLocked 2 20 11" xfId="14282" xr:uid="{00000000-0005-0000-0000-000070370000}"/>
    <cellStyle name="SAPLocked 2 20 11 2" xfId="14283" xr:uid="{00000000-0005-0000-0000-000071370000}"/>
    <cellStyle name="SAPLocked 2 20 12" xfId="14284" xr:uid="{00000000-0005-0000-0000-000072370000}"/>
    <cellStyle name="SAPLocked 2 20 12 2" xfId="14285" xr:uid="{00000000-0005-0000-0000-000073370000}"/>
    <cellStyle name="SAPLocked 2 20 13" xfId="14286" xr:uid="{00000000-0005-0000-0000-000074370000}"/>
    <cellStyle name="SAPLocked 2 20 2" xfId="14287" xr:uid="{00000000-0005-0000-0000-000075370000}"/>
    <cellStyle name="SAPLocked 2 20 2 10" xfId="14288" xr:uid="{00000000-0005-0000-0000-000076370000}"/>
    <cellStyle name="SAPLocked 2 20 2 10 2" xfId="14289" xr:uid="{00000000-0005-0000-0000-000077370000}"/>
    <cellStyle name="SAPLocked 2 20 2 11" xfId="14290" xr:uid="{00000000-0005-0000-0000-000078370000}"/>
    <cellStyle name="SAPLocked 2 20 2 11 2" xfId="14291" xr:uid="{00000000-0005-0000-0000-000079370000}"/>
    <cellStyle name="SAPLocked 2 20 2 12" xfId="14292" xr:uid="{00000000-0005-0000-0000-00007A370000}"/>
    <cellStyle name="SAPLocked 2 20 2 2" xfId="14293" xr:uid="{00000000-0005-0000-0000-00007B370000}"/>
    <cellStyle name="SAPLocked 2 20 2 2 2" xfId="14294" xr:uid="{00000000-0005-0000-0000-00007C370000}"/>
    <cellStyle name="SAPLocked 2 20 2 3" xfId="14295" xr:uid="{00000000-0005-0000-0000-00007D370000}"/>
    <cellStyle name="SAPLocked 2 20 2 3 2" xfId="14296" xr:uid="{00000000-0005-0000-0000-00007E370000}"/>
    <cellStyle name="SAPLocked 2 20 2 4" xfId="14297" xr:uid="{00000000-0005-0000-0000-00007F370000}"/>
    <cellStyle name="SAPLocked 2 20 2 4 2" xfId="14298" xr:uid="{00000000-0005-0000-0000-000080370000}"/>
    <cellStyle name="SAPLocked 2 20 2 5" xfId="14299" xr:uid="{00000000-0005-0000-0000-000081370000}"/>
    <cellStyle name="SAPLocked 2 20 2 5 2" xfId="14300" xr:uid="{00000000-0005-0000-0000-000082370000}"/>
    <cellStyle name="SAPLocked 2 20 2 6" xfId="14301" xr:uid="{00000000-0005-0000-0000-000083370000}"/>
    <cellStyle name="SAPLocked 2 20 2 6 2" xfId="14302" xr:uid="{00000000-0005-0000-0000-000084370000}"/>
    <cellStyle name="SAPLocked 2 20 2 7" xfId="14303" xr:uid="{00000000-0005-0000-0000-000085370000}"/>
    <cellStyle name="SAPLocked 2 20 2 7 2" xfId="14304" xr:uid="{00000000-0005-0000-0000-000086370000}"/>
    <cellStyle name="SAPLocked 2 20 2 8" xfId="14305" xr:uid="{00000000-0005-0000-0000-000087370000}"/>
    <cellStyle name="SAPLocked 2 20 2 8 2" xfId="14306" xr:uid="{00000000-0005-0000-0000-000088370000}"/>
    <cellStyle name="SAPLocked 2 20 2 9" xfId="14307" xr:uid="{00000000-0005-0000-0000-000089370000}"/>
    <cellStyle name="SAPLocked 2 20 2 9 2" xfId="14308" xr:uid="{00000000-0005-0000-0000-00008A370000}"/>
    <cellStyle name="SAPLocked 2 20 3" xfId="14309" xr:uid="{00000000-0005-0000-0000-00008B370000}"/>
    <cellStyle name="SAPLocked 2 20 3 2" xfId="14310" xr:uid="{00000000-0005-0000-0000-00008C370000}"/>
    <cellStyle name="SAPLocked 2 20 4" xfId="14311" xr:uid="{00000000-0005-0000-0000-00008D370000}"/>
    <cellStyle name="SAPLocked 2 20 4 2" xfId="14312" xr:uid="{00000000-0005-0000-0000-00008E370000}"/>
    <cellStyle name="SAPLocked 2 20 5" xfId="14313" xr:uid="{00000000-0005-0000-0000-00008F370000}"/>
    <cellStyle name="SAPLocked 2 20 5 2" xfId="14314" xr:uid="{00000000-0005-0000-0000-000090370000}"/>
    <cellStyle name="SAPLocked 2 20 6" xfId="14315" xr:uid="{00000000-0005-0000-0000-000091370000}"/>
    <cellStyle name="SAPLocked 2 20 6 2" xfId="14316" xr:uid="{00000000-0005-0000-0000-000092370000}"/>
    <cellStyle name="SAPLocked 2 20 7" xfId="14317" xr:uid="{00000000-0005-0000-0000-000093370000}"/>
    <cellStyle name="SAPLocked 2 20 7 2" xfId="14318" xr:uid="{00000000-0005-0000-0000-000094370000}"/>
    <cellStyle name="SAPLocked 2 20 8" xfId="14319" xr:uid="{00000000-0005-0000-0000-000095370000}"/>
    <cellStyle name="SAPLocked 2 20 8 2" xfId="14320" xr:uid="{00000000-0005-0000-0000-000096370000}"/>
    <cellStyle name="SAPLocked 2 20 9" xfId="14321" xr:uid="{00000000-0005-0000-0000-000097370000}"/>
    <cellStyle name="SAPLocked 2 20 9 2" xfId="14322" xr:uid="{00000000-0005-0000-0000-000098370000}"/>
    <cellStyle name="SAPLocked 2 21" xfId="14323" xr:uid="{00000000-0005-0000-0000-000099370000}"/>
    <cellStyle name="SAPLocked 2 21 10" xfId="14324" xr:uid="{00000000-0005-0000-0000-00009A370000}"/>
    <cellStyle name="SAPLocked 2 21 10 2" xfId="14325" xr:uid="{00000000-0005-0000-0000-00009B370000}"/>
    <cellStyle name="SAPLocked 2 21 11" xfId="14326" xr:uid="{00000000-0005-0000-0000-00009C370000}"/>
    <cellStyle name="SAPLocked 2 21 11 2" xfId="14327" xr:uid="{00000000-0005-0000-0000-00009D370000}"/>
    <cellStyle name="SAPLocked 2 21 12" xfId="14328" xr:uid="{00000000-0005-0000-0000-00009E370000}"/>
    <cellStyle name="SAPLocked 2 21 2" xfId="14329" xr:uid="{00000000-0005-0000-0000-00009F370000}"/>
    <cellStyle name="SAPLocked 2 21 2 2" xfId="14330" xr:uid="{00000000-0005-0000-0000-0000A0370000}"/>
    <cellStyle name="SAPLocked 2 21 3" xfId="14331" xr:uid="{00000000-0005-0000-0000-0000A1370000}"/>
    <cellStyle name="SAPLocked 2 21 3 2" xfId="14332" xr:uid="{00000000-0005-0000-0000-0000A2370000}"/>
    <cellStyle name="SAPLocked 2 21 4" xfId="14333" xr:uid="{00000000-0005-0000-0000-0000A3370000}"/>
    <cellStyle name="SAPLocked 2 21 4 2" xfId="14334" xr:uid="{00000000-0005-0000-0000-0000A4370000}"/>
    <cellStyle name="SAPLocked 2 21 5" xfId="14335" xr:uid="{00000000-0005-0000-0000-0000A5370000}"/>
    <cellStyle name="SAPLocked 2 21 5 2" xfId="14336" xr:uid="{00000000-0005-0000-0000-0000A6370000}"/>
    <cellStyle name="SAPLocked 2 21 6" xfId="14337" xr:uid="{00000000-0005-0000-0000-0000A7370000}"/>
    <cellStyle name="SAPLocked 2 21 6 2" xfId="14338" xr:uid="{00000000-0005-0000-0000-0000A8370000}"/>
    <cellStyle name="SAPLocked 2 21 7" xfId="14339" xr:uid="{00000000-0005-0000-0000-0000A9370000}"/>
    <cellStyle name="SAPLocked 2 21 7 2" xfId="14340" xr:uid="{00000000-0005-0000-0000-0000AA370000}"/>
    <cellStyle name="SAPLocked 2 21 8" xfId="14341" xr:uid="{00000000-0005-0000-0000-0000AB370000}"/>
    <cellStyle name="SAPLocked 2 21 8 2" xfId="14342" xr:uid="{00000000-0005-0000-0000-0000AC370000}"/>
    <cellStyle name="SAPLocked 2 21 9" xfId="14343" xr:uid="{00000000-0005-0000-0000-0000AD370000}"/>
    <cellStyle name="SAPLocked 2 21 9 2" xfId="14344" xr:uid="{00000000-0005-0000-0000-0000AE370000}"/>
    <cellStyle name="SAPLocked 2 22" xfId="14345" xr:uid="{00000000-0005-0000-0000-0000AF370000}"/>
    <cellStyle name="SAPLocked 2 22 2" xfId="14346" xr:uid="{00000000-0005-0000-0000-0000B0370000}"/>
    <cellStyle name="SAPLocked 2 23" xfId="14347" xr:uid="{00000000-0005-0000-0000-0000B1370000}"/>
    <cellStyle name="SAPLocked 2 23 2" xfId="14348" xr:uid="{00000000-0005-0000-0000-0000B2370000}"/>
    <cellStyle name="SAPLocked 2 24" xfId="14349" xr:uid="{00000000-0005-0000-0000-0000B3370000}"/>
    <cellStyle name="SAPLocked 2 24 2" xfId="14350" xr:uid="{00000000-0005-0000-0000-0000B4370000}"/>
    <cellStyle name="SAPLocked 2 25" xfId="14351" xr:uid="{00000000-0005-0000-0000-0000B5370000}"/>
    <cellStyle name="SAPLocked 2 25 2" xfId="14352" xr:uid="{00000000-0005-0000-0000-0000B6370000}"/>
    <cellStyle name="SAPLocked 2 26" xfId="14353" xr:uid="{00000000-0005-0000-0000-0000B7370000}"/>
    <cellStyle name="SAPLocked 2 26 2" xfId="14354" xr:uid="{00000000-0005-0000-0000-0000B8370000}"/>
    <cellStyle name="SAPLocked 2 27" xfId="14355" xr:uid="{00000000-0005-0000-0000-0000B9370000}"/>
    <cellStyle name="SAPLocked 2 27 2" xfId="14356" xr:uid="{00000000-0005-0000-0000-0000BA370000}"/>
    <cellStyle name="SAPLocked 2 28" xfId="14357" xr:uid="{00000000-0005-0000-0000-0000BB370000}"/>
    <cellStyle name="SAPLocked 2 28 2" xfId="14358" xr:uid="{00000000-0005-0000-0000-0000BC370000}"/>
    <cellStyle name="SAPLocked 2 29" xfId="14359" xr:uid="{00000000-0005-0000-0000-0000BD370000}"/>
    <cellStyle name="SAPLocked 2 29 2" xfId="14360" xr:uid="{00000000-0005-0000-0000-0000BE370000}"/>
    <cellStyle name="SAPLocked 2 3" xfId="14361" xr:uid="{00000000-0005-0000-0000-0000BF370000}"/>
    <cellStyle name="SAPLocked 2 3 10" xfId="14362" xr:uid="{00000000-0005-0000-0000-0000C0370000}"/>
    <cellStyle name="SAPLocked 2 3 10 2" xfId="14363" xr:uid="{00000000-0005-0000-0000-0000C1370000}"/>
    <cellStyle name="SAPLocked 2 3 11" xfId="14364" xr:uid="{00000000-0005-0000-0000-0000C2370000}"/>
    <cellStyle name="SAPLocked 2 3 11 2" xfId="14365" xr:uid="{00000000-0005-0000-0000-0000C3370000}"/>
    <cellStyle name="SAPLocked 2 3 12" xfId="14366" xr:uid="{00000000-0005-0000-0000-0000C4370000}"/>
    <cellStyle name="SAPLocked 2 3 12 2" xfId="14367" xr:uid="{00000000-0005-0000-0000-0000C5370000}"/>
    <cellStyle name="SAPLocked 2 3 13" xfId="14368" xr:uid="{00000000-0005-0000-0000-0000C6370000}"/>
    <cellStyle name="SAPLocked 2 3 2" xfId="14369" xr:uid="{00000000-0005-0000-0000-0000C7370000}"/>
    <cellStyle name="SAPLocked 2 3 2 10" xfId="14370" xr:uid="{00000000-0005-0000-0000-0000C8370000}"/>
    <cellStyle name="SAPLocked 2 3 2 10 2" xfId="14371" xr:uid="{00000000-0005-0000-0000-0000C9370000}"/>
    <cellStyle name="SAPLocked 2 3 2 11" xfId="14372" xr:uid="{00000000-0005-0000-0000-0000CA370000}"/>
    <cellStyle name="SAPLocked 2 3 2 11 2" xfId="14373" xr:uid="{00000000-0005-0000-0000-0000CB370000}"/>
    <cellStyle name="SAPLocked 2 3 2 12" xfId="14374" xr:uid="{00000000-0005-0000-0000-0000CC370000}"/>
    <cellStyle name="SAPLocked 2 3 2 2" xfId="14375" xr:uid="{00000000-0005-0000-0000-0000CD370000}"/>
    <cellStyle name="SAPLocked 2 3 2 2 2" xfId="14376" xr:uid="{00000000-0005-0000-0000-0000CE370000}"/>
    <cellStyle name="SAPLocked 2 3 2 3" xfId="14377" xr:uid="{00000000-0005-0000-0000-0000CF370000}"/>
    <cellStyle name="SAPLocked 2 3 2 3 2" xfId="14378" xr:uid="{00000000-0005-0000-0000-0000D0370000}"/>
    <cellStyle name="SAPLocked 2 3 2 4" xfId="14379" xr:uid="{00000000-0005-0000-0000-0000D1370000}"/>
    <cellStyle name="SAPLocked 2 3 2 4 2" xfId="14380" xr:uid="{00000000-0005-0000-0000-0000D2370000}"/>
    <cellStyle name="SAPLocked 2 3 2 5" xfId="14381" xr:uid="{00000000-0005-0000-0000-0000D3370000}"/>
    <cellStyle name="SAPLocked 2 3 2 5 2" xfId="14382" xr:uid="{00000000-0005-0000-0000-0000D4370000}"/>
    <cellStyle name="SAPLocked 2 3 2 6" xfId="14383" xr:uid="{00000000-0005-0000-0000-0000D5370000}"/>
    <cellStyle name="SAPLocked 2 3 2 6 2" xfId="14384" xr:uid="{00000000-0005-0000-0000-0000D6370000}"/>
    <cellStyle name="SAPLocked 2 3 2 7" xfId="14385" xr:uid="{00000000-0005-0000-0000-0000D7370000}"/>
    <cellStyle name="SAPLocked 2 3 2 7 2" xfId="14386" xr:uid="{00000000-0005-0000-0000-0000D8370000}"/>
    <cellStyle name="SAPLocked 2 3 2 8" xfId="14387" xr:uid="{00000000-0005-0000-0000-0000D9370000}"/>
    <cellStyle name="SAPLocked 2 3 2 8 2" xfId="14388" xr:uid="{00000000-0005-0000-0000-0000DA370000}"/>
    <cellStyle name="SAPLocked 2 3 2 9" xfId="14389" xr:uid="{00000000-0005-0000-0000-0000DB370000}"/>
    <cellStyle name="SAPLocked 2 3 2 9 2" xfId="14390" xr:uid="{00000000-0005-0000-0000-0000DC370000}"/>
    <cellStyle name="SAPLocked 2 3 3" xfId="14391" xr:uid="{00000000-0005-0000-0000-0000DD370000}"/>
    <cellStyle name="SAPLocked 2 3 3 2" xfId="14392" xr:uid="{00000000-0005-0000-0000-0000DE370000}"/>
    <cellStyle name="SAPLocked 2 3 4" xfId="14393" xr:uid="{00000000-0005-0000-0000-0000DF370000}"/>
    <cellStyle name="SAPLocked 2 3 4 2" xfId="14394" xr:uid="{00000000-0005-0000-0000-0000E0370000}"/>
    <cellStyle name="SAPLocked 2 3 5" xfId="14395" xr:uid="{00000000-0005-0000-0000-0000E1370000}"/>
    <cellStyle name="SAPLocked 2 3 5 2" xfId="14396" xr:uid="{00000000-0005-0000-0000-0000E2370000}"/>
    <cellStyle name="SAPLocked 2 3 6" xfId="14397" xr:uid="{00000000-0005-0000-0000-0000E3370000}"/>
    <cellStyle name="SAPLocked 2 3 6 2" xfId="14398" xr:uid="{00000000-0005-0000-0000-0000E4370000}"/>
    <cellStyle name="SAPLocked 2 3 7" xfId="14399" xr:uid="{00000000-0005-0000-0000-0000E5370000}"/>
    <cellStyle name="SAPLocked 2 3 7 2" xfId="14400" xr:uid="{00000000-0005-0000-0000-0000E6370000}"/>
    <cellStyle name="SAPLocked 2 3 8" xfId="14401" xr:uid="{00000000-0005-0000-0000-0000E7370000}"/>
    <cellStyle name="SAPLocked 2 3 8 2" xfId="14402" xr:uid="{00000000-0005-0000-0000-0000E8370000}"/>
    <cellStyle name="SAPLocked 2 3 9" xfId="14403" xr:uid="{00000000-0005-0000-0000-0000E9370000}"/>
    <cellStyle name="SAPLocked 2 3 9 2" xfId="14404" xr:uid="{00000000-0005-0000-0000-0000EA370000}"/>
    <cellStyle name="SAPLocked 2 30" xfId="14405" xr:uid="{00000000-0005-0000-0000-0000EB370000}"/>
    <cellStyle name="SAPLocked 2 4" xfId="14406" xr:uid="{00000000-0005-0000-0000-0000EC370000}"/>
    <cellStyle name="SAPLocked 2 4 10" xfId="14407" xr:uid="{00000000-0005-0000-0000-0000ED370000}"/>
    <cellStyle name="SAPLocked 2 4 10 2" xfId="14408" xr:uid="{00000000-0005-0000-0000-0000EE370000}"/>
    <cellStyle name="SAPLocked 2 4 11" xfId="14409" xr:uid="{00000000-0005-0000-0000-0000EF370000}"/>
    <cellStyle name="SAPLocked 2 4 11 2" xfId="14410" xr:uid="{00000000-0005-0000-0000-0000F0370000}"/>
    <cellStyle name="SAPLocked 2 4 12" xfId="14411" xr:uid="{00000000-0005-0000-0000-0000F1370000}"/>
    <cellStyle name="SAPLocked 2 4 12 2" xfId="14412" xr:uid="{00000000-0005-0000-0000-0000F2370000}"/>
    <cellStyle name="SAPLocked 2 4 13" xfId="14413" xr:uid="{00000000-0005-0000-0000-0000F3370000}"/>
    <cellStyle name="SAPLocked 2 4 2" xfId="14414" xr:uid="{00000000-0005-0000-0000-0000F4370000}"/>
    <cellStyle name="SAPLocked 2 4 2 10" xfId="14415" xr:uid="{00000000-0005-0000-0000-0000F5370000}"/>
    <cellStyle name="SAPLocked 2 4 2 10 2" xfId="14416" xr:uid="{00000000-0005-0000-0000-0000F6370000}"/>
    <cellStyle name="SAPLocked 2 4 2 11" xfId="14417" xr:uid="{00000000-0005-0000-0000-0000F7370000}"/>
    <cellStyle name="SAPLocked 2 4 2 11 2" xfId="14418" xr:uid="{00000000-0005-0000-0000-0000F8370000}"/>
    <cellStyle name="SAPLocked 2 4 2 12" xfId="14419" xr:uid="{00000000-0005-0000-0000-0000F9370000}"/>
    <cellStyle name="SAPLocked 2 4 2 2" xfId="14420" xr:uid="{00000000-0005-0000-0000-0000FA370000}"/>
    <cellStyle name="SAPLocked 2 4 2 2 2" xfId="14421" xr:uid="{00000000-0005-0000-0000-0000FB370000}"/>
    <cellStyle name="SAPLocked 2 4 2 3" xfId="14422" xr:uid="{00000000-0005-0000-0000-0000FC370000}"/>
    <cellStyle name="SAPLocked 2 4 2 3 2" xfId="14423" xr:uid="{00000000-0005-0000-0000-0000FD370000}"/>
    <cellStyle name="SAPLocked 2 4 2 4" xfId="14424" xr:uid="{00000000-0005-0000-0000-0000FE370000}"/>
    <cellStyle name="SAPLocked 2 4 2 4 2" xfId="14425" xr:uid="{00000000-0005-0000-0000-0000FF370000}"/>
    <cellStyle name="SAPLocked 2 4 2 5" xfId="14426" xr:uid="{00000000-0005-0000-0000-000000380000}"/>
    <cellStyle name="SAPLocked 2 4 2 5 2" xfId="14427" xr:uid="{00000000-0005-0000-0000-000001380000}"/>
    <cellStyle name="SAPLocked 2 4 2 6" xfId="14428" xr:uid="{00000000-0005-0000-0000-000002380000}"/>
    <cellStyle name="SAPLocked 2 4 2 6 2" xfId="14429" xr:uid="{00000000-0005-0000-0000-000003380000}"/>
    <cellStyle name="SAPLocked 2 4 2 7" xfId="14430" xr:uid="{00000000-0005-0000-0000-000004380000}"/>
    <cellStyle name="SAPLocked 2 4 2 7 2" xfId="14431" xr:uid="{00000000-0005-0000-0000-000005380000}"/>
    <cellStyle name="SAPLocked 2 4 2 8" xfId="14432" xr:uid="{00000000-0005-0000-0000-000006380000}"/>
    <cellStyle name="SAPLocked 2 4 2 8 2" xfId="14433" xr:uid="{00000000-0005-0000-0000-000007380000}"/>
    <cellStyle name="SAPLocked 2 4 2 9" xfId="14434" xr:uid="{00000000-0005-0000-0000-000008380000}"/>
    <cellStyle name="SAPLocked 2 4 2 9 2" xfId="14435" xr:uid="{00000000-0005-0000-0000-000009380000}"/>
    <cellStyle name="SAPLocked 2 4 3" xfId="14436" xr:uid="{00000000-0005-0000-0000-00000A380000}"/>
    <cellStyle name="SAPLocked 2 4 3 2" xfId="14437" xr:uid="{00000000-0005-0000-0000-00000B380000}"/>
    <cellStyle name="SAPLocked 2 4 4" xfId="14438" xr:uid="{00000000-0005-0000-0000-00000C380000}"/>
    <cellStyle name="SAPLocked 2 4 4 2" xfId="14439" xr:uid="{00000000-0005-0000-0000-00000D380000}"/>
    <cellStyle name="SAPLocked 2 4 5" xfId="14440" xr:uid="{00000000-0005-0000-0000-00000E380000}"/>
    <cellStyle name="SAPLocked 2 4 5 2" xfId="14441" xr:uid="{00000000-0005-0000-0000-00000F380000}"/>
    <cellStyle name="SAPLocked 2 4 6" xfId="14442" xr:uid="{00000000-0005-0000-0000-000010380000}"/>
    <cellStyle name="SAPLocked 2 4 6 2" xfId="14443" xr:uid="{00000000-0005-0000-0000-000011380000}"/>
    <cellStyle name="SAPLocked 2 4 7" xfId="14444" xr:uid="{00000000-0005-0000-0000-000012380000}"/>
    <cellStyle name="SAPLocked 2 4 7 2" xfId="14445" xr:uid="{00000000-0005-0000-0000-000013380000}"/>
    <cellStyle name="SAPLocked 2 4 8" xfId="14446" xr:uid="{00000000-0005-0000-0000-000014380000}"/>
    <cellStyle name="SAPLocked 2 4 8 2" xfId="14447" xr:uid="{00000000-0005-0000-0000-000015380000}"/>
    <cellStyle name="SAPLocked 2 4 9" xfId="14448" xr:uid="{00000000-0005-0000-0000-000016380000}"/>
    <cellStyle name="SAPLocked 2 4 9 2" xfId="14449" xr:uid="{00000000-0005-0000-0000-000017380000}"/>
    <cellStyle name="SAPLocked 2 5" xfId="14450" xr:uid="{00000000-0005-0000-0000-000018380000}"/>
    <cellStyle name="SAPLocked 2 5 10" xfId="14451" xr:uid="{00000000-0005-0000-0000-000019380000}"/>
    <cellStyle name="SAPLocked 2 5 10 2" xfId="14452" xr:uid="{00000000-0005-0000-0000-00001A380000}"/>
    <cellStyle name="SAPLocked 2 5 11" xfId="14453" xr:uid="{00000000-0005-0000-0000-00001B380000}"/>
    <cellStyle name="SAPLocked 2 5 11 2" xfId="14454" xr:uid="{00000000-0005-0000-0000-00001C380000}"/>
    <cellStyle name="SAPLocked 2 5 12" xfId="14455" xr:uid="{00000000-0005-0000-0000-00001D380000}"/>
    <cellStyle name="SAPLocked 2 5 12 2" xfId="14456" xr:uid="{00000000-0005-0000-0000-00001E380000}"/>
    <cellStyle name="SAPLocked 2 5 13" xfId="14457" xr:uid="{00000000-0005-0000-0000-00001F380000}"/>
    <cellStyle name="SAPLocked 2 5 2" xfId="14458" xr:uid="{00000000-0005-0000-0000-000020380000}"/>
    <cellStyle name="SAPLocked 2 5 2 10" xfId="14459" xr:uid="{00000000-0005-0000-0000-000021380000}"/>
    <cellStyle name="SAPLocked 2 5 2 10 2" xfId="14460" xr:uid="{00000000-0005-0000-0000-000022380000}"/>
    <cellStyle name="SAPLocked 2 5 2 11" xfId="14461" xr:uid="{00000000-0005-0000-0000-000023380000}"/>
    <cellStyle name="SAPLocked 2 5 2 11 2" xfId="14462" xr:uid="{00000000-0005-0000-0000-000024380000}"/>
    <cellStyle name="SAPLocked 2 5 2 12" xfId="14463" xr:uid="{00000000-0005-0000-0000-000025380000}"/>
    <cellStyle name="SAPLocked 2 5 2 2" xfId="14464" xr:uid="{00000000-0005-0000-0000-000026380000}"/>
    <cellStyle name="SAPLocked 2 5 2 2 2" xfId="14465" xr:uid="{00000000-0005-0000-0000-000027380000}"/>
    <cellStyle name="SAPLocked 2 5 2 3" xfId="14466" xr:uid="{00000000-0005-0000-0000-000028380000}"/>
    <cellStyle name="SAPLocked 2 5 2 3 2" xfId="14467" xr:uid="{00000000-0005-0000-0000-000029380000}"/>
    <cellStyle name="SAPLocked 2 5 2 4" xfId="14468" xr:uid="{00000000-0005-0000-0000-00002A380000}"/>
    <cellStyle name="SAPLocked 2 5 2 4 2" xfId="14469" xr:uid="{00000000-0005-0000-0000-00002B380000}"/>
    <cellStyle name="SAPLocked 2 5 2 5" xfId="14470" xr:uid="{00000000-0005-0000-0000-00002C380000}"/>
    <cellStyle name="SAPLocked 2 5 2 5 2" xfId="14471" xr:uid="{00000000-0005-0000-0000-00002D380000}"/>
    <cellStyle name="SAPLocked 2 5 2 6" xfId="14472" xr:uid="{00000000-0005-0000-0000-00002E380000}"/>
    <cellStyle name="SAPLocked 2 5 2 6 2" xfId="14473" xr:uid="{00000000-0005-0000-0000-00002F380000}"/>
    <cellStyle name="SAPLocked 2 5 2 7" xfId="14474" xr:uid="{00000000-0005-0000-0000-000030380000}"/>
    <cellStyle name="SAPLocked 2 5 2 7 2" xfId="14475" xr:uid="{00000000-0005-0000-0000-000031380000}"/>
    <cellStyle name="SAPLocked 2 5 2 8" xfId="14476" xr:uid="{00000000-0005-0000-0000-000032380000}"/>
    <cellStyle name="SAPLocked 2 5 2 8 2" xfId="14477" xr:uid="{00000000-0005-0000-0000-000033380000}"/>
    <cellStyle name="SAPLocked 2 5 2 9" xfId="14478" xr:uid="{00000000-0005-0000-0000-000034380000}"/>
    <cellStyle name="SAPLocked 2 5 2 9 2" xfId="14479" xr:uid="{00000000-0005-0000-0000-000035380000}"/>
    <cellStyle name="SAPLocked 2 5 3" xfId="14480" xr:uid="{00000000-0005-0000-0000-000036380000}"/>
    <cellStyle name="SAPLocked 2 5 3 2" xfId="14481" xr:uid="{00000000-0005-0000-0000-000037380000}"/>
    <cellStyle name="SAPLocked 2 5 4" xfId="14482" xr:uid="{00000000-0005-0000-0000-000038380000}"/>
    <cellStyle name="SAPLocked 2 5 4 2" xfId="14483" xr:uid="{00000000-0005-0000-0000-000039380000}"/>
    <cellStyle name="SAPLocked 2 5 5" xfId="14484" xr:uid="{00000000-0005-0000-0000-00003A380000}"/>
    <cellStyle name="SAPLocked 2 5 5 2" xfId="14485" xr:uid="{00000000-0005-0000-0000-00003B380000}"/>
    <cellStyle name="SAPLocked 2 5 6" xfId="14486" xr:uid="{00000000-0005-0000-0000-00003C380000}"/>
    <cellStyle name="SAPLocked 2 5 6 2" xfId="14487" xr:uid="{00000000-0005-0000-0000-00003D380000}"/>
    <cellStyle name="SAPLocked 2 5 7" xfId="14488" xr:uid="{00000000-0005-0000-0000-00003E380000}"/>
    <cellStyle name="SAPLocked 2 5 7 2" xfId="14489" xr:uid="{00000000-0005-0000-0000-00003F380000}"/>
    <cellStyle name="SAPLocked 2 5 8" xfId="14490" xr:uid="{00000000-0005-0000-0000-000040380000}"/>
    <cellStyle name="SAPLocked 2 5 8 2" xfId="14491" xr:uid="{00000000-0005-0000-0000-000041380000}"/>
    <cellStyle name="SAPLocked 2 5 9" xfId="14492" xr:uid="{00000000-0005-0000-0000-000042380000}"/>
    <cellStyle name="SAPLocked 2 5 9 2" xfId="14493" xr:uid="{00000000-0005-0000-0000-000043380000}"/>
    <cellStyle name="SAPLocked 2 6" xfId="14494" xr:uid="{00000000-0005-0000-0000-000044380000}"/>
    <cellStyle name="SAPLocked 2 6 10" xfId="14495" xr:uid="{00000000-0005-0000-0000-000045380000}"/>
    <cellStyle name="SAPLocked 2 6 10 2" xfId="14496" xr:uid="{00000000-0005-0000-0000-000046380000}"/>
    <cellStyle name="SAPLocked 2 6 11" xfId="14497" xr:uid="{00000000-0005-0000-0000-000047380000}"/>
    <cellStyle name="SAPLocked 2 6 11 2" xfId="14498" xr:uid="{00000000-0005-0000-0000-000048380000}"/>
    <cellStyle name="SAPLocked 2 6 12" xfId="14499" xr:uid="{00000000-0005-0000-0000-000049380000}"/>
    <cellStyle name="SAPLocked 2 6 12 2" xfId="14500" xr:uid="{00000000-0005-0000-0000-00004A380000}"/>
    <cellStyle name="SAPLocked 2 6 13" xfId="14501" xr:uid="{00000000-0005-0000-0000-00004B380000}"/>
    <cellStyle name="SAPLocked 2 6 2" xfId="14502" xr:uid="{00000000-0005-0000-0000-00004C380000}"/>
    <cellStyle name="SAPLocked 2 6 2 10" xfId="14503" xr:uid="{00000000-0005-0000-0000-00004D380000}"/>
    <cellStyle name="SAPLocked 2 6 2 10 2" xfId="14504" xr:uid="{00000000-0005-0000-0000-00004E380000}"/>
    <cellStyle name="SAPLocked 2 6 2 11" xfId="14505" xr:uid="{00000000-0005-0000-0000-00004F380000}"/>
    <cellStyle name="SAPLocked 2 6 2 11 2" xfId="14506" xr:uid="{00000000-0005-0000-0000-000050380000}"/>
    <cellStyle name="SAPLocked 2 6 2 12" xfId="14507" xr:uid="{00000000-0005-0000-0000-000051380000}"/>
    <cellStyle name="SAPLocked 2 6 2 2" xfId="14508" xr:uid="{00000000-0005-0000-0000-000052380000}"/>
    <cellStyle name="SAPLocked 2 6 2 2 2" xfId="14509" xr:uid="{00000000-0005-0000-0000-000053380000}"/>
    <cellStyle name="SAPLocked 2 6 2 3" xfId="14510" xr:uid="{00000000-0005-0000-0000-000054380000}"/>
    <cellStyle name="SAPLocked 2 6 2 3 2" xfId="14511" xr:uid="{00000000-0005-0000-0000-000055380000}"/>
    <cellStyle name="SAPLocked 2 6 2 4" xfId="14512" xr:uid="{00000000-0005-0000-0000-000056380000}"/>
    <cellStyle name="SAPLocked 2 6 2 4 2" xfId="14513" xr:uid="{00000000-0005-0000-0000-000057380000}"/>
    <cellStyle name="SAPLocked 2 6 2 5" xfId="14514" xr:uid="{00000000-0005-0000-0000-000058380000}"/>
    <cellStyle name="SAPLocked 2 6 2 5 2" xfId="14515" xr:uid="{00000000-0005-0000-0000-000059380000}"/>
    <cellStyle name="SAPLocked 2 6 2 6" xfId="14516" xr:uid="{00000000-0005-0000-0000-00005A380000}"/>
    <cellStyle name="SAPLocked 2 6 2 6 2" xfId="14517" xr:uid="{00000000-0005-0000-0000-00005B380000}"/>
    <cellStyle name="SAPLocked 2 6 2 7" xfId="14518" xr:uid="{00000000-0005-0000-0000-00005C380000}"/>
    <cellStyle name="SAPLocked 2 6 2 7 2" xfId="14519" xr:uid="{00000000-0005-0000-0000-00005D380000}"/>
    <cellStyle name="SAPLocked 2 6 2 8" xfId="14520" xr:uid="{00000000-0005-0000-0000-00005E380000}"/>
    <cellStyle name="SAPLocked 2 6 2 8 2" xfId="14521" xr:uid="{00000000-0005-0000-0000-00005F380000}"/>
    <cellStyle name="SAPLocked 2 6 2 9" xfId="14522" xr:uid="{00000000-0005-0000-0000-000060380000}"/>
    <cellStyle name="SAPLocked 2 6 2 9 2" xfId="14523" xr:uid="{00000000-0005-0000-0000-000061380000}"/>
    <cellStyle name="SAPLocked 2 6 3" xfId="14524" xr:uid="{00000000-0005-0000-0000-000062380000}"/>
    <cellStyle name="SAPLocked 2 6 3 2" xfId="14525" xr:uid="{00000000-0005-0000-0000-000063380000}"/>
    <cellStyle name="SAPLocked 2 6 4" xfId="14526" xr:uid="{00000000-0005-0000-0000-000064380000}"/>
    <cellStyle name="SAPLocked 2 6 4 2" xfId="14527" xr:uid="{00000000-0005-0000-0000-000065380000}"/>
    <cellStyle name="SAPLocked 2 6 5" xfId="14528" xr:uid="{00000000-0005-0000-0000-000066380000}"/>
    <cellStyle name="SAPLocked 2 6 5 2" xfId="14529" xr:uid="{00000000-0005-0000-0000-000067380000}"/>
    <cellStyle name="SAPLocked 2 6 6" xfId="14530" xr:uid="{00000000-0005-0000-0000-000068380000}"/>
    <cellStyle name="SAPLocked 2 6 6 2" xfId="14531" xr:uid="{00000000-0005-0000-0000-000069380000}"/>
    <cellStyle name="SAPLocked 2 6 7" xfId="14532" xr:uid="{00000000-0005-0000-0000-00006A380000}"/>
    <cellStyle name="SAPLocked 2 6 7 2" xfId="14533" xr:uid="{00000000-0005-0000-0000-00006B380000}"/>
    <cellStyle name="SAPLocked 2 6 8" xfId="14534" xr:uid="{00000000-0005-0000-0000-00006C380000}"/>
    <cellStyle name="SAPLocked 2 6 8 2" xfId="14535" xr:uid="{00000000-0005-0000-0000-00006D380000}"/>
    <cellStyle name="SAPLocked 2 6 9" xfId="14536" xr:uid="{00000000-0005-0000-0000-00006E380000}"/>
    <cellStyle name="SAPLocked 2 6 9 2" xfId="14537" xr:uid="{00000000-0005-0000-0000-00006F380000}"/>
    <cellStyle name="SAPLocked 2 7" xfId="14538" xr:uid="{00000000-0005-0000-0000-000070380000}"/>
    <cellStyle name="SAPLocked 2 7 10" xfId="14539" xr:uid="{00000000-0005-0000-0000-000071380000}"/>
    <cellStyle name="SAPLocked 2 7 10 2" xfId="14540" xr:uid="{00000000-0005-0000-0000-000072380000}"/>
    <cellStyle name="SAPLocked 2 7 11" xfId="14541" xr:uid="{00000000-0005-0000-0000-000073380000}"/>
    <cellStyle name="SAPLocked 2 7 11 2" xfId="14542" xr:uid="{00000000-0005-0000-0000-000074380000}"/>
    <cellStyle name="SAPLocked 2 7 12" xfId="14543" xr:uid="{00000000-0005-0000-0000-000075380000}"/>
    <cellStyle name="SAPLocked 2 7 12 2" xfId="14544" xr:uid="{00000000-0005-0000-0000-000076380000}"/>
    <cellStyle name="SAPLocked 2 7 13" xfId="14545" xr:uid="{00000000-0005-0000-0000-000077380000}"/>
    <cellStyle name="SAPLocked 2 7 2" xfId="14546" xr:uid="{00000000-0005-0000-0000-000078380000}"/>
    <cellStyle name="SAPLocked 2 7 2 10" xfId="14547" xr:uid="{00000000-0005-0000-0000-000079380000}"/>
    <cellStyle name="SAPLocked 2 7 2 10 2" xfId="14548" xr:uid="{00000000-0005-0000-0000-00007A380000}"/>
    <cellStyle name="SAPLocked 2 7 2 11" xfId="14549" xr:uid="{00000000-0005-0000-0000-00007B380000}"/>
    <cellStyle name="SAPLocked 2 7 2 11 2" xfId="14550" xr:uid="{00000000-0005-0000-0000-00007C380000}"/>
    <cellStyle name="SAPLocked 2 7 2 12" xfId="14551" xr:uid="{00000000-0005-0000-0000-00007D380000}"/>
    <cellStyle name="SAPLocked 2 7 2 2" xfId="14552" xr:uid="{00000000-0005-0000-0000-00007E380000}"/>
    <cellStyle name="SAPLocked 2 7 2 2 2" xfId="14553" xr:uid="{00000000-0005-0000-0000-00007F380000}"/>
    <cellStyle name="SAPLocked 2 7 2 3" xfId="14554" xr:uid="{00000000-0005-0000-0000-000080380000}"/>
    <cellStyle name="SAPLocked 2 7 2 3 2" xfId="14555" xr:uid="{00000000-0005-0000-0000-000081380000}"/>
    <cellStyle name="SAPLocked 2 7 2 4" xfId="14556" xr:uid="{00000000-0005-0000-0000-000082380000}"/>
    <cellStyle name="SAPLocked 2 7 2 4 2" xfId="14557" xr:uid="{00000000-0005-0000-0000-000083380000}"/>
    <cellStyle name="SAPLocked 2 7 2 5" xfId="14558" xr:uid="{00000000-0005-0000-0000-000084380000}"/>
    <cellStyle name="SAPLocked 2 7 2 5 2" xfId="14559" xr:uid="{00000000-0005-0000-0000-000085380000}"/>
    <cellStyle name="SAPLocked 2 7 2 6" xfId="14560" xr:uid="{00000000-0005-0000-0000-000086380000}"/>
    <cellStyle name="SAPLocked 2 7 2 6 2" xfId="14561" xr:uid="{00000000-0005-0000-0000-000087380000}"/>
    <cellStyle name="SAPLocked 2 7 2 7" xfId="14562" xr:uid="{00000000-0005-0000-0000-000088380000}"/>
    <cellStyle name="SAPLocked 2 7 2 7 2" xfId="14563" xr:uid="{00000000-0005-0000-0000-000089380000}"/>
    <cellStyle name="SAPLocked 2 7 2 8" xfId="14564" xr:uid="{00000000-0005-0000-0000-00008A380000}"/>
    <cellStyle name="SAPLocked 2 7 2 8 2" xfId="14565" xr:uid="{00000000-0005-0000-0000-00008B380000}"/>
    <cellStyle name="SAPLocked 2 7 2 9" xfId="14566" xr:uid="{00000000-0005-0000-0000-00008C380000}"/>
    <cellStyle name="SAPLocked 2 7 2 9 2" xfId="14567" xr:uid="{00000000-0005-0000-0000-00008D380000}"/>
    <cellStyle name="SAPLocked 2 7 3" xfId="14568" xr:uid="{00000000-0005-0000-0000-00008E380000}"/>
    <cellStyle name="SAPLocked 2 7 3 2" xfId="14569" xr:uid="{00000000-0005-0000-0000-00008F380000}"/>
    <cellStyle name="SAPLocked 2 7 4" xfId="14570" xr:uid="{00000000-0005-0000-0000-000090380000}"/>
    <cellStyle name="SAPLocked 2 7 4 2" xfId="14571" xr:uid="{00000000-0005-0000-0000-000091380000}"/>
    <cellStyle name="SAPLocked 2 7 5" xfId="14572" xr:uid="{00000000-0005-0000-0000-000092380000}"/>
    <cellStyle name="SAPLocked 2 7 5 2" xfId="14573" xr:uid="{00000000-0005-0000-0000-000093380000}"/>
    <cellStyle name="SAPLocked 2 7 6" xfId="14574" xr:uid="{00000000-0005-0000-0000-000094380000}"/>
    <cellStyle name="SAPLocked 2 7 6 2" xfId="14575" xr:uid="{00000000-0005-0000-0000-000095380000}"/>
    <cellStyle name="SAPLocked 2 7 7" xfId="14576" xr:uid="{00000000-0005-0000-0000-000096380000}"/>
    <cellStyle name="SAPLocked 2 7 7 2" xfId="14577" xr:uid="{00000000-0005-0000-0000-000097380000}"/>
    <cellStyle name="SAPLocked 2 7 8" xfId="14578" xr:uid="{00000000-0005-0000-0000-000098380000}"/>
    <cellStyle name="SAPLocked 2 7 8 2" xfId="14579" xr:uid="{00000000-0005-0000-0000-000099380000}"/>
    <cellStyle name="SAPLocked 2 7 9" xfId="14580" xr:uid="{00000000-0005-0000-0000-00009A380000}"/>
    <cellStyle name="SAPLocked 2 7 9 2" xfId="14581" xr:uid="{00000000-0005-0000-0000-00009B380000}"/>
    <cellStyle name="SAPLocked 2 8" xfId="14582" xr:uid="{00000000-0005-0000-0000-00009C380000}"/>
    <cellStyle name="SAPLocked 2 8 10" xfId="14583" xr:uid="{00000000-0005-0000-0000-00009D380000}"/>
    <cellStyle name="SAPLocked 2 8 10 2" xfId="14584" xr:uid="{00000000-0005-0000-0000-00009E380000}"/>
    <cellStyle name="SAPLocked 2 8 11" xfId="14585" xr:uid="{00000000-0005-0000-0000-00009F380000}"/>
    <cellStyle name="SAPLocked 2 8 11 2" xfId="14586" xr:uid="{00000000-0005-0000-0000-0000A0380000}"/>
    <cellStyle name="SAPLocked 2 8 12" xfId="14587" xr:uid="{00000000-0005-0000-0000-0000A1380000}"/>
    <cellStyle name="SAPLocked 2 8 12 2" xfId="14588" xr:uid="{00000000-0005-0000-0000-0000A2380000}"/>
    <cellStyle name="SAPLocked 2 8 13" xfId="14589" xr:uid="{00000000-0005-0000-0000-0000A3380000}"/>
    <cellStyle name="SAPLocked 2 8 2" xfId="14590" xr:uid="{00000000-0005-0000-0000-0000A4380000}"/>
    <cellStyle name="SAPLocked 2 8 2 10" xfId="14591" xr:uid="{00000000-0005-0000-0000-0000A5380000}"/>
    <cellStyle name="SAPLocked 2 8 2 10 2" xfId="14592" xr:uid="{00000000-0005-0000-0000-0000A6380000}"/>
    <cellStyle name="SAPLocked 2 8 2 11" xfId="14593" xr:uid="{00000000-0005-0000-0000-0000A7380000}"/>
    <cellStyle name="SAPLocked 2 8 2 11 2" xfId="14594" xr:uid="{00000000-0005-0000-0000-0000A8380000}"/>
    <cellStyle name="SAPLocked 2 8 2 12" xfId="14595" xr:uid="{00000000-0005-0000-0000-0000A9380000}"/>
    <cellStyle name="SAPLocked 2 8 2 2" xfId="14596" xr:uid="{00000000-0005-0000-0000-0000AA380000}"/>
    <cellStyle name="SAPLocked 2 8 2 2 2" xfId="14597" xr:uid="{00000000-0005-0000-0000-0000AB380000}"/>
    <cellStyle name="SAPLocked 2 8 2 3" xfId="14598" xr:uid="{00000000-0005-0000-0000-0000AC380000}"/>
    <cellStyle name="SAPLocked 2 8 2 3 2" xfId="14599" xr:uid="{00000000-0005-0000-0000-0000AD380000}"/>
    <cellStyle name="SAPLocked 2 8 2 4" xfId="14600" xr:uid="{00000000-0005-0000-0000-0000AE380000}"/>
    <cellStyle name="SAPLocked 2 8 2 4 2" xfId="14601" xr:uid="{00000000-0005-0000-0000-0000AF380000}"/>
    <cellStyle name="SAPLocked 2 8 2 5" xfId="14602" xr:uid="{00000000-0005-0000-0000-0000B0380000}"/>
    <cellStyle name="SAPLocked 2 8 2 5 2" xfId="14603" xr:uid="{00000000-0005-0000-0000-0000B1380000}"/>
    <cellStyle name="SAPLocked 2 8 2 6" xfId="14604" xr:uid="{00000000-0005-0000-0000-0000B2380000}"/>
    <cellStyle name="SAPLocked 2 8 2 6 2" xfId="14605" xr:uid="{00000000-0005-0000-0000-0000B3380000}"/>
    <cellStyle name="SAPLocked 2 8 2 7" xfId="14606" xr:uid="{00000000-0005-0000-0000-0000B4380000}"/>
    <cellStyle name="SAPLocked 2 8 2 7 2" xfId="14607" xr:uid="{00000000-0005-0000-0000-0000B5380000}"/>
    <cellStyle name="SAPLocked 2 8 2 8" xfId="14608" xr:uid="{00000000-0005-0000-0000-0000B6380000}"/>
    <cellStyle name="SAPLocked 2 8 2 8 2" xfId="14609" xr:uid="{00000000-0005-0000-0000-0000B7380000}"/>
    <cellStyle name="SAPLocked 2 8 2 9" xfId="14610" xr:uid="{00000000-0005-0000-0000-0000B8380000}"/>
    <cellStyle name="SAPLocked 2 8 2 9 2" xfId="14611" xr:uid="{00000000-0005-0000-0000-0000B9380000}"/>
    <cellStyle name="SAPLocked 2 8 3" xfId="14612" xr:uid="{00000000-0005-0000-0000-0000BA380000}"/>
    <cellStyle name="SAPLocked 2 8 3 2" xfId="14613" xr:uid="{00000000-0005-0000-0000-0000BB380000}"/>
    <cellStyle name="SAPLocked 2 8 4" xfId="14614" xr:uid="{00000000-0005-0000-0000-0000BC380000}"/>
    <cellStyle name="SAPLocked 2 8 4 2" xfId="14615" xr:uid="{00000000-0005-0000-0000-0000BD380000}"/>
    <cellStyle name="SAPLocked 2 8 5" xfId="14616" xr:uid="{00000000-0005-0000-0000-0000BE380000}"/>
    <cellStyle name="SAPLocked 2 8 5 2" xfId="14617" xr:uid="{00000000-0005-0000-0000-0000BF380000}"/>
    <cellStyle name="SAPLocked 2 8 6" xfId="14618" xr:uid="{00000000-0005-0000-0000-0000C0380000}"/>
    <cellStyle name="SAPLocked 2 8 6 2" xfId="14619" xr:uid="{00000000-0005-0000-0000-0000C1380000}"/>
    <cellStyle name="SAPLocked 2 8 7" xfId="14620" xr:uid="{00000000-0005-0000-0000-0000C2380000}"/>
    <cellStyle name="SAPLocked 2 8 7 2" xfId="14621" xr:uid="{00000000-0005-0000-0000-0000C3380000}"/>
    <cellStyle name="SAPLocked 2 8 8" xfId="14622" xr:uid="{00000000-0005-0000-0000-0000C4380000}"/>
    <cellStyle name="SAPLocked 2 8 8 2" xfId="14623" xr:uid="{00000000-0005-0000-0000-0000C5380000}"/>
    <cellStyle name="SAPLocked 2 8 9" xfId="14624" xr:uid="{00000000-0005-0000-0000-0000C6380000}"/>
    <cellStyle name="SAPLocked 2 8 9 2" xfId="14625" xr:uid="{00000000-0005-0000-0000-0000C7380000}"/>
    <cellStyle name="SAPLocked 2 9" xfId="14626" xr:uid="{00000000-0005-0000-0000-0000C8380000}"/>
    <cellStyle name="SAPLocked 2 9 10" xfId="14627" xr:uid="{00000000-0005-0000-0000-0000C9380000}"/>
    <cellStyle name="SAPLocked 2 9 10 2" xfId="14628" xr:uid="{00000000-0005-0000-0000-0000CA380000}"/>
    <cellStyle name="SAPLocked 2 9 11" xfId="14629" xr:uid="{00000000-0005-0000-0000-0000CB380000}"/>
    <cellStyle name="SAPLocked 2 9 11 2" xfId="14630" xr:uid="{00000000-0005-0000-0000-0000CC380000}"/>
    <cellStyle name="SAPLocked 2 9 12" xfId="14631" xr:uid="{00000000-0005-0000-0000-0000CD380000}"/>
    <cellStyle name="SAPLocked 2 9 12 2" xfId="14632" xr:uid="{00000000-0005-0000-0000-0000CE380000}"/>
    <cellStyle name="SAPLocked 2 9 13" xfId="14633" xr:uid="{00000000-0005-0000-0000-0000CF380000}"/>
    <cellStyle name="SAPLocked 2 9 2" xfId="14634" xr:uid="{00000000-0005-0000-0000-0000D0380000}"/>
    <cellStyle name="SAPLocked 2 9 2 10" xfId="14635" xr:uid="{00000000-0005-0000-0000-0000D1380000}"/>
    <cellStyle name="SAPLocked 2 9 2 10 2" xfId="14636" xr:uid="{00000000-0005-0000-0000-0000D2380000}"/>
    <cellStyle name="SAPLocked 2 9 2 11" xfId="14637" xr:uid="{00000000-0005-0000-0000-0000D3380000}"/>
    <cellStyle name="SAPLocked 2 9 2 11 2" xfId="14638" xr:uid="{00000000-0005-0000-0000-0000D4380000}"/>
    <cellStyle name="SAPLocked 2 9 2 12" xfId="14639" xr:uid="{00000000-0005-0000-0000-0000D5380000}"/>
    <cellStyle name="SAPLocked 2 9 2 2" xfId="14640" xr:uid="{00000000-0005-0000-0000-0000D6380000}"/>
    <cellStyle name="SAPLocked 2 9 2 2 2" xfId="14641" xr:uid="{00000000-0005-0000-0000-0000D7380000}"/>
    <cellStyle name="SAPLocked 2 9 2 3" xfId="14642" xr:uid="{00000000-0005-0000-0000-0000D8380000}"/>
    <cellStyle name="SAPLocked 2 9 2 3 2" xfId="14643" xr:uid="{00000000-0005-0000-0000-0000D9380000}"/>
    <cellStyle name="SAPLocked 2 9 2 4" xfId="14644" xr:uid="{00000000-0005-0000-0000-0000DA380000}"/>
    <cellStyle name="SAPLocked 2 9 2 4 2" xfId="14645" xr:uid="{00000000-0005-0000-0000-0000DB380000}"/>
    <cellStyle name="SAPLocked 2 9 2 5" xfId="14646" xr:uid="{00000000-0005-0000-0000-0000DC380000}"/>
    <cellStyle name="SAPLocked 2 9 2 5 2" xfId="14647" xr:uid="{00000000-0005-0000-0000-0000DD380000}"/>
    <cellStyle name="SAPLocked 2 9 2 6" xfId="14648" xr:uid="{00000000-0005-0000-0000-0000DE380000}"/>
    <cellStyle name="SAPLocked 2 9 2 6 2" xfId="14649" xr:uid="{00000000-0005-0000-0000-0000DF380000}"/>
    <cellStyle name="SAPLocked 2 9 2 7" xfId="14650" xr:uid="{00000000-0005-0000-0000-0000E0380000}"/>
    <cellStyle name="SAPLocked 2 9 2 7 2" xfId="14651" xr:uid="{00000000-0005-0000-0000-0000E1380000}"/>
    <cellStyle name="SAPLocked 2 9 2 8" xfId="14652" xr:uid="{00000000-0005-0000-0000-0000E2380000}"/>
    <cellStyle name="SAPLocked 2 9 2 8 2" xfId="14653" xr:uid="{00000000-0005-0000-0000-0000E3380000}"/>
    <cellStyle name="SAPLocked 2 9 2 9" xfId="14654" xr:uid="{00000000-0005-0000-0000-0000E4380000}"/>
    <cellStyle name="SAPLocked 2 9 2 9 2" xfId="14655" xr:uid="{00000000-0005-0000-0000-0000E5380000}"/>
    <cellStyle name="SAPLocked 2 9 3" xfId="14656" xr:uid="{00000000-0005-0000-0000-0000E6380000}"/>
    <cellStyle name="SAPLocked 2 9 3 2" xfId="14657" xr:uid="{00000000-0005-0000-0000-0000E7380000}"/>
    <cellStyle name="SAPLocked 2 9 4" xfId="14658" xr:uid="{00000000-0005-0000-0000-0000E8380000}"/>
    <cellStyle name="SAPLocked 2 9 4 2" xfId="14659" xr:uid="{00000000-0005-0000-0000-0000E9380000}"/>
    <cellStyle name="SAPLocked 2 9 5" xfId="14660" xr:uid="{00000000-0005-0000-0000-0000EA380000}"/>
    <cellStyle name="SAPLocked 2 9 5 2" xfId="14661" xr:uid="{00000000-0005-0000-0000-0000EB380000}"/>
    <cellStyle name="SAPLocked 2 9 6" xfId="14662" xr:uid="{00000000-0005-0000-0000-0000EC380000}"/>
    <cellStyle name="SAPLocked 2 9 6 2" xfId="14663" xr:uid="{00000000-0005-0000-0000-0000ED380000}"/>
    <cellStyle name="SAPLocked 2 9 7" xfId="14664" xr:uid="{00000000-0005-0000-0000-0000EE380000}"/>
    <cellStyle name="SAPLocked 2 9 7 2" xfId="14665" xr:uid="{00000000-0005-0000-0000-0000EF380000}"/>
    <cellStyle name="SAPLocked 2 9 8" xfId="14666" xr:uid="{00000000-0005-0000-0000-0000F0380000}"/>
    <cellStyle name="SAPLocked 2 9 8 2" xfId="14667" xr:uid="{00000000-0005-0000-0000-0000F1380000}"/>
    <cellStyle name="SAPLocked 2 9 9" xfId="14668" xr:uid="{00000000-0005-0000-0000-0000F2380000}"/>
    <cellStyle name="SAPLocked 2 9 9 2" xfId="14669" xr:uid="{00000000-0005-0000-0000-0000F3380000}"/>
    <cellStyle name="SAPLocked 20" xfId="14670" xr:uid="{00000000-0005-0000-0000-0000F4380000}"/>
    <cellStyle name="SAPLocked 20 10" xfId="14671" xr:uid="{00000000-0005-0000-0000-0000F5380000}"/>
    <cellStyle name="SAPLocked 20 10 2" xfId="14672" xr:uid="{00000000-0005-0000-0000-0000F6380000}"/>
    <cellStyle name="SAPLocked 20 11" xfId="14673" xr:uid="{00000000-0005-0000-0000-0000F7380000}"/>
    <cellStyle name="SAPLocked 20 11 2" xfId="14674" xr:uid="{00000000-0005-0000-0000-0000F8380000}"/>
    <cellStyle name="SAPLocked 20 12" xfId="14675" xr:uid="{00000000-0005-0000-0000-0000F9380000}"/>
    <cellStyle name="SAPLocked 20 12 2" xfId="14676" xr:uid="{00000000-0005-0000-0000-0000FA380000}"/>
    <cellStyle name="SAPLocked 20 13" xfId="14677" xr:uid="{00000000-0005-0000-0000-0000FB380000}"/>
    <cellStyle name="SAPLocked 20 2" xfId="14678" xr:uid="{00000000-0005-0000-0000-0000FC380000}"/>
    <cellStyle name="SAPLocked 20 2 10" xfId="14679" xr:uid="{00000000-0005-0000-0000-0000FD380000}"/>
    <cellStyle name="SAPLocked 20 2 10 2" xfId="14680" xr:uid="{00000000-0005-0000-0000-0000FE380000}"/>
    <cellStyle name="SAPLocked 20 2 11" xfId="14681" xr:uid="{00000000-0005-0000-0000-0000FF380000}"/>
    <cellStyle name="SAPLocked 20 2 11 2" xfId="14682" xr:uid="{00000000-0005-0000-0000-000000390000}"/>
    <cellStyle name="SAPLocked 20 2 12" xfId="14683" xr:uid="{00000000-0005-0000-0000-000001390000}"/>
    <cellStyle name="SAPLocked 20 2 2" xfId="14684" xr:uid="{00000000-0005-0000-0000-000002390000}"/>
    <cellStyle name="SAPLocked 20 2 2 2" xfId="14685" xr:uid="{00000000-0005-0000-0000-000003390000}"/>
    <cellStyle name="SAPLocked 20 2 3" xfId="14686" xr:uid="{00000000-0005-0000-0000-000004390000}"/>
    <cellStyle name="SAPLocked 20 2 3 2" xfId="14687" xr:uid="{00000000-0005-0000-0000-000005390000}"/>
    <cellStyle name="SAPLocked 20 2 4" xfId="14688" xr:uid="{00000000-0005-0000-0000-000006390000}"/>
    <cellStyle name="SAPLocked 20 2 4 2" xfId="14689" xr:uid="{00000000-0005-0000-0000-000007390000}"/>
    <cellStyle name="SAPLocked 20 2 5" xfId="14690" xr:uid="{00000000-0005-0000-0000-000008390000}"/>
    <cellStyle name="SAPLocked 20 2 5 2" xfId="14691" xr:uid="{00000000-0005-0000-0000-000009390000}"/>
    <cellStyle name="SAPLocked 20 2 6" xfId="14692" xr:uid="{00000000-0005-0000-0000-00000A390000}"/>
    <cellStyle name="SAPLocked 20 2 6 2" xfId="14693" xr:uid="{00000000-0005-0000-0000-00000B390000}"/>
    <cellStyle name="SAPLocked 20 2 7" xfId="14694" xr:uid="{00000000-0005-0000-0000-00000C390000}"/>
    <cellStyle name="SAPLocked 20 2 7 2" xfId="14695" xr:uid="{00000000-0005-0000-0000-00000D390000}"/>
    <cellStyle name="SAPLocked 20 2 8" xfId="14696" xr:uid="{00000000-0005-0000-0000-00000E390000}"/>
    <cellStyle name="SAPLocked 20 2 8 2" xfId="14697" xr:uid="{00000000-0005-0000-0000-00000F390000}"/>
    <cellStyle name="SAPLocked 20 2 9" xfId="14698" xr:uid="{00000000-0005-0000-0000-000010390000}"/>
    <cellStyle name="SAPLocked 20 2 9 2" xfId="14699" xr:uid="{00000000-0005-0000-0000-000011390000}"/>
    <cellStyle name="SAPLocked 20 3" xfId="14700" xr:uid="{00000000-0005-0000-0000-000012390000}"/>
    <cellStyle name="SAPLocked 20 3 2" xfId="14701" xr:uid="{00000000-0005-0000-0000-000013390000}"/>
    <cellStyle name="SAPLocked 20 4" xfId="14702" xr:uid="{00000000-0005-0000-0000-000014390000}"/>
    <cellStyle name="SAPLocked 20 4 2" xfId="14703" xr:uid="{00000000-0005-0000-0000-000015390000}"/>
    <cellStyle name="SAPLocked 20 5" xfId="14704" xr:uid="{00000000-0005-0000-0000-000016390000}"/>
    <cellStyle name="SAPLocked 20 5 2" xfId="14705" xr:uid="{00000000-0005-0000-0000-000017390000}"/>
    <cellStyle name="SAPLocked 20 6" xfId="14706" xr:uid="{00000000-0005-0000-0000-000018390000}"/>
    <cellStyle name="SAPLocked 20 6 2" xfId="14707" xr:uid="{00000000-0005-0000-0000-000019390000}"/>
    <cellStyle name="SAPLocked 20 7" xfId="14708" xr:uid="{00000000-0005-0000-0000-00001A390000}"/>
    <cellStyle name="SAPLocked 20 7 2" xfId="14709" xr:uid="{00000000-0005-0000-0000-00001B390000}"/>
    <cellStyle name="SAPLocked 20 8" xfId="14710" xr:uid="{00000000-0005-0000-0000-00001C390000}"/>
    <cellStyle name="SAPLocked 20 8 2" xfId="14711" xr:uid="{00000000-0005-0000-0000-00001D390000}"/>
    <cellStyle name="SAPLocked 20 9" xfId="14712" xr:uid="{00000000-0005-0000-0000-00001E390000}"/>
    <cellStyle name="SAPLocked 20 9 2" xfId="14713" xr:uid="{00000000-0005-0000-0000-00001F390000}"/>
    <cellStyle name="SAPLocked 21" xfId="14714" xr:uid="{00000000-0005-0000-0000-000020390000}"/>
    <cellStyle name="SAPLocked 21 10" xfId="14715" xr:uid="{00000000-0005-0000-0000-000021390000}"/>
    <cellStyle name="SAPLocked 21 10 2" xfId="14716" xr:uid="{00000000-0005-0000-0000-000022390000}"/>
    <cellStyle name="SAPLocked 21 11" xfId="14717" xr:uid="{00000000-0005-0000-0000-000023390000}"/>
    <cellStyle name="SAPLocked 21 11 2" xfId="14718" xr:uid="{00000000-0005-0000-0000-000024390000}"/>
    <cellStyle name="SAPLocked 21 12" xfId="14719" xr:uid="{00000000-0005-0000-0000-000025390000}"/>
    <cellStyle name="SAPLocked 21 12 2" xfId="14720" xr:uid="{00000000-0005-0000-0000-000026390000}"/>
    <cellStyle name="SAPLocked 21 13" xfId="14721" xr:uid="{00000000-0005-0000-0000-000027390000}"/>
    <cellStyle name="SAPLocked 21 2" xfId="14722" xr:uid="{00000000-0005-0000-0000-000028390000}"/>
    <cellStyle name="SAPLocked 21 2 10" xfId="14723" xr:uid="{00000000-0005-0000-0000-000029390000}"/>
    <cellStyle name="SAPLocked 21 2 10 2" xfId="14724" xr:uid="{00000000-0005-0000-0000-00002A390000}"/>
    <cellStyle name="SAPLocked 21 2 11" xfId="14725" xr:uid="{00000000-0005-0000-0000-00002B390000}"/>
    <cellStyle name="SAPLocked 21 2 11 2" xfId="14726" xr:uid="{00000000-0005-0000-0000-00002C390000}"/>
    <cellStyle name="SAPLocked 21 2 12" xfId="14727" xr:uid="{00000000-0005-0000-0000-00002D390000}"/>
    <cellStyle name="SAPLocked 21 2 2" xfId="14728" xr:uid="{00000000-0005-0000-0000-00002E390000}"/>
    <cellStyle name="SAPLocked 21 2 2 2" xfId="14729" xr:uid="{00000000-0005-0000-0000-00002F390000}"/>
    <cellStyle name="SAPLocked 21 2 3" xfId="14730" xr:uid="{00000000-0005-0000-0000-000030390000}"/>
    <cellStyle name="SAPLocked 21 2 3 2" xfId="14731" xr:uid="{00000000-0005-0000-0000-000031390000}"/>
    <cellStyle name="SAPLocked 21 2 4" xfId="14732" xr:uid="{00000000-0005-0000-0000-000032390000}"/>
    <cellStyle name="SAPLocked 21 2 4 2" xfId="14733" xr:uid="{00000000-0005-0000-0000-000033390000}"/>
    <cellStyle name="SAPLocked 21 2 5" xfId="14734" xr:uid="{00000000-0005-0000-0000-000034390000}"/>
    <cellStyle name="SAPLocked 21 2 5 2" xfId="14735" xr:uid="{00000000-0005-0000-0000-000035390000}"/>
    <cellStyle name="SAPLocked 21 2 6" xfId="14736" xr:uid="{00000000-0005-0000-0000-000036390000}"/>
    <cellStyle name="SAPLocked 21 2 6 2" xfId="14737" xr:uid="{00000000-0005-0000-0000-000037390000}"/>
    <cellStyle name="SAPLocked 21 2 7" xfId="14738" xr:uid="{00000000-0005-0000-0000-000038390000}"/>
    <cellStyle name="SAPLocked 21 2 7 2" xfId="14739" xr:uid="{00000000-0005-0000-0000-000039390000}"/>
    <cellStyle name="SAPLocked 21 2 8" xfId="14740" xr:uid="{00000000-0005-0000-0000-00003A390000}"/>
    <cellStyle name="SAPLocked 21 2 8 2" xfId="14741" xr:uid="{00000000-0005-0000-0000-00003B390000}"/>
    <cellStyle name="SAPLocked 21 2 9" xfId="14742" xr:uid="{00000000-0005-0000-0000-00003C390000}"/>
    <cellStyle name="SAPLocked 21 2 9 2" xfId="14743" xr:uid="{00000000-0005-0000-0000-00003D390000}"/>
    <cellStyle name="SAPLocked 21 3" xfId="14744" xr:uid="{00000000-0005-0000-0000-00003E390000}"/>
    <cellStyle name="SAPLocked 21 3 2" xfId="14745" xr:uid="{00000000-0005-0000-0000-00003F390000}"/>
    <cellStyle name="SAPLocked 21 4" xfId="14746" xr:uid="{00000000-0005-0000-0000-000040390000}"/>
    <cellStyle name="SAPLocked 21 4 2" xfId="14747" xr:uid="{00000000-0005-0000-0000-000041390000}"/>
    <cellStyle name="SAPLocked 21 5" xfId="14748" xr:uid="{00000000-0005-0000-0000-000042390000}"/>
    <cellStyle name="SAPLocked 21 5 2" xfId="14749" xr:uid="{00000000-0005-0000-0000-000043390000}"/>
    <cellStyle name="SAPLocked 21 6" xfId="14750" xr:uid="{00000000-0005-0000-0000-000044390000}"/>
    <cellStyle name="SAPLocked 21 6 2" xfId="14751" xr:uid="{00000000-0005-0000-0000-000045390000}"/>
    <cellStyle name="SAPLocked 21 7" xfId="14752" xr:uid="{00000000-0005-0000-0000-000046390000}"/>
    <cellStyle name="SAPLocked 21 7 2" xfId="14753" xr:uid="{00000000-0005-0000-0000-000047390000}"/>
    <cellStyle name="SAPLocked 21 8" xfId="14754" xr:uid="{00000000-0005-0000-0000-000048390000}"/>
    <cellStyle name="SAPLocked 21 8 2" xfId="14755" xr:uid="{00000000-0005-0000-0000-000049390000}"/>
    <cellStyle name="SAPLocked 21 9" xfId="14756" xr:uid="{00000000-0005-0000-0000-00004A390000}"/>
    <cellStyle name="SAPLocked 21 9 2" xfId="14757" xr:uid="{00000000-0005-0000-0000-00004B390000}"/>
    <cellStyle name="SAPLocked 22" xfId="14758" xr:uid="{00000000-0005-0000-0000-00004C390000}"/>
    <cellStyle name="SAPLocked 22 10" xfId="14759" xr:uid="{00000000-0005-0000-0000-00004D390000}"/>
    <cellStyle name="SAPLocked 22 10 2" xfId="14760" xr:uid="{00000000-0005-0000-0000-00004E390000}"/>
    <cellStyle name="SAPLocked 22 11" xfId="14761" xr:uid="{00000000-0005-0000-0000-00004F390000}"/>
    <cellStyle name="SAPLocked 22 11 2" xfId="14762" xr:uid="{00000000-0005-0000-0000-000050390000}"/>
    <cellStyle name="SAPLocked 22 12" xfId="14763" xr:uid="{00000000-0005-0000-0000-000051390000}"/>
    <cellStyle name="SAPLocked 22 2" xfId="14764" xr:uid="{00000000-0005-0000-0000-000052390000}"/>
    <cellStyle name="SAPLocked 22 2 2" xfId="14765" xr:uid="{00000000-0005-0000-0000-000053390000}"/>
    <cellStyle name="SAPLocked 22 3" xfId="14766" xr:uid="{00000000-0005-0000-0000-000054390000}"/>
    <cellStyle name="SAPLocked 22 3 2" xfId="14767" xr:uid="{00000000-0005-0000-0000-000055390000}"/>
    <cellStyle name="SAPLocked 22 4" xfId="14768" xr:uid="{00000000-0005-0000-0000-000056390000}"/>
    <cellStyle name="SAPLocked 22 4 2" xfId="14769" xr:uid="{00000000-0005-0000-0000-000057390000}"/>
    <cellStyle name="SAPLocked 22 5" xfId="14770" xr:uid="{00000000-0005-0000-0000-000058390000}"/>
    <cellStyle name="SAPLocked 22 5 2" xfId="14771" xr:uid="{00000000-0005-0000-0000-000059390000}"/>
    <cellStyle name="SAPLocked 22 6" xfId="14772" xr:uid="{00000000-0005-0000-0000-00005A390000}"/>
    <cellStyle name="SAPLocked 22 6 2" xfId="14773" xr:uid="{00000000-0005-0000-0000-00005B390000}"/>
    <cellStyle name="SAPLocked 22 7" xfId="14774" xr:uid="{00000000-0005-0000-0000-00005C390000}"/>
    <cellStyle name="SAPLocked 22 7 2" xfId="14775" xr:uid="{00000000-0005-0000-0000-00005D390000}"/>
    <cellStyle name="SAPLocked 22 8" xfId="14776" xr:uid="{00000000-0005-0000-0000-00005E390000}"/>
    <cellStyle name="SAPLocked 22 8 2" xfId="14777" xr:uid="{00000000-0005-0000-0000-00005F390000}"/>
    <cellStyle name="SAPLocked 22 9" xfId="14778" xr:uid="{00000000-0005-0000-0000-000060390000}"/>
    <cellStyle name="SAPLocked 22 9 2" xfId="14779" xr:uid="{00000000-0005-0000-0000-000061390000}"/>
    <cellStyle name="SAPLocked 23" xfId="14780" xr:uid="{00000000-0005-0000-0000-000062390000}"/>
    <cellStyle name="SAPLocked 23 2" xfId="14781" xr:uid="{00000000-0005-0000-0000-000063390000}"/>
    <cellStyle name="SAPLocked 24" xfId="14782" xr:uid="{00000000-0005-0000-0000-000064390000}"/>
    <cellStyle name="SAPLocked 24 2" xfId="14783" xr:uid="{00000000-0005-0000-0000-000065390000}"/>
    <cellStyle name="SAPLocked 25" xfId="14784" xr:uid="{00000000-0005-0000-0000-000066390000}"/>
    <cellStyle name="SAPLocked 25 2" xfId="14785" xr:uid="{00000000-0005-0000-0000-000067390000}"/>
    <cellStyle name="SAPLocked 26" xfId="14786" xr:uid="{00000000-0005-0000-0000-000068390000}"/>
    <cellStyle name="SAPLocked 26 2" xfId="14787" xr:uid="{00000000-0005-0000-0000-000069390000}"/>
    <cellStyle name="SAPLocked 27" xfId="14788" xr:uid="{00000000-0005-0000-0000-00006A390000}"/>
    <cellStyle name="SAPLocked 27 2" xfId="14789" xr:uid="{00000000-0005-0000-0000-00006B390000}"/>
    <cellStyle name="SAPLocked 28" xfId="14790" xr:uid="{00000000-0005-0000-0000-00006C390000}"/>
    <cellStyle name="SAPLocked 28 2" xfId="14791" xr:uid="{00000000-0005-0000-0000-00006D390000}"/>
    <cellStyle name="SAPLocked 29" xfId="14792" xr:uid="{00000000-0005-0000-0000-00006E390000}"/>
    <cellStyle name="SAPLocked 29 2" xfId="14793" xr:uid="{00000000-0005-0000-0000-00006F390000}"/>
    <cellStyle name="SAPLocked 3" xfId="14794" xr:uid="{00000000-0005-0000-0000-000070390000}"/>
    <cellStyle name="SAPLocked 3 10" xfId="14795" xr:uid="{00000000-0005-0000-0000-000071390000}"/>
    <cellStyle name="SAPLocked 3 10 2" xfId="14796" xr:uid="{00000000-0005-0000-0000-000072390000}"/>
    <cellStyle name="SAPLocked 3 11" xfId="14797" xr:uid="{00000000-0005-0000-0000-000073390000}"/>
    <cellStyle name="SAPLocked 3 11 2" xfId="14798" xr:uid="{00000000-0005-0000-0000-000074390000}"/>
    <cellStyle name="SAPLocked 3 12" xfId="14799" xr:uid="{00000000-0005-0000-0000-000075390000}"/>
    <cellStyle name="SAPLocked 3 12 2" xfId="14800" xr:uid="{00000000-0005-0000-0000-000076390000}"/>
    <cellStyle name="SAPLocked 3 13" xfId="14801" xr:uid="{00000000-0005-0000-0000-000077390000}"/>
    <cellStyle name="SAPLocked 3 2" xfId="14802" xr:uid="{00000000-0005-0000-0000-000078390000}"/>
    <cellStyle name="SAPLocked 3 2 10" xfId="14803" xr:uid="{00000000-0005-0000-0000-000079390000}"/>
    <cellStyle name="SAPLocked 3 2 10 2" xfId="14804" xr:uid="{00000000-0005-0000-0000-00007A390000}"/>
    <cellStyle name="SAPLocked 3 2 11" xfId="14805" xr:uid="{00000000-0005-0000-0000-00007B390000}"/>
    <cellStyle name="SAPLocked 3 2 11 2" xfId="14806" xr:uid="{00000000-0005-0000-0000-00007C390000}"/>
    <cellStyle name="SAPLocked 3 2 12" xfId="14807" xr:uid="{00000000-0005-0000-0000-00007D390000}"/>
    <cellStyle name="SAPLocked 3 2 2" xfId="14808" xr:uid="{00000000-0005-0000-0000-00007E390000}"/>
    <cellStyle name="SAPLocked 3 2 2 2" xfId="14809" xr:uid="{00000000-0005-0000-0000-00007F390000}"/>
    <cellStyle name="SAPLocked 3 2 3" xfId="14810" xr:uid="{00000000-0005-0000-0000-000080390000}"/>
    <cellStyle name="SAPLocked 3 2 3 2" xfId="14811" xr:uid="{00000000-0005-0000-0000-000081390000}"/>
    <cellStyle name="SAPLocked 3 2 4" xfId="14812" xr:uid="{00000000-0005-0000-0000-000082390000}"/>
    <cellStyle name="SAPLocked 3 2 4 2" xfId="14813" xr:uid="{00000000-0005-0000-0000-000083390000}"/>
    <cellStyle name="SAPLocked 3 2 5" xfId="14814" xr:uid="{00000000-0005-0000-0000-000084390000}"/>
    <cellStyle name="SAPLocked 3 2 5 2" xfId="14815" xr:uid="{00000000-0005-0000-0000-000085390000}"/>
    <cellStyle name="SAPLocked 3 2 6" xfId="14816" xr:uid="{00000000-0005-0000-0000-000086390000}"/>
    <cellStyle name="SAPLocked 3 2 6 2" xfId="14817" xr:uid="{00000000-0005-0000-0000-000087390000}"/>
    <cellStyle name="SAPLocked 3 2 7" xfId="14818" xr:uid="{00000000-0005-0000-0000-000088390000}"/>
    <cellStyle name="SAPLocked 3 2 7 2" xfId="14819" xr:uid="{00000000-0005-0000-0000-000089390000}"/>
    <cellStyle name="SAPLocked 3 2 8" xfId="14820" xr:uid="{00000000-0005-0000-0000-00008A390000}"/>
    <cellStyle name="SAPLocked 3 2 8 2" xfId="14821" xr:uid="{00000000-0005-0000-0000-00008B390000}"/>
    <cellStyle name="SAPLocked 3 2 9" xfId="14822" xr:uid="{00000000-0005-0000-0000-00008C390000}"/>
    <cellStyle name="SAPLocked 3 2 9 2" xfId="14823" xr:uid="{00000000-0005-0000-0000-00008D390000}"/>
    <cellStyle name="SAPLocked 3 3" xfId="14824" xr:uid="{00000000-0005-0000-0000-00008E390000}"/>
    <cellStyle name="SAPLocked 3 3 2" xfId="14825" xr:uid="{00000000-0005-0000-0000-00008F390000}"/>
    <cellStyle name="SAPLocked 3 4" xfId="14826" xr:uid="{00000000-0005-0000-0000-000090390000}"/>
    <cellStyle name="SAPLocked 3 4 2" xfId="14827" xr:uid="{00000000-0005-0000-0000-000091390000}"/>
    <cellStyle name="SAPLocked 3 5" xfId="14828" xr:uid="{00000000-0005-0000-0000-000092390000}"/>
    <cellStyle name="SAPLocked 3 5 2" xfId="14829" xr:uid="{00000000-0005-0000-0000-000093390000}"/>
    <cellStyle name="SAPLocked 3 6" xfId="14830" xr:uid="{00000000-0005-0000-0000-000094390000}"/>
    <cellStyle name="SAPLocked 3 6 2" xfId="14831" xr:uid="{00000000-0005-0000-0000-000095390000}"/>
    <cellStyle name="SAPLocked 3 7" xfId="14832" xr:uid="{00000000-0005-0000-0000-000096390000}"/>
    <cellStyle name="SAPLocked 3 7 2" xfId="14833" xr:uid="{00000000-0005-0000-0000-000097390000}"/>
    <cellStyle name="SAPLocked 3 8" xfId="14834" xr:uid="{00000000-0005-0000-0000-000098390000}"/>
    <cellStyle name="SAPLocked 3 8 2" xfId="14835" xr:uid="{00000000-0005-0000-0000-000099390000}"/>
    <cellStyle name="SAPLocked 3 9" xfId="14836" xr:uid="{00000000-0005-0000-0000-00009A390000}"/>
    <cellStyle name="SAPLocked 3 9 2" xfId="14837" xr:uid="{00000000-0005-0000-0000-00009B390000}"/>
    <cellStyle name="SAPLocked 30" xfId="14838" xr:uid="{00000000-0005-0000-0000-00009C390000}"/>
    <cellStyle name="SAPLocked 30 2" xfId="14839" xr:uid="{00000000-0005-0000-0000-00009D390000}"/>
    <cellStyle name="SAPLocked 31" xfId="14840" xr:uid="{00000000-0005-0000-0000-00009E390000}"/>
    <cellStyle name="SAPLocked 4" xfId="14841" xr:uid="{00000000-0005-0000-0000-00009F390000}"/>
    <cellStyle name="SAPLocked 4 10" xfId="14842" xr:uid="{00000000-0005-0000-0000-0000A0390000}"/>
    <cellStyle name="SAPLocked 4 10 2" xfId="14843" xr:uid="{00000000-0005-0000-0000-0000A1390000}"/>
    <cellStyle name="SAPLocked 4 11" xfId="14844" xr:uid="{00000000-0005-0000-0000-0000A2390000}"/>
    <cellStyle name="SAPLocked 4 11 2" xfId="14845" xr:uid="{00000000-0005-0000-0000-0000A3390000}"/>
    <cellStyle name="SAPLocked 4 12" xfId="14846" xr:uid="{00000000-0005-0000-0000-0000A4390000}"/>
    <cellStyle name="SAPLocked 4 12 2" xfId="14847" xr:uid="{00000000-0005-0000-0000-0000A5390000}"/>
    <cellStyle name="SAPLocked 4 13" xfId="14848" xr:uid="{00000000-0005-0000-0000-0000A6390000}"/>
    <cellStyle name="SAPLocked 4 2" xfId="14849" xr:uid="{00000000-0005-0000-0000-0000A7390000}"/>
    <cellStyle name="SAPLocked 4 2 10" xfId="14850" xr:uid="{00000000-0005-0000-0000-0000A8390000}"/>
    <cellStyle name="SAPLocked 4 2 10 2" xfId="14851" xr:uid="{00000000-0005-0000-0000-0000A9390000}"/>
    <cellStyle name="SAPLocked 4 2 11" xfId="14852" xr:uid="{00000000-0005-0000-0000-0000AA390000}"/>
    <cellStyle name="SAPLocked 4 2 11 2" xfId="14853" xr:uid="{00000000-0005-0000-0000-0000AB390000}"/>
    <cellStyle name="SAPLocked 4 2 12" xfId="14854" xr:uid="{00000000-0005-0000-0000-0000AC390000}"/>
    <cellStyle name="SAPLocked 4 2 2" xfId="14855" xr:uid="{00000000-0005-0000-0000-0000AD390000}"/>
    <cellStyle name="SAPLocked 4 2 2 2" xfId="14856" xr:uid="{00000000-0005-0000-0000-0000AE390000}"/>
    <cellStyle name="SAPLocked 4 2 3" xfId="14857" xr:uid="{00000000-0005-0000-0000-0000AF390000}"/>
    <cellStyle name="SAPLocked 4 2 3 2" xfId="14858" xr:uid="{00000000-0005-0000-0000-0000B0390000}"/>
    <cellStyle name="SAPLocked 4 2 4" xfId="14859" xr:uid="{00000000-0005-0000-0000-0000B1390000}"/>
    <cellStyle name="SAPLocked 4 2 4 2" xfId="14860" xr:uid="{00000000-0005-0000-0000-0000B2390000}"/>
    <cellStyle name="SAPLocked 4 2 5" xfId="14861" xr:uid="{00000000-0005-0000-0000-0000B3390000}"/>
    <cellStyle name="SAPLocked 4 2 5 2" xfId="14862" xr:uid="{00000000-0005-0000-0000-0000B4390000}"/>
    <cellStyle name="SAPLocked 4 2 6" xfId="14863" xr:uid="{00000000-0005-0000-0000-0000B5390000}"/>
    <cellStyle name="SAPLocked 4 2 6 2" xfId="14864" xr:uid="{00000000-0005-0000-0000-0000B6390000}"/>
    <cellStyle name="SAPLocked 4 2 7" xfId="14865" xr:uid="{00000000-0005-0000-0000-0000B7390000}"/>
    <cellStyle name="SAPLocked 4 2 7 2" xfId="14866" xr:uid="{00000000-0005-0000-0000-0000B8390000}"/>
    <cellStyle name="SAPLocked 4 2 8" xfId="14867" xr:uid="{00000000-0005-0000-0000-0000B9390000}"/>
    <cellStyle name="SAPLocked 4 2 8 2" xfId="14868" xr:uid="{00000000-0005-0000-0000-0000BA390000}"/>
    <cellStyle name="SAPLocked 4 2 9" xfId="14869" xr:uid="{00000000-0005-0000-0000-0000BB390000}"/>
    <cellStyle name="SAPLocked 4 2 9 2" xfId="14870" xr:uid="{00000000-0005-0000-0000-0000BC390000}"/>
    <cellStyle name="SAPLocked 4 3" xfId="14871" xr:uid="{00000000-0005-0000-0000-0000BD390000}"/>
    <cellStyle name="SAPLocked 4 3 2" xfId="14872" xr:uid="{00000000-0005-0000-0000-0000BE390000}"/>
    <cellStyle name="SAPLocked 4 4" xfId="14873" xr:uid="{00000000-0005-0000-0000-0000BF390000}"/>
    <cellStyle name="SAPLocked 4 4 2" xfId="14874" xr:uid="{00000000-0005-0000-0000-0000C0390000}"/>
    <cellStyle name="SAPLocked 4 5" xfId="14875" xr:uid="{00000000-0005-0000-0000-0000C1390000}"/>
    <cellStyle name="SAPLocked 4 5 2" xfId="14876" xr:uid="{00000000-0005-0000-0000-0000C2390000}"/>
    <cellStyle name="SAPLocked 4 6" xfId="14877" xr:uid="{00000000-0005-0000-0000-0000C3390000}"/>
    <cellStyle name="SAPLocked 4 6 2" xfId="14878" xr:uid="{00000000-0005-0000-0000-0000C4390000}"/>
    <cellStyle name="SAPLocked 4 7" xfId="14879" xr:uid="{00000000-0005-0000-0000-0000C5390000}"/>
    <cellStyle name="SAPLocked 4 7 2" xfId="14880" xr:uid="{00000000-0005-0000-0000-0000C6390000}"/>
    <cellStyle name="SAPLocked 4 8" xfId="14881" xr:uid="{00000000-0005-0000-0000-0000C7390000}"/>
    <cellStyle name="SAPLocked 4 8 2" xfId="14882" xr:uid="{00000000-0005-0000-0000-0000C8390000}"/>
    <cellStyle name="SAPLocked 4 9" xfId="14883" xr:uid="{00000000-0005-0000-0000-0000C9390000}"/>
    <cellStyle name="SAPLocked 4 9 2" xfId="14884" xr:uid="{00000000-0005-0000-0000-0000CA390000}"/>
    <cellStyle name="SAPLocked 5" xfId="14885" xr:uid="{00000000-0005-0000-0000-0000CB390000}"/>
    <cellStyle name="SAPLocked 5 10" xfId="14886" xr:uid="{00000000-0005-0000-0000-0000CC390000}"/>
    <cellStyle name="SAPLocked 5 10 2" xfId="14887" xr:uid="{00000000-0005-0000-0000-0000CD390000}"/>
    <cellStyle name="SAPLocked 5 11" xfId="14888" xr:uid="{00000000-0005-0000-0000-0000CE390000}"/>
    <cellStyle name="SAPLocked 5 11 2" xfId="14889" xr:uid="{00000000-0005-0000-0000-0000CF390000}"/>
    <cellStyle name="SAPLocked 5 12" xfId="14890" xr:uid="{00000000-0005-0000-0000-0000D0390000}"/>
    <cellStyle name="SAPLocked 5 12 2" xfId="14891" xr:uid="{00000000-0005-0000-0000-0000D1390000}"/>
    <cellStyle name="SAPLocked 5 13" xfId="14892" xr:uid="{00000000-0005-0000-0000-0000D2390000}"/>
    <cellStyle name="SAPLocked 5 2" xfId="14893" xr:uid="{00000000-0005-0000-0000-0000D3390000}"/>
    <cellStyle name="SAPLocked 5 2 10" xfId="14894" xr:uid="{00000000-0005-0000-0000-0000D4390000}"/>
    <cellStyle name="SAPLocked 5 2 10 2" xfId="14895" xr:uid="{00000000-0005-0000-0000-0000D5390000}"/>
    <cellStyle name="SAPLocked 5 2 11" xfId="14896" xr:uid="{00000000-0005-0000-0000-0000D6390000}"/>
    <cellStyle name="SAPLocked 5 2 11 2" xfId="14897" xr:uid="{00000000-0005-0000-0000-0000D7390000}"/>
    <cellStyle name="SAPLocked 5 2 12" xfId="14898" xr:uid="{00000000-0005-0000-0000-0000D8390000}"/>
    <cellStyle name="SAPLocked 5 2 2" xfId="14899" xr:uid="{00000000-0005-0000-0000-0000D9390000}"/>
    <cellStyle name="SAPLocked 5 2 2 2" xfId="14900" xr:uid="{00000000-0005-0000-0000-0000DA390000}"/>
    <cellStyle name="SAPLocked 5 2 3" xfId="14901" xr:uid="{00000000-0005-0000-0000-0000DB390000}"/>
    <cellStyle name="SAPLocked 5 2 3 2" xfId="14902" xr:uid="{00000000-0005-0000-0000-0000DC390000}"/>
    <cellStyle name="SAPLocked 5 2 4" xfId="14903" xr:uid="{00000000-0005-0000-0000-0000DD390000}"/>
    <cellStyle name="SAPLocked 5 2 4 2" xfId="14904" xr:uid="{00000000-0005-0000-0000-0000DE390000}"/>
    <cellStyle name="SAPLocked 5 2 5" xfId="14905" xr:uid="{00000000-0005-0000-0000-0000DF390000}"/>
    <cellStyle name="SAPLocked 5 2 5 2" xfId="14906" xr:uid="{00000000-0005-0000-0000-0000E0390000}"/>
    <cellStyle name="SAPLocked 5 2 6" xfId="14907" xr:uid="{00000000-0005-0000-0000-0000E1390000}"/>
    <cellStyle name="SAPLocked 5 2 6 2" xfId="14908" xr:uid="{00000000-0005-0000-0000-0000E2390000}"/>
    <cellStyle name="SAPLocked 5 2 7" xfId="14909" xr:uid="{00000000-0005-0000-0000-0000E3390000}"/>
    <cellStyle name="SAPLocked 5 2 7 2" xfId="14910" xr:uid="{00000000-0005-0000-0000-0000E4390000}"/>
    <cellStyle name="SAPLocked 5 2 8" xfId="14911" xr:uid="{00000000-0005-0000-0000-0000E5390000}"/>
    <cellStyle name="SAPLocked 5 2 8 2" xfId="14912" xr:uid="{00000000-0005-0000-0000-0000E6390000}"/>
    <cellStyle name="SAPLocked 5 2 9" xfId="14913" xr:uid="{00000000-0005-0000-0000-0000E7390000}"/>
    <cellStyle name="SAPLocked 5 2 9 2" xfId="14914" xr:uid="{00000000-0005-0000-0000-0000E8390000}"/>
    <cellStyle name="SAPLocked 5 3" xfId="14915" xr:uid="{00000000-0005-0000-0000-0000E9390000}"/>
    <cellStyle name="SAPLocked 5 3 2" xfId="14916" xr:uid="{00000000-0005-0000-0000-0000EA390000}"/>
    <cellStyle name="SAPLocked 5 4" xfId="14917" xr:uid="{00000000-0005-0000-0000-0000EB390000}"/>
    <cellStyle name="SAPLocked 5 4 2" xfId="14918" xr:uid="{00000000-0005-0000-0000-0000EC390000}"/>
    <cellStyle name="SAPLocked 5 5" xfId="14919" xr:uid="{00000000-0005-0000-0000-0000ED390000}"/>
    <cellStyle name="SAPLocked 5 5 2" xfId="14920" xr:uid="{00000000-0005-0000-0000-0000EE390000}"/>
    <cellStyle name="SAPLocked 5 6" xfId="14921" xr:uid="{00000000-0005-0000-0000-0000EF390000}"/>
    <cellStyle name="SAPLocked 5 6 2" xfId="14922" xr:uid="{00000000-0005-0000-0000-0000F0390000}"/>
    <cellStyle name="SAPLocked 5 7" xfId="14923" xr:uid="{00000000-0005-0000-0000-0000F1390000}"/>
    <cellStyle name="SAPLocked 5 7 2" xfId="14924" xr:uid="{00000000-0005-0000-0000-0000F2390000}"/>
    <cellStyle name="SAPLocked 5 8" xfId="14925" xr:uid="{00000000-0005-0000-0000-0000F3390000}"/>
    <cellStyle name="SAPLocked 5 8 2" xfId="14926" xr:uid="{00000000-0005-0000-0000-0000F4390000}"/>
    <cellStyle name="SAPLocked 5 9" xfId="14927" xr:uid="{00000000-0005-0000-0000-0000F5390000}"/>
    <cellStyle name="SAPLocked 5 9 2" xfId="14928" xr:uid="{00000000-0005-0000-0000-0000F6390000}"/>
    <cellStyle name="SAPLocked 6" xfId="14929" xr:uid="{00000000-0005-0000-0000-0000F7390000}"/>
    <cellStyle name="SAPLocked 6 10" xfId="14930" xr:uid="{00000000-0005-0000-0000-0000F8390000}"/>
    <cellStyle name="SAPLocked 6 10 2" xfId="14931" xr:uid="{00000000-0005-0000-0000-0000F9390000}"/>
    <cellStyle name="SAPLocked 6 11" xfId="14932" xr:uid="{00000000-0005-0000-0000-0000FA390000}"/>
    <cellStyle name="SAPLocked 6 11 2" xfId="14933" xr:uid="{00000000-0005-0000-0000-0000FB390000}"/>
    <cellStyle name="SAPLocked 6 12" xfId="14934" xr:uid="{00000000-0005-0000-0000-0000FC390000}"/>
    <cellStyle name="SAPLocked 6 12 2" xfId="14935" xr:uid="{00000000-0005-0000-0000-0000FD390000}"/>
    <cellStyle name="SAPLocked 6 13" xfId="14936" xr:uid="{00000000-0005-0000-0000-0000FE390000}"/>
    <cellStyle name="SAPLocked 6 2" xfId="14937" xr:uid="{00000000-0005-0000-0000-0000FF390000}"/>
    <cellStyle name="SAPLocked 6 2 10" xfId="14938" xr:uid="{00000000-0005-0000-0000-0000003A0000}"/>
    <cellStyle name="SAPLocked 6 2 10 2" xfId="14939" xr:uid="{00000000-0005-0000-0000-0000013A0000}"/>
    <cellStyle name="SAPLocked 6 2 11" xfId="14940" xr:uid="{00000000-0005-0000-0000-0000023A0000}"/>
    <cellStyle name="SAPLocked 6 2 11 2" xfId="14941" xr:uid="{00000000-0005-0000-0000-0000033A0000}"/>
    <cellStyle name="SAPLocked 6 2 12" xfId="14942" xr:uid="{00000000-0005-0000-0000-0000043A0000}"/>
    <cellStyle name="SAPLocked 6 2 2" xfId="14943" xr:uid="{00000000-0005-0000-0000-0000053A0000}"/>
    <cellStyle name="SAPLocked 6 2 2 2" xfId="14944" xr:uid="{00000000-0005-0000-0000-0000063A0000}"/>
    <cellStyle name="SAPLocked 6 2 3" xfId="14945" xr:uid="{00000000-0005-0000-0000-0000073A0000}"/>
    <cellStyle name="SAPLocked 6 2 3 2" xfId="14946" xr:uid="{00000000-0005-0000-0000-0000083A0000}"/>
    <cellStyle name="SAPLocked 6 2 4" xfId="14947" xr:uid="{00000000-0005-0000-0000-0000093A0000}"/>
    <cellStyle name="SAPLocked 6 2 4 2" xfId="14948" xr:uid="{00000000-0005-0000-0000-00000A3A0000}"/>
    <cellStyle name="SAPLocked 6 2 5" xfId="14949" xr:uid="{00000000-0005-0000-0000-00000B3A0000}"/>
    <cellStyle name="SAPLocked 6 2 5 2" xfId="14950" xr:uid="{00000000-0005-0000-0000-00000C3A0000}"/>
    <cellStyle name="SAPLocked 6 2 6" xfId="14951" xr:uid="{00000000-0005-0000-0000-00000D3A0000}"/>
    <cellStyle name="SAPLocked 6 2 6 2" xfId="14952" xr:uid="{00000000-0005-0000-0000-00000E3A0000}"/>
    <cellStyle name="SAPLocked 6 2 7" xfId="14953" xr:uid="{00000000-0005-0000-0000-00000F3A0000}"/>
    <cellStyle name="SAPLocked 6 2 7 2" xfId="14954" xr:uid="{00000000-0005-0000-0000-0000103A0000}"/>
    <cellStyle name="SAPLocked 6 2 8" xfId="14955" xr:uid="{00000000-0005-0000-0000-0000113A0000}"/>
    <cellStyle name="SAPLocked 6 2 8 2" xfId="14956" xr:uid="{00000000-0005-0000-0000-0000123A0000}"/>
    <cellStyle name="SAPLocked 6 2 9" xfId="14957" xr:uid="{00000000-0005-0000-0000-0000133A0000}"/>
    <cellStyle name="SAPLocked 6 2 9 2" xfId="14958" xr:uid="{00000000-0005-0000-0000-0000143A0000}"/>
    <cellStyle name="SAPLocked 6 3" xfId="14959" xr:uid="{00000000-0005-0000-0000-0000153A0000}"/>
    <cellStyle name="SAPLocked 6 3 2" xfId="14960" xr:uid="{00000000-0005-0000-0000-0000163A0000}"/>
    <cellStyle name="SAPLocked 6 4" xfId="14961" xr:uid="{00000000-0005-0000-0000-0000173A0000}"/>
    <cellStyle name="SAPLocked 6 4 2" xfId="14962" xr:uid="{00000000-0005-0000-0000-0000183A0000}"/>
    <cellStyle name="SAPLocked 6 5" xfId="14963" xr:uid="{00000000-0005-0000-0000-0000193A0000}"/>
    <cellStyle name="SAPLocked 6 5 2" xfId="14964" xr:uid="{00000000-0005-0000-0000-00001A3A0000}"/>
    <cellStyle name="SAPLocked 6 6" xfId="14965" xr:uid="{00000000-0005-0000-0000-00001B3A0000}"/>
    <cellStyle name="SAPLocked 6 6 2" xfId="14966" xr:uid="{00000000-0005-0000-0000-00001C3A0000}"/>
    <cellStyle name="SAPLocked 6 7" xfId="14967" xr:uid="{00000000-0005-0000-0000-00001D3A0000}"/>
    <cellStyle name="SAPLocked 6 7 2" xfId="14968" xr:uid="{00000000-0005-0000-0000-00001E3A0000}"/>
    <cellStyle name="SAPLocked 6 8" xfId="14969" xr:uid="{00000000-0005-0000-0000-00001F3A0000}"/>
    <cellStyle name="SAPLocked 6 8 2" xfId="14970" xr:uid="{00000000-0005-0000-0000-0000203A0000}"/>
    <cellStyle name="SAPLocked 6 9" xfId="14971" xr:uid="{00000000-0005-0000-0000-0000213A0000}"/>
    <cellStyle name="SAPLocked 6 9 2" xfId="14972" xr:uid="{00000000-0005-0000-0000-0000223A0000}"/>
    <cellStyle name="SAPLocked 7" xfId="14973" xr:uid="{00000000-0005-0000-0000-0000233A0000}"/>
    <cellStyle name="SAPLocked 7 10" xfId="14974" xr:uid="{00000000-0005-0000-0000-0000243A0000}"/>
    <cellStyle name="SAPLocked 7 10 2" xfId="14975" xr:uid="{00000000-0005-0000-0000-0000253A0000}"/>
    <cellStyle name="SAPLocked 7 11" xfId="14976" xr:uid="{00000000-0005-0000-0000-0000263A0000}"/>
    <cellStyle name="SAPLocked 7 11 2" xfId="14977" xr:uid="{00000000-0005-0000-0000-0000273A0000}"/>
    <cellStyle name="SAPLocked 7 12" xfId="14978" xr:uid="{00000000-0005-0000-0000-0000283A0000}"/>
    <cellStyle name="SAPLocked 7 12 2" xfId="14979" xr:uid="{00000000-0005-0000-0000-0000293A0000}"/>
    <cellStyle name="SAPLocked 7 13" xfId="14980" xr:uid="{00000000-0005-0000-0000-00002A3A0000}"/>
    <cellStyle name="SAPLocked 7 2" xfId="14981" xr:uid="{00000000-0005-0000-0000-00002B3A0000}"/>
    <cellStyle name="SAPLocked 7 2 10" xfId="14982" xr:uid="{00000000-0005-0000-0000-00002C3A0000}"/>
    <cellStyle name="SAPLocked 7 2 10 2" xfId="14983" xr:uid="{00000000-0005-0000-0000-00002D3A0000}"/>
    <cellStyle name="SAPLocked 7 2 11" xfId="14984" xr:uid="{00000000-0005-0000-0000-00002E3A0000}"/>
    <cellStyle name="SAPLocked 7 2 11 2" xfId="14985" xr:uid="{00000000-0005-0000-0000-00002F3A0000}"/>
    <cellStyle name="SAPLocked 7 2 12" xfId="14986" xr:uid="{00000000-0005-0000-0000-0000303A0000}"/>
    <cellStyle name="SAPLocked 7 2 2" xfId="14987" xr:uid="{00000000-0005-0000-0000-0000313A0000}"/>
    <cellStyle name="SAPLocked 7 2 2 2" xfId="14988" xr:uid="{00000000-0005-0000-0000-0000323A0000}"/>
    <cellStyle name="SAPLocked 7 2 3" xfId="14989" xr:uid="{00000000-0005-0000-0000-0000333A0000}"/>
    <cellStyle name="SAPLocked 7 2 3 2" xfId="14990" xr:uid="{00000000-0005-0000-0000-0000343A0000}"/>
    <cellStyle name="SAPLocked 7 2 4" xfId="14991" xr:uid="{00000000-0005-0000-0000-0000353A0000}"/>
    <cellStyle name="SAPLocked 7 2 4 2" xfId="14992" xr:uid="{00000000-0005-0000-0000-0000363A0000}"/>
    <cellStyle name="SAPLocked 7 2 5" xfId="14993" xr:uid="{00000000-0005-0000-0000-0000373A0000}"/>
    <cellStyle name="SAPLocked 7 2 5 2" xfId="14994" xr:uid="{00000000-0005-0000-0000-0000383A0000}"/>
    <cellStyle name="SAPLocked 7 2 6" xfId="14995" xr:uid="{00000000-0005-0000-0000-0000393A0000}"/>
    <cellStyle name="SAPLocked 7 2 6 2" xfId="14996" xr:uid="{00000000-0005-0000-0000-00003A3A0000}"/>
    <cellStyle name="SAPLocked 7 2 7" xfId="14997" xr:uid="{00000000-0005-0000-0000-00003B3A0000}"/>
    <cellStyle name="SAPLocked 7 2 7 2" xfId="14998" xr:uid="{00000000-0005-0000-0000-00003C3A0000}"/>
    <cellStyle name="SAPLocked 7 2 8" xfId="14999" xr:uid="{00000000-0005-0000-0000-00003D3A0000}"/>
    <cellStyle name="SAPLocked 7 2 8 2" xfId="15000" xr:uid="{00000000-0005-0000-0000-00003E3A0000}"/>
    <cellStyle name="SAPLocked 7 2 9" xfId="15001" xr:uid="{00000000-0005-0000-0000-00003F3A0000}"/>
    <cellStyle name="SAPLocked 7 2 9 2" xfId="15002" xr:uid="{00000000-0005-0000-0000-0000403A0000}"/>
    <cellStyle name="SAPLocked 7 3" xfId="15003" xr:uid="{00000000-0005-0000-0000-0000413A0000}"/>
    <cellStyle name="SAPLocked 7 3 2" xfId="15004" xr:uid="{00000000-0005-0000-0000-0000423A0000}"/>
    <cellStyle name="SAPLocked 7 4" xfId="15005" xr:uid="{00000000-0005-0000-0000-0000433A0000}"/>
    <cellStyle name="SAPLocked 7 4 2" xfId="15006" xr:uid="{00000000-0005-0000-0000-0000443A0000}"/>
    <cellStyle name="SAPLocked 7 5" xfId="15007" xr:uid="{00000000-0005-0000-0000-0000453A0000}"/>
    <cellStyle name="SAPLocked 7 5 2" xfId="15008" xr:uid="{00000000-0005-0000-0000-0000463A0000}"/>
    <cellStyle name="SAPLocked 7 6" xfId="15009" xr:uid="{00000000-0005-0000-0000-0000473A0000}"/>
    <cellStyle name="SAPLocked 7 6 2" xfId="15010" xr:uid="{00000000-0005-0000-0000-0000483A0000}"/>
    <cellStyle name="SAPLocked 7 7" xfId="15011" xr:uid="{00000000-0005-0000-0000-0000493A0000}"/>
    <cellStyle name="SAPLocked 7 7 2" xfId="15012" xr:uid="{00000000-0005-0000-0000-00004A3A0000}"/>
    <cellStyle name="SAPLocked 7 8" xfId="15013" xr:uid="{00000000-0005-0000-0000-00004B3A0000}"/>
    <cellStyle name="SAPLocked 7 8 2" xfId="15014" xr:uid="{00000000-0005-0000-0000-00004C3A0000}"/>
    <cellStyle name="SAPLocked 7 9" xfId="15015" xr:uid="{00000000-0005-0000-0000-00004D3A0000}"/>
    <cellStyle name="SAPLocked 7 9 2" xfId="15016" xr:uid="{00000000-0005-0000-0000-00004E3A0000}"/>
    <cellStyle name="SAPLocked 8" xfId="15017" xr:uid="{00000000-0005-0000-0000-00004F3A0000}"/>
    <cellStyle name="SAPLocked 8 10" xfId="15018" xr:uid="{00000000-0005-0000-0000-0000503A0000}"/>
    <cellStyle name="SAPLocked 8 10 2" xfId="15019" xr:uid="{00000000-0005-0000-0000-0000513A0000}"/>
    <cellStyle name="SAPLocked 8 11" xfId="15020" xr:uid="{00000000-0005-0000-0000-0000523A0000}"/>
    <cellStyle name="SAPLocked 8 11 2" xfId="15021" xr:uid="{00000000-0005-0000-0000-0000533A0000}"/>
    <cellStyle name="SAPLocked 8 12" xfId="15022" xr:uid="{00000000-0005-0000-0000-0000543A0000}"/>
    <cellStyle name="SAPLocked 8 12 2" xfId="15023" xr:uid="{00000000-0005-0000-0000-0000553A0000}"/>
    <cellStyle name="SAPLocked 8 13" xfId="15024" xr:uid="{00000000-0005-0000-0000-0000563A0000}"/>
    <cellStyle name="SAPLocked 8 2" xfId="15025" xr:uid="{00000000-0005-0000-0000-0000573A0000}"/>
    <cellStyle name="SAPLocked 8 2 10" xfId="15026" xr:uid="{00000000-0005-0000-0000-0000583A0000}"/>
    <cellStyle name="SAPLocked 8 2 10 2" xfId="15027" xr:uid="{00000000-0005-0000-0000-0000593A0000}"/>
    <cellStyle name="SAPLocked 8 2 11" xfId="15028" xr:uid="{00000000-0005-0000-0000-00005A3A0000}"/>
    <cellStyle name="SAPLocked 8 2 11 2" xfId="15029" xr:uid="{00000000-0005-0000-0000-00005B3A0000}"/>
    <cellStyle name="SAPLocked 8 2 12" xfId="15030" xr:uid="{00000000-0005-0000-0000-00005C3A0000}"/>
    <cellStyle name="SAPLocked 8 2 2" xfId="15031" xr:uid="{00000000-0005-0000-0000-00005D3A0000}"/>
    <cellStyle name="SAPLocked 8 2 2 2" xfId="15032" xr:uid="{00000000-0005-0000-0000-00005E3A0000}"/>
    <cellStyle name="SAPLocked 8 2 3" xfId="15033" xr:uid="{00000000-0005-0000-0000-00005F3A0000}"/>
    <cellStyle name="SAPLocked 8 2 3 2" xfId="15034" xr:uid="{00000000-0005-0000-0000-0000603A0000}"/>
    <cellStyle name="SAPLocked 8 2 4" xfId="15035" xr:uid="{00000000-0005-0000-0000-0000613A0000}"/>
    <cellStyle name="SAPLocked 8 2 4 2" xfId="15036" xr:uid="{00000000-0005-0000-0000-0000623A0000}"/>
    <cellStyle name="SAPLocked 8 2 5" xfId="15037" xr:uid="{00000000-0005-0000-0000-0000633A0000}"/>
    <cellStyle name="SAPLocked 8 2 5 2" xfId="15038" xr:uid="{00000000-0005-0000-0000-0000643A0000}"/>
    <cellStyle name="SAPLocked 8 2 6" xfId="15039" xr:uid="{00000000-0005-0000-0000-0000653A0000}"/>
    <cellStyle name="SAPLocked 8 2 6 2" xfId="15040" xr:uid="{00000000-0005-0000-0000-0000663A0000}"/>
    <cellStyle name="SAPLocked 8 2 7" xfId="15041" xr:uid="{00000000-0005-0000-0000-0000673A0000}"/>
    <cellStyle name="SAPLocked 8 2 7 2" xfId="15042" xr:uid="{00000000-0005-0000-0000-0000683A0000}"/>
    <cellStyle name="SAPLocked 8 2 8" xfId="15043" xr:uid="{00000000-0005-0000-0000-0000693A0000}"/>
    <cellStyle name="SAPLocked 8 2 8 2" xfId="15044" xr:uid="{00000000-0005-0000-0000-00006A3A0000}"/>
    <cellStyle name="SAPLocked 8 2 9" xfId="15045" xr:uid="{00000000-0005-0000-0000-00006B3A0000}"/>
    <cellStyle name="SAPLocked 8 2 9 2" xfId="15046" xr:uid="{00000000-0005-0000-0000-00006C3A0000}"/>
    <cellStyle name="SAPLocked 8 3" xfId="15047" xr:uid="{00000000-0005-0000-0000-00006D3A0000}"/>
    <cellStyle name="SAPLocked 8 3 2" xfId="15048" xr:uid="{00000000-0005-0000-0000-00006E3A0000}"/>
    <cellStyle name="SAPLocked 8 4" xfId="15049" xr:uid="{00000000-0005-0000-0000-00006F3A0000}"/>
    <cellStyle name="SAPLocked 8 4 2" xfId="15050" xr:uid="{00000000-0005-0000-0000-0000703A0000}"/>
    <cellStyle name="SAPLocked 8 5" xfId="15051" xr:uid="{00000000-0005-0000-0000-0000713A0000}"/>
    <cellStyle name="SAPLocked 8 5 2" xfId="15052" xr:uid="{00000000-0005-0000-0000-0000723A0000}"/>
    <cellStyle name="SAPLocked 8 6" xfId="15053" xr:uid="{00000000-0005-0000-0000-0000733A0000}"/>
    <cellStyle name="SAPLocked 8 6 2" xfId="15054" xr:uid="{00000000-0005-0000-0000-0000743A0000}"/>
    <cellStyle name="SAPLocked 8 7" xfId="15055" xr:uid="{00000000-0005-0000-0000-0000753A0000}"/>
    <cellStyle name="SAPLocked 8 7 2" xfId="15056" xr:uid="{00000000-0005-0000-0000-0000763A0000}"/>
    <cellStyle name="SAPLocked 8 8" xfId="15057" xr:uid="{00000000-0005-0000-0000-0000773A0000}"/>
    <cellStyle name="SAPLocked 8 8 2" xfId="15058" xr:uid="{00000000-0005-0000-0000-0000783A0000}"/>
    <cellStyle name="SAPLocked 8 9" xfId="15059" xr:uid="{00000000-0005-0000-0000-0000793A0000}"/>
    <cellStyle name="SAPLocked 8 9 2" xfId="15060" xr:uid="{00000000-0005-0000-0000-00007A3A0000}"/>
    <cellStyle name="SAPLocked 9" xfId="15061" xr:uid="{00000000-0005-0000-0000-00007B3A0000}"/>
    <cellStyle name="SAPLocked 9 10" xfId="15062" xr:uid="{00000000-0005-0000-0000-00007C3A0000}"/>
    <cellStyle name="SAPLocked 9 10 2" xfId="15063" xr:uid="{00000000-0005-0000-0000-00007D3A0000}"/>
    <cellStyle name="SAPLocked 9 11" xfId="15064" xr:uid="{00000000-0005-0000-0000-00007E3A0000}"/>
    <cellStyle name="SAPLocked 9 11 2" xfId="15065" xr:uid="{00000000-0005-0000-0000-00007F3A0000}"/>
    <cellStyle name="SAPLocked 9 12" xfId="15066" xr:uid="{00000000-0005-0000-0000-0000803A0000}"/>
    <cellStyle name="SAPLocked 9 12 2" xfId="15067" xr:uid="{00000000-0005-0000-0000-0000813A0000}"/>
    <cellStyle name="SAPLocked 9 13" xfId="15068" xr:uid="{00000000-0005-0000-0000-0000823A0000}"/>
    <cellStyle name="SAPLocked 9 2" xfId="15069" xr:uid="{00000000-0005-0000-0000-0000833A0000}"/>
    <cellStyle name="SAPLocked 9 2 10" xfId="15070" xr:uid="{00000000-0005-0000-0000-0000843A0000}"/>
    <cellStyle name="SAPLocked 9 2 10 2" xfId="15071" xr:uid="{00000000-0005-0000-0000-0000853A0000}"/>
    <cellStyle name="SAPLocked 9 2 11" xfId="15072" xr:uid="{00000000-0005-0000-0000-0000863A0000}"/>
    <cellStyle name="SAPLocked 9 2 11 2" xfId="15073" xr:uid="{00000000-0005-0000-0000-0000873A0000}"/>
    <cellStyle name="SAPLocked 9 2 12" xfId="15074" xr:uid="{00000000-0005-0000-0000-0000883A0000}"/>
    <cellStyle name="SAPLocked 9 2 2" xfId="15075" xr:uid="{00000000-0005-0000-0000-0000893A0000}"/>
    <cellStyle name="SAPLocked 9 2 2 2" xfId="15076" xr:uid="{00000000-0005-0000-0000-00008A3A0000}"/>
    <cellStyle name="SAPLocked 9 2 3" xfId="15077" xr:uid="{00000000-0005-0000-0000-00008B3A0000}"/>
    <cellStyle name="SAPLocked 9 2 3 2" xfId="15078" xr:uid="{00000000-0005-0000-0000-00008C3A0000}"/>
    <cellStyle name="SAPLocked 9 2 4" xfId="15079" xr:uid="{00000000-0005-0000-0000-00008D3A0000}"/>
    <cellStyle name="SAPLocked 9 2 4 2" xfId="15080" xr:uid="{00000000-0005-0000-0000-00008E3A0000}"/>
    <cellStyle name="SAPLocked 9 2 5" xfId="15081" xr:uid="{00000000-0005-0000-0000-00008F3A0000}"/>
    <cellStyle name="SAPLocked 9 2 5 2" xfId="15082" xr:uid="{00000000-0005-0000-0000-0000903A0000}"/>
    <cellStyle name="SAPLocked 9 2 6" xfId="15083" xr:uid="{00000000-0005-0000-0000-0000913A0000}"/>
    <cellStyle name="SAPLocked 9 2 6 2" xfId="15084" xr:uid="{00000000-0005-0000-0000-0000923A0000}"/>
    <cellStyle name="SAPLocked 9 2 7" xfId="15085" xr:uid="{00000000-0005-0000-0000-0000933A0000}"/>
    <cellStyle name="SAPLocked 9 2 7 2" xfId="15086" xr:uid="{00000000-0005-0000-0000-0000943A0000}"/>
    <cellStyle name="SAPLocked 9 2 8" xfId="15087" xr:uid="{00000000-0005-0000-0000-0000953A0000}"/>
    <cellStyle name="SAPLocked 9 2 8 2" xfId="15088" xr:uid="{00000000-0005-0000-0000-0000963A0000}"/>
    <cellStyle name="SAPLocked 9 2 9" xfId="15089" xr:uid="{00000000-0005-0000-0000-0000973A0000}"/>
    <cellStyle name="SAPLocked 9 2 9 2" xfId="15090" xr:uid="{00000000-0005-0000-0000-0000983A0000}"/>
    <cellStyle name="SAPLocked 9 3" xfId="15091" xr:uid="{00000000-0005-0000-0000-0000993A0000}"/>
    <cellStyle name="SAPLocked 9 3 2" xfId="15092" xr:uid="{00000000-0005-0000-0000-00009A3A0000}"/>
    <cellStyle name="SAPLocked 9 4" xfId="15093" xr:uid="{00000000-0005-0000-0000-00009B3A0000}"/>
    <cellStyle name="SAPLocked 9 4 2" xfId="15094" xr:uid="{00000000-0005-0000-0000-00009C3A0000}"/>
    <cellStyle name="SAPLocked 9 5" xfId="15095" xr:uid="{00000000-0005-0000-0000-00009D3A0000}"/>
    <cellStyle name="SAPLocked 9 5 2" xfId="15096" xr:uid="{00000000-0005-0000-0000-00009E3A0000}"/>
    <cellStyle name="SAPLocked 9 6" xfId="15097" xr:uid="{00000000-0005-0000-0000-00009F3A0000}"/>
    <cellStyle name="SAPLocked 9 6 2" xfId="15098" xr:uid="{00000000-0005-0000-0000-0000A03A0000}"/>
    <cellStyle name="SAPLocked 9 7" xfId="15099" xr:uid="{00000000-0005-0000-0000-0000A13A0000}"/>
    <cellStyle name="SAPLocked 9 7 2" xfId="15100" xr:uid="{00000000-0005-0000-0000-0000A23A0000}"/>
    <cellStyle name="SAPLocked 9 8" xfId="15101" xr:uid="{00000000-0005-0000-0000-0000A33A0000}"/>
    <cellStyle name="SAPLocked 9 8 2" xfId="15102" xr:uid="{00000000-0005-0000-0000-0000A43A0000}"/>
    <cellStyle name="SAPLocked 9 9" xfId="15103" xr:uid="{00000000-0005-0000-0000-0000A53A0000}"/>
    <cellStyle name="SAPLocked 9 9 2" xfId="15104" xr:uid="{00000000-0005-0000-0000-0000A63A0000}"/>
    <cellStyle name="SAPMemberCell" xfId="15105" xr:uid="{00000000-0005-0000-0000-0000A73A0000}"/>
    <cellStyle name="SAPMemberTotalCell" xfId="15106" xr:uid="{00000000-0005-0000-0000-0000A83A0000}"/>
    <cellStyle name="Standard_CORE_20040805_Movement types_Sets_V0.1_e" xfId="15107" xr:uid="{00000000-0005-0000-0000-0000A93A0000}"/>
    <cellStyle name="STYL5 - Style5" xfId="45" xr:uid="{00000000-0005-0000-0000-0000AA3A0000}"/>
    <cellStyle name="STYL5 - Style5 2" xfId="15109" xr:uid="{00000000-0005-0000-0000-0000AB3A0000}"/>
    <cellStyle name="STYL5 - Style5 2 2" xfId="15110" xr:uid="{00000000-0005-0000-0000-0000AC3A0000}"/>
    <cellStyle name="STYL5 - Style5 3" xfId="15111" xr:uid="{00000000-0005-0000-0000-0000AD3A0000}"/>
    <cellStyle name="STYL5 - Style5 3 2" xfId="15112" xr:uid="{00000000-0005-0000-0000-0000AE3A0000}"/>
    <cellStyle name="STYL5 - Style5 4" xfId="15108" xr:uid="{00000000-0005-0000-0000-0000AF3A0000}"/>
    <cellStyle name="STYL6 - Style6" xfId="46" xr:uid="{00000000-0005-0000-0000-0000B03A0000}"/>
    <cellStyle name="STYL6 - Style6 2" xfId="15114" xr:uid="{00000000-0005-0000-0000-0000B13A0000}"/>
    <cellStyle name="STYL6 - Style6 2 2" xfId="15115" xr:uid="{00000000-0005-0000-0000-0000B23A0000}"/>
    <cellStyle name="STYL6 - Style6 3" xfId="15116" xr:uid="{00000000-0005-0000-0000-0000B33A0000}"/>
    <cellStyle name="STYL6 - Style6 3 2" xfId="15117" xr:uid="{00000000-0005-0000-0000-0000B43A0000}"/>
    <cellStyle name="STYL6 - Style6 4" xfId="15113" xr:uid="{00000000-0005-0000-0000-0000B53A0000}"/>
    <cellStyle name="STYLE1 - Style1" xfId="47" xr:uid="{00000000-0005-0000-0000-0000B63A0000}"/>
    <cellStyle name="STYLE1 - Style1 2" xfId="15119" xr:uid="{00000000-0005-0000-0000-0000B73A0000}"/>
    <cellStyle name="STYLE1 - Style1 2 2" xfId="15120" xr:uid="{00000000-0005-0000-0000-0000B83A0000}"/>
    <cellStyle name="STYLE1 - Style1 3" xfId="15121" xr:uid="{00000000-0005-0000-0000-0000B93A0000}"/>
    <cellStyle name="STYLE1 - Style1 3 2" xfId="15122" xr:uid="{00000000-0005-0000-0000-0000BA3A0000}"/>
    <cellStyle name="STYLE1 - Style1 4" xfId="15118" xr:uid="{00000000-0005-0000-0000-0000BB3A0000}"/>
    <cellStyle name="STYLE2 - Style2" xfId="48" xr:uid="{00000000-0005-0000-0000-0000BC3A0000}"/>
    <cellStyle name="STYLE2 - Style2 2" xfId="15124" xr:uid="{00000000-0005-0000-0000-0000BD3A0000}"/>
    <cellStyle name="STYLE2 - Style2 2 2" xfId="15125" xr:uid="{00000000-0005-0000-0000-0000BE3A0000}"/>
    <cellStyle name="STYLE2 - Style2 3" xfId="15126" xr:uid="{00000000-0005-0000-0000-0000BF3A0000}"/>
    <cellStyle name="STYLE2 - Style2 3 2" xfId="15127" xr:uid="{00000000-0005-0000-0000-0000C03A0000}"/>
    <cellStyle name="STYLE2 - Style2 4" xfId="15123" xr:uid="{00000000-0005-0000-0000-0000C13A0000}"/>
    <cellStyle name="STYLE3 - Style3" xfId="49" xr:uid="{00000000-0005-0000-0000-0000C23A0000}"/>
    <cellStyle name="STYLE3 - Style3 2" xfId="15129" xr:uid="{00000000-0005-0000-0000-0000C33A0000}"/>
    <cellStyle name="STYLE3 - Style3 2 2" xfId="15130" xr:uid="{00000000-0005-0000-0000-0000C43A0000}"/>
    <cellStyle name="STYLE3 - Style3 3" xfId="15131" xr:uid="{00000000-0005-0000-0000-0000C53A0000}"/>
    <cellStyle name="STYLE3 - Style3 3 2" xfId="15132" xr:uid="{00000000-0005-0000-0000-0000C63A0000}"/>
    <cellStyle name="STYLE3 - Style3 4" xfId="15128" xr:uid="{00000000-0005-0000-0000-0000C73A0000}"/>
    <cellStyle name="STYLE4 - Style4" xfId="50" xr:uid="{00000000-0005-0000-0000-0000C83A0000}"/>
    <cellStyle name="STYLE4 - Style4 2" xfId="15134" xr:uid="{00000000-0005-0000-0000-0000C93A0000}"/>
    <cellStyle name="STYLE4 - Style4 2 2" xfId="15135" xr:uid="{00000000-0005-0000-0000-0000CA3A0000}"/>
    <cellStyle name="STYLE4 - Style4 3" xfId="15136" xr:uid="{00000000-0005-0000-0000-0000CB3A0000}"/>
    <cellStyle name="STYLE4 - Style4 3 2" xfId="15137" xr:uid="{00000000-0005-0000-0000-0000CC3A0000}"/>
    <cellStyle name="STYLE4 - Style4 4" xfId="15133" xr:uid="{00000000-0005-0000-0000-0000CD3A0000}"/>
    <cellStyle name="Table  - Style5" xfId="15138" xr:uid="{00000000-0005-0000-0000-0000CE3A0000}"/>
    <cellStyle name="Text" xfId="15139" xr:uid="{00000000-0005-0000-0000-0000CF3A0000}"/>
    <cellStyle name="Title" xfId="15164" builtinId="15" customBuiltin="1"/>
    <cellStyle name="Title  - Style6" xfId="15140" xr:uid="{00000000-0005-0000-0000-0000D13A0000}"/>
    <cellStyle name="Title 10" xfId="2038" xr:uid="{00000000-0005-0000-0000-0000D23A0000}"/>
    <cellStyle name="Title 11" xfId="2039" xr:uid="{00000000-0005-0000-0000-0000D33A0000}"/>
    <cellStyle name="Title 12" xfId="2040" xr:uid="{00000000-0005-0000-0000-0000D43A0000}"/>
    <cellStyle name="Title 13" xfId="2041" xr:uid="{00000000-0005-0000-0000-0000D53A0000}"/>
    <cellStyle name="Title 14" xfId="2042" xr:uid="{00000000-0005-0000-0000-0000D63A0000}"/>
    <cellStyle name="Title 15" xfId="2043" xr:uid="{00000000-0005-0000-0000-0000D73A0000}"/>
    <cellStyle name="Title 16" xfId="2044" xr:uid="{00000000-0005-0000-0000-0000D83A0000}"/>
    <cellStyle name="Title 17" xfId="2045" xr:uid="{00000000-0005-0000-0000-0000D93A0000}"/>
    <cellStyle name="Title 17 2" xfId="2046" xr:uid="{00000000-0005-0000-0000-0000DA3A0000}"/>
    <cellStyle name="Title 17 3" xfId="2047" xr:uid="{00000000-0005-0000-0000-0000DB3A0000}"/>
    <cellStyle name="Title 17 4" xfId="2048" xr:uid="{00000000-0005-0000-0000-0000DC3A0000}"/>
    <cellStyle name="Title 17 5" xfId="2049" xr:uid="{00000000-0005-0000-0000-0000DD3A0000}"/>
    <cellStyle name="Title 18" xfId="2050" xr:uid="{00000000-0005-0000-0000-0000DE3A0000}"/>
    <cellStyle name="Title 19" xfId="2051" xr:uid="{00000000-0005-0000-0000-0000DF3A0000}"/>
    <cellStyle name="Title 2" xfId="2052" xr:uid="{00000000-0005-0000-0000-0000E03A0000}"/>
    <cellStyle name="Title 2 2" xfId="2053" xr:uid="{00000000-0005-0000-0000-0000E13A0000}"/>
    <cellStyle name="Title 2 2 2" xfId="2054" xr:uid="{00000000-0005-0000-0000-0000E23A0000}"/>
    <cellStyle name="Title 2 2 3" xfId="2055" xr:uid="{00000000-0005-0000-0000-0000E33A0000}"/>
    <cellStyle name="Title 2 2 4" xfId="2056" xr:uid="{00000000-0005-0000-0000-0000E43A0000}"/>
    <cellStyle name="Title 2 2 5" xfId="2057" xr:uid="{00000000-0005-0000-0000-0000E53A0000}"/>
    <cellStyle name="Title 2 3" xfId="2058" xr:uid="{00000000-0005-0000-0000-0000E63A0000}"/>
    <cellStyle name="Title 2 4" xfId="2059" xr:uid="{00000000-0005-0000-0000-0000E73A0000}"/>
    <cellStyle name="Title 2 5" xfId="2060" xr:uid="{00000000-0005-0000-0000-0000E83A0000}"/>
    <cellStyle name="Title 2 6" xfId="2061" xr:uid="{00000000-0005-0000-0000-0000E93A0000}"/>
    <cellStyle name="Title 2 7" xfId="2062" xr:uid="{00000000-0005-0000-0000-0000EA3A0000}"/>
    <cellStyle name="Title 2 8" xfId="2063" xr:uid="{00000000-0005-0000-0000-0000EB3A0000}"/>
    <cellStyle name="Title 20" xfId="2064" xr:uid="{00000000-0005-0000-0000-0000EC3A0000}"/>
    <cellStyle name="Title 21" xfId="2065" xr:uid="{00000000-0005-0000-0000-0000ED3A0000}"/>
    <cellStyle name="Title 22" xfId="2066" xr:uid="{00000000-0005-0000-0000-0000EE3A0000}"/>
    <cellStyle name="Title 3" xfId="2067" xr:uid="{00000000-0005-0000-0000-0000EF3A0000}"/>
    <cellStyle name="Title 3 2" xfId="15141" xr:uid="{00000000-0005-0000-0000-0000F03A0000}"/>
    <cellStyle name="Title 4" xfId="2068" xr:uid="{00000000-0005-0000-0000-0000F13A0000}"/>
    <cellStyle name="Title 5" xfId="2069" xr:uid="{00000000-0005-0000-0000-0000F23A0000}"/>
    <cellStyle name="Title 6" xfId="2070" xr:uid="{00000000-0005-0000-0000-0000F33A0000}"/>
    <cellStyle name="Title 7" xfId="2071" xr:uid="{00000000-0005-0000-0000-0000F43A0000}"/>
    <cellStyle name="Title 8" xfId="2072" xr:uid="{00000000-0005-0000-0000-0000F53A0000}"/>
    <cellStyle name="Title 9" xfId="2073" xr:uid="{00000000-0005-0000-0000-0000F63A0000}"/>
    <cellStyle name="Total" xfId="51" builtinId="25" customBuiltin="1"/>
    <cellStyle name="Total 10" xfId="2074" xr:uid="{00000000-0005-0000-0000-0000F83A0000}"/>
    <cellStyle name="Total 11" xfId="2075" xr:uid="{00000000-0005-0000-0000-0000F93A0000}"/>
    <cellStyle name="Total 12" xfId="2076" xr:uid="{00000000-0005-0000-0000-0000FA3A0000}"/>
    <cellStyle name="Total 13" xfId="2077" xr:uid="{00000000-0005-0000-0000-0000FB3A0000}"/>
    <cellStyle name="Total 14" xfId="2078" xr:uid="{00000000-0005-0000-0000-0000FC3A0000}"/>
    <cellStyle name="Total 15" xfId="2079" xr:uid="{00000000-0005-0000-0000-0000FD3A0000}"/>
    <cellStyle name="Total 16" xfId="2080" xr:uid="{00000000-0005-0000-0000-0000FE3A0000}"/>
    <cellStyle name="Total 17" xfId="2081" xr:uid="{00000000-0005-0000-0000-0000FF3A0000}"/>
    <cellStyle name="Total 17 2" xfId="15142" xr:uid="{00000000-0005-0000-0000-0000003B0000}"/>
    <cellStyle name="Total 17 3" xfId="15143" xr:uid="{00000000-0005-0000-0000-0000013B0000}"/>
    <cellStyle name="Total 17 4" xfId="15144" xr:uid="{00000000-0005-0000-0000-0000023B0000}"/>
    <cellStyle name="Total 18" xfId="2082" xr:uid="{00000000-0005-0000-0000-0000033B0000}"/>
    <cellStyle name="Total 19" xfId="2083" xr:uid="{00000000-0005-0000-0000-0000043B0000}"/>
    <cellStyle name="Total 2" xfId="2084" xr:uid="{00000000-0005-0000-0000-0000053B0000}"/>
    <cellStyle name="Total 2 2" xfId="2085" xr:uid="{00000000-0005-0000-0000-0000063B0000}"/>
    <cellStyle name="Total 2 2 2" xfId="2086" xr:uid="{00000000-0005-0000-0000-0000073B0000}"/>
    <cellStyle name="Total 2 2 2 2" xfId="2087" xr:uid="{00000000-0005-0000-0000-0000083B0000}"/>
    <cellStyle name="Total 2 2 2 3" xfId="2088" xr:uid="{00000000-0005-0000-0000-0000093B0000}"/>
    <cellStyle name="Total 2 2 2 4" xfId="2089" xr:uid="{00000000-0005-0000-0000-00000A3B0000}"/>
    <cellStyle name="Total 2 2 2 5" xfId="2090" xr:uid="{00000000-0005-0000-0000-00000B3B0000}"/>
    <cellStyle name="Total 2 2 3" xfId="2091" xr:uid="{00000000-0005-0000-0000-00000C3B0000}"/>
    <cellStyle name="Total 2 2 4" xfId="2092" xr:uid="{00000000-0005-0000-0000-00000D3B0000}"/>
    <cellStyle name="Total 2 2 5" xfId="2093" xr:uid="{00000000-0005-0000-0000-00000E3B0000}"/>
    <cellStyle name="Total 2 3" xfId="2094" xr:uid="{00000000-0005-0000-0000-00000F3B0000}"/>
    <cellStyle name="Total 2 3 2" xfId="15145" xr:uid="{00000000-0005-0000-0000-0000103B0000}"/>
    <cellStyle name="Total 2 4" xfId="2095" xr:uid="{00000000-0005-0000-0000-0000113B0000}"/>
    <cellStyle name="Total 2 4 2" xfId="15146" xr:uid="{00000000-0005-0000-0000-0000123B0000}"/>
    <cellStyle name="Total 2 5" xfId="2096" xr:uid="{00000000-0005-0000-0000-0000133B0000}"/>
    <cellStyle name="Total 2 5 2" xfId="15147" xr:uid="{00000000-0005-0000-0000-0000143B0000}"/>
    <cellStyle name="Total 2 6" xfId="2097" xr:uid="{00000000-0005-0000-0000-0000153B0000}"/>
    <cellStyle name="Total 2 6 2" xfId="15148" xr:uid="{00000000-0005-0000-0000-0000163B0000}"/>
    <cellStyle name="Total 2 7" xfId="2098" xr:uid="{00000000-0005-0000-0000-0000173B0000}"/>
    <cellStyle name="Total 2 7 2" xfId="15149" xr:uid="{00000000-0005-0000-0000-0000183B0000}"/>
    <cellStyle name="Total 2 8" xfId="2099" xr:uid="{00000000-0005-0000-0000-0000193B0000}"/>
    <cellStyle name="Total 2 9" xfId="2100" xr:uid="{00000000-0005-0000-0000-00001A3B0000}"/>
    <cellStyle name="Total 20" xfId="2101" xr:uid="{00000000-0005-0000-0000-00001B3B0000}"/>
    <cellStyle name="Total 21" xfId="2102" xr:uid="{00000000-0005-0000-0000-00001C3B0000}"/>
    <cellStyle name="Total 22" xfId="2103" xr:uid="{00000000-0005-0000-0000-00001D3B0000}"/>
    <cellStyle name="Total 23" xfId="2104" xr:uid="{00000000-0005-0000-0000-00001E3B0000}"/>
    <cellStyle name="Total 24" xfId="2105" xr:uid="{00000000-0005-0000-0000-00001F3B0000}"/>
    <cellStyle name="Total 3" xfId="2106" xr:uid="{00000000-0005-0000-0000-0000203B0000}"/>
    <cellStyle name="Total 3 2" xfId="15150" xr:uid="{00000000-0005-0000-0000-0000213B0000}"/>
    <cellStyle name="Total 3 2 2" xfId="15151" xr:uid="{00000000-0005-0000-0000-0000223B0000}"/>
    <cellStyle name="Total 3 3" xfId="15152" xr:uid="{00000000-0005-0000-0000-0000233B0000}"/>
    <cellStyle name="Total 4" xfId="2107" xr:uid="{00000000-0005-0000-0000-0000243B0000}"/>
    <cellStyle name="Total 4 2" xfId="15153" xr:uid="{00000000-0005-0000-0000-0000253B0000}"/>
    <cellStyle name="Total 5" xfId="2108" xr:uid="{00000000-0005-0000-0000-0000263B0000}"/>
    <cellStyle name="Total 6" xfId="2109" xr:uid="{00000000-0005-0000-0000-0000273B0000}"/>
    <cellStyle name="Total 7" xfId="2110" xr:uid="{00000000-0005-0000-0000-0000283B0000}"/>
    <cellStyle name="Total 8" xfId="2111" xr:uid="{00000000-0005-0000-0000-0000293B0000}"/>
    <cellStyle name="Total 9" xfId="2112" xr:uid="{00000000-0005-0000-0000-00002A3B0000}"/>
    <cellStyle name="TotCol - Style7" xfId="15154" xr:uid="{00000000-0005-0000-0000-00002B3B0000}"/>
    <cellStyle name="TotRow - Style8" xfId="15155" xr:uid="{00000000-0005-0000-0000-00002C3B0000}"/>
    <cellStyle name="Undefiniert" xfId="15156" xr:uid="{00000000-0005-0000-0000-00002D3B0000}"/>
    <cellStyle name="Undefiniert 2" xfId="15157" xr:uid="{00000000-0005-0000-0000-00002E3B0000}"/>
    <cellStyle name="UploadThisRowValue" xfId="52" xr:uid="{00000000-0005-0000-0000-00002F3B0000}"/>
    <cellStyle name="UploadThisRowValue 2" xfId="15159" xr:uid="{00000000-0005-0000-0000-0000303B0000}"/>
    <cellStyle name="UploadThisRowValue 2 2" xfId="15160" xr:uid="{00000000-0005-0000-0000-0000313B0000}"/>
    <cellStyle name="UploadThisRowValue 3" xfId="15161" xr:uid="{00000000-0005-0000-0000-0000323B0000}"/>
    <cellStyle name="UploadThisRowValue 4" xfId="15158" xr:uid="{00000000-0005-0000-0000-0000333B0000}"/>
    <cellStyle name="Warning Text" xfId="15174" builtinId="11" customBuiltin="1"/>
    <cellStyle name="Warning Text 10" xfId="2113" xr:uid="{00000000-0005-0000-0000-0000353B0000}"/>
    <cellStyle name="Warning Text 11" xfId="2114" xr:uid="{00000000-0005-0000-0000-0000363B0000}"/>
    <cellStyle name="Warning Text 12" xfId="2115" xr:uid="{00000000-0005-0000-0000-0000373B0000}"/>
    <cellStyle name="Warning Text 13" xfId="2116" xr:uid="{00000000-0005-0000-0000-0000383B0000}"/>
    <cellStyle name="Warning Text 14" xfId="2117" xr:uid="{00000000-0005-0000-0000-0000393B0000}"/>
    <cellStyle name="Warning Text 15" xfId="2118" xr:uid="{00000000-0005-0000-0000-00003A3B0000}"/>
    <cellStyle name="Warning Text 16" xfId="2119" xr:uid="{00000000-0005-0000-0000-00003B3B0000}"/>
    <cellStyle name="Warning Text 17" xfId="2120" xr:uid="{00000000-0005-0000-0000-00003C3B0000}"/>
    <cellStyle name="Warning Text 18" xfId="2121" xr:uid="{00000000-0005-0000-0000-00003D3B0000}"/>
    <cellStyle name="Warning Text 19" xfId="2122" xr:uid="{00000000-0005-0000-0000-00003E3B0000}"/>
    <cellStyle name="Warning Text 2" xfId="2123" xr:uid="{00000000-0005-0000-0000-00003F3B0000}"/>
    <cellStyle name="Warning Text 2 2" xfId="2124" xr:uid="{00000000-0005-0000-0000-0000403B0000}"/>
    <cellStyle name="Warning Text 2 2 2" xfId="2125" xr:uid="{00000000-0005-0000-0000-0000413B0000}"/>
    <cellStyle name="Warning Text 2 2 2 2" xfId="2126" xr:uid="{00000000-0005-0000-0000-0000423B0000}"/>
    <cellStyle name="Warning Text 2 2 2 3" xfId="2127" xr:uid="{00000000-0005-0000-0000-0000433B0000}"/>
    <cellStyle name="Warning Text 2 2 2 4" xfId="2128" xr:uid="{00000000-0005-0000-0000-0000443B0000}"/>
    <cellStyle name="Warning Text 2 2 2 5" xfId="2129" xr:uid="{00000000-0005-0000-0000-0000453B0000}"/>
    <cellStyle name="Warning Text 2 2 3" xfId="2130" xr:uid="{00000000-0005-0000-0000-0000463B0000}"/>
    <cellStyle name="Warning Text 2 2 4" xfId="2131" xr:uid="{00000000-0005-0000-0000-0000473B0000}"/>
    <cellStyle name="Warning Text 2 2 5" xfId="2132" xr:uid="{00000000-0005-0000-0000-0000483B0000}"/>
    <cellStyle name="Warning Text 2 3" xfId="2133" xr:uid="{00000000-0005-0000-0000-0000493B0000}"/>
    <cellStyle name="Warning Text 2 4" xfId="2134" xr:uid="{00000000-0005-0000-0000-00004A3B0000}"/>
    <cellStyle name="Warning Text 2 5" xfId="2135" xr:uid="{00000000-0005-0000-0000-00004B3B0000}"/>
    <cellStyle name="Warning Text 2 6" xfId="2136" xr:uid="{00000000-0005-0000-0000-00004C3B0000}"/>
    <cellStyle name="Warning Text 2 7" xfId="2137" xr:uid="{00000000-0005-0000-0000-00004D3B0000}"/>
    <cellStyle name="Warning Text 2 8" xfId="2138" xr:uid="{00000000-0005-0000-0000-00004E3B0000}"/>
    <cellStyle name="Warning Text 2 9" xfId="2139" xr:uid="{00000000-0005-0000-0000-00004F3B0000}"/>
    <cellStyle name="Warning Text 20" xfId="2140" xr:uid="{00000000-0005-0000-0000-0000503B0000}"/>
    <cellStyle name="Warning Text 21" xfId="2141" xr:uid="{00000000-0005-0000-0000-0000513B0000}"/>
    <cellStyle name="Warning Text 22" xfId="2142" xr:uid="{00000000-0005-0000-0000-0000523B0000}"/>
    <cellStyle name="Warning Text 3" xfId="2143" xr:uid="{00000000-0005-0000-0000-0000533B0000}"/>
    <cellStyle name="Warning Text 3 2" xfId="15162" xr:uid="{00000000-0005-0000-0000-0000543B0000}"/>
    <cellStyle name="Warning Text 4" xfId="2144" xr:uid="{00000000-0005-0000-0000-0000553B0000}"/>
    <cellStyle name="Warning Text 4 2" xfId="15163" xr:uid="{00000000-0005-0000-0000-0000563B0000}"/>
    <cellStyle name="Warning Text 5" xfId="2145" xr:uid="{00000000-0005-0000-0000-0000573B0000}"/>
    <cellStyle name="Warning Text 6" xfId="2146" xr:uid="{00000000-0005-0000-0000-0000583B0000}"/>
    <cellStyle name="Warning Text 7" xfId="2147" xr:uid="{00000000-0005-0000-0000-0000593B0000}"/>
    <cellStyle name="Warning Text 8" xfId="2148" xr:uid="{00000000-0005-0000-0000-00005A3B0000}"/>
    <cellStyle name="Warning Text 9" xfId="2149" xr:uid="{00000000-0005-0000-0000-00005B3B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Documents%20and%20Settings/e011661/Local%20Settings/Temporary%20Internet%20Files/OLK29/Rate%20Case%20KU%2012mosJune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/Shared%20Documents/LG&amp;E/2020%20Rate%20Case/Electric%20Cost%20of%20Service%20Study/COSS%20-%20First%20Drafts/LGE%20COSS%20--%206CP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ssignment"/>
      <sheetName val="Allocation Proforma"/>
      <sheetName val="Summary of Returns"/>
      <sheetName val="Billing Det"/>
      <sheetName val="RS"/>
      <sheetName val="GS"/>
      <sheetName val="PS Sec"/>
      <sheetName val="PS Pri"/>
      <sheetName val="TOD Sec"/>
      <sheetName val="TOD Pri"/>
      <sheetName val="RTS"/>
      <sheetName val="Special Contract"/>
      <sheetName val="Meters"/>
      <sheetName val="Services"/>
    </sheetNames>
    <sheetDataSet>
      <sheetData sheetId="0" refreshError="1"/>
      <sheetData sheetId="1" refreshError="1"/>
      <sheetData sheetId="2" refreshError="1"/>
      <sheetData sheetId="3">
        <row r="36">
          <cell r="F3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0"/>
  <sheetViews>
    <sheetView view="pageBreakPreview" topLeftCell="A3" zoomScale="85" zoomScaleNormal="85" zoomScaleSheetLayoutView="85" workbookViewId="0">
      <pane xSplit="6" ySplit="2" topLeftCell="G5" activePane="bottomRight" state="frozen"/>
      <selection activeCell="A3" sqref="A3"/>
      <selection pane="topRight" activeCell="G3" sqref="G3"/>
      <selection pane="bottomLeft" activeCell="A5" sqref="A5"/>
      <selection pane="bottomRight" activeCell="N9" sqref="N9"/>
    </sheetView>
  </sheetViews>
  <sheetFormatPr defaultColWidth="9.15625" defaultRowHeight="13.8"/>
  <cols>
    <col min="1" max="1" width="7.68359375" style="44" customWidth="1"/>
    <col min="2" max="2" width="55.83984375" style="44" customWidth="1"/>
    <col min="3" max="3" width="14.41796875" style="44" customWidth="1"/>
    <col min="4" max="4" width="12.41796875" style="44" customWidth="1"/>
    <col min="5" max="5" width="2.68359375" style="44" customWidth="1"/>
    <col min="6" max="6" width="17.578125" style="60" customWidth="1"/>
    <col min="7" max="7" width="2.15625" style="44" customWidth="1"/>
    <col min="8" max="8" width="17.83984375" style="44" customWidth="1"/>
    <col min="9" max="9" width="19" style="44" hidden="1" customWidth="1"/>
    <col min="10" max="10" width="18" style="44" hidden="1" customWidth="1"/>
    <col min="11" max="11" width="18" style="44" customWidth="1"/>
    <col min="12" max="12" width="21.83984375" style="44" hidden="1" customWidth="1"/>
    <col min="13" max="13" width="22.26171875" style="44" hidden="1" customWidth="1"/>
    <col min="14" max="14" width="18.68359375" style="44" bestFit="1" customWidth="1"/>
    <col min="15" max="16" width="18.68359375" style="44" hidden="1" customWidth="1"/>
    <col min="17" max="17" width="17.578125" style="44" hidden="1" customWidth="1"/>
    <col min="18" max="18" width="17.578125" style="44" customWidth="1"/>
    <col min="19" max="19" width="16.26171875" style="44" customWidth="1"/>
    <col min="20" max="20" width="17.83984375" style="44" customWidth="1"/>
    <col min="21" max="21" width="16.26171875" style="44" customWidth="1"/>
    <col min="22" max="22" width="16.68359375" style="44" customWidth="1"/>
    <col min="23" max="23" width="16.68359375" style="43" customWidth="1"/>
    <col min="24" max="25" width="16.83984375" style="44" customWidth="1"/>
    <col min="26" max="28" width="17.578125" style="44" customWidth="1"/>
    <col min="29" max="29" width="17.83984375" style="44" customWidth="1"/>
    <col min="30" max="30" width="15" style="44" customWidth="1"/>
    <col min="31" max="31" width="18.26171875" style="44" bestFit="1" customWidth="1"/>
    <col min="32" max="32" width="18.26171875" style="44" customWidth="1"/>
    <col min="33" max="33" width="14.68359375" style="44" customWidth="1"/>
    <col min="34" max="35" width="17.578125" style="44" bestFit="1" customWidth="1"/>
    <col min="36" max="36" width="15.15625" style="44" bestFit="1" customWidth="1"/>
    <col min="37" max="37" width="17.578125" style="44" bestFit="1" customWidth="1"/>
    <col min="38" max="16384" width="9.15625" style="44"/>
  </cols>
  <sheetData>
    <row r="1" spans="1:37" hidden="1"/>
    <row r="2" spans="1:37" ht="14.1" hidden="1" thickBot="1">
      <c r="A2" s="43"/>
      <c r="B2" s="43"/>
      <c r="C2" s="43">
        <v>1</v>
      </c>
      <c r="D2" s="43">
        <f>C2+1</f>
        <v>2</v>
      </c>
      <c r="E2" s="43">
        <f t="shared" ref="E2:AG2" si="0">D2+1</f>
        <v>3</v>
      </c>
      <c r="F2" s="77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 t="shared" si="0"/>
        <v>14</v>
      </c>
      <c r="Q2" s="43">
        <f t="shared" si="0"/>
        <v>15</v>
      </c>
      <c r="R2" s="43">
        <f t="shared" si="0"/>
        <v>16</v>
      </c>
      <c r="S2" s="43">
        <f t="shared" si="0"/>
        <v>17</v>
      </c>
      <c r="T2" s="43">
        <f t="shared" si="0"/>
        <v>18</v>
      </c>
      <c r="U2" s="43">
        <f t="shared" si="0"/>
        <v>19</v>
      </c>
      <c r="V2" s="43">
        <f t="shared" si="0"/>
        <v>20</v>
      </c>
      <c r="W2" s="43">
        <f t="shared" si="0"/>
        <v>21</v>
      </c>
      <c r="X2" s="43">
        <f t="shared" si="0"/>
        <v>22</v>
      </c>
      <c r="Y2" s="43">
        <f t="shared" si="0"/>
        <v>23</v>
      </c>
      <c r="Z2" s="43">
        <f t="shared" si="0"/>
        <v>24</v>
      </c>
      <c r="AA2" s="43">
        <f t="shared" si="0"/>
        <v>25</v>
      </c>
      <c r="AB2" s="43">
        <f t="shared" si="0"/>
        <v>26</v>
      </c>
      <c r="AC2" s="43">
        <f t="shared" si="0"/>
        <v>27</v>
      </c>
      <c r="AD2" s="43">
        <f t="shared" si="0"/>
        <v>28</v>
      </c>
      <c r="AE2" s="43">
        <f t="shared" si="0"/>
        <v>29</v>
      </c>
      <c r="AF2" s="43">
        <f t="shared" si="0"/>
        <v>30</v>
      </c>
      <c r="AG2" s="43">
        <f t="shared" si="0"/>
        <v>31</v>
      </c>
    </row>
    <row r="3" spans="1:37" ht="48" customHeight="1" thickBot="1">
      <c r="A3" s="45"/>
      <c r="B3" s="45"/>
      <c r="C3" s="46"/>
      <c r="D3" s="47" t="s">
        <v>845</v>
      </c>
      <c r="E3" s="46"/>
      <c r="F3" s="72" t="s">
        <v>846</v>
      </c>
      <c r="G3" s="46"/>
      <c r="H3" s="462" t="s">
        <v>334</v>
      </c>
      <c r="I3" s="463"/>
      <c r="J3" s="464"/>
      <c r="K3" s="50" t="s">
        <v>335</v>
      </c>
      <c r="L3" s="48"/>
      <c r="M3" s="49"/>
      <c r="N3" s="50" t="s">
        <v>172</v>
      </c>
      <c r="O3" s="332"/>
      <c r="P3" s="332"/>
      <c r="Q3" s="331" t="s">
        <v>337</v>
      </c>
      <c r="R3" s="50" t="s">
        <v>338</v>
      </c>
      <c r="S3" s="465" t="s">
        <v>345</v>
      </c>
      <c r="T3" s="466"/>
      <c r="U3" s="467"/>
      <c r="V3" s="460" t="s">
        <v>344</v>
      </c>
      <c r="W3" s="461"/>
      <c r="X3" s="460" t="s">
        <v>346</v>
      </c>
      <c r="Y3" s="461"/>
      <c r="Z3" s="50" t="s">
        <v>343</v>
      </c>
      <c r="AA3" s="50" t="s">
        <v>342</v>
      </c>
      <c r="AB3" s="50" t="s">
        <v>341</v>
      </c>
      <c r="AC3" s="50" t="s">
        <v>949</v>
      </c>
      <c r="AD3" s="50" t="s">
        <v>340</v>
      </c>
      <c r="AE3" s="50" t="s">
        <v>339</v>
      </c>
      <c r="AF3" s="45"/>
      <c r="AG3" s="45"/>
    </row>
    <row r="4" spans="1:37" ht="14.4" thickBot="1">
      <c r="A4" s="51" t="s">
        <v>849</v>
      </c>
      <c r="B4" s="51"/>
      <c r="C4" s="52" t="s">
        <v>850</v>
      </c>
      <c r="D4" s="52" t="s">
        <v>851</v>
      </c>
      <c r="E4" s="53"/>
      <c r="F4" s="73" t="s">
        <v>852</v>
      </c>
      <c r="G4" s="54"/>
      <c r="H4" s="53" t="s">
        <v>1410</v>
      </c>
      <c r="I4" s="53" t="s">
        <v>181</v>
      </c>
      <c r="J4" s="53" t="s">
        <v>181</v>
      </c>
      <c r="K4" s="53" t="s">
        <v>854</v>
      </c>
      <c r="L4" s="53"/>
      <c r="M4" s="53"/>
      <c r="N4" s="53" t="s">
        <v>853</v>
      </c>
      <c r="O4" s="53"/>
      <c r="P4" s="53"/>
      <c r="Q4" s="53" t="s">
        <v>336</v>
      </c>
      <c r="R4" s="53" t="s">
        <v>195</v>
      </c>
      <c r="S4" s="53" t="s">
        <v>336</v>
      </c>
      <c r="T4" s="53" t="s">
        <v>853</v>
      </c>
      <c r="U4" s="53" t="s">
        <v>855</v>
      </c>
      <c r="V4" s="53" t="s">
        <v>853</v>
      </c>
      <c r="W4" s="53" t="s">
        <v>855</v>
      </c>
      <c r="X4" s="53" t="s">
        <v>853</v>
      </c>
      <c r="Y4" s="53" t="s">
        <v>855</v>
      </c>
      <c r="Z4" s="53" t="s">
        <v>855</v>
      </c>
      <c r="AA4" s="53"/>
      <c r="AB4" s="53"/>
      <c r="AC4" s="53"/>
      <c r="AD4" s="53"/>
      <c r="AE4" s="53"/>
      <c r="AF4" s="53" t="s">
        <v>856</v>
      </c>
      <c r="AG4" s="55" t="s">
        <v>857</v>
      </c>
    </row>
    <row r="5" spans="1:37">
      <c r="F5" s="78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6"/>
      <c r="Y5" s="56"/>
      <c r="Z5" s="56"/>
      <c r="AA5" s="56"/>
      <c r="AB5" s="56"/>
      <c r="AC5" s="56"/>
      <c r="AD5" s="56"/>
      <c r="AE5" s="56"/>
      <c r="AG5" s="58"/>
    </row>
    <row r="6" spans="1:37" ht="14.1">
      <c r="A6" s="218" t="s">
        <v>858</v>
      </c>
      <c r="F6" s="78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G6" s="58"/>
      <c r="AK6" s="240"/>
    </row>
    <row r="7" spans="1:37">
      <c r="A7" s="60"/>
      <c r="AG7" s="58"/>
      <c r="AH7" s="44" t="s">
        <v>1169</v>
      </c>
      <c r="AJ7" s="74">
        <v>0.69</v>
      </c>
    </row>
    <row r="8" spans="1:37" ht="14.1">
      <c r="A8" s="59" t="s">
        <v>1056</v>
      </c>
      <c r="B8" s="60"/>
      <c r="AG8" s="58"/>
      <c r="AJ8" s="236"/>
    </row>
    <row r="9" spans="1:37">
      <c r="A9" s="61">
        <v>301</v>
      </c>
      <c r="B9" s="60" t="s">
        <v>1059</v>
      </c>
      <c r="C9" s="44" t="s">
        <v>1060</v>
      </c>
      <c r="D9" s="44" t="s">
        <v>1087</v>
      </c>
      <c r="F9" s="76">
        <v>2240.29</v>
      </c>
      <c r="H9" s="63">
        <f t="shared" ref="H9:Q13" si="1">IF(VLOOKUP($D9,$C$6:$AE$653,H$2,)=0,0,((VLOOKUP($D9,$C$6:$AE$653,H$2,)/VLOOKUP($D9,$C$6:$AE$653,4,))*$F9))</f>
        <v>1367.5565961188738</v>
      </c>
      <c r="I9" s="63">
        <f t="shared" si="1"/>
        <v>0</v>
      </c>
      <c r="J9" s="63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210.04264730429438</v>
      </c>
      <c r="O9" s="63">
        <f t="shared" si="1"/>
        <v>0</v>
      </c>
      <c r="P9" s="63">
        <f t="shared" si="1"/>
        <v>0</v>
      </c>
      <c r="Q9" s="63">
        <f t="shared" si="1"/>
        <v>0</v>
      </c>
      <c r="R9" s="63">
        <f t="shared" ref="R9:AE13" si="2">IF(VLOOKUP($D9,$C$6:$AE$653,R$2,)=0,0,((VLOOKUP($D9,$C$6:$AE$653,R$2,)/VLOOKUP($D9,$C$6:$AE$653,4,))*$F9))</f>
        <v>82.638659868934369</v>
      </c>
      <c r="S9" s="63">
        <f t="shared" si="2"/>
        <v>0</v>
      </c>
      <c r="T9" s="63">
        <f t="shared" si="2"/>
        <v>126.86510869053255</v>
      </c>
      <c r="U9" s="63">
        <f t="shared" si="2"/>
        <v>207.60572157806121</v>
      </c>
      <c r="V9" s="63">
        <f t="shared" si="2"/>
        <v>35.396523020898101</v>
      </c>
      <c r="W9" s="63">
        <f t="shared" si="2"/>
        <v>60.483993790191363</v>
      </c>
      <c r="X9" s="63">
        <f t="shared" si="2"/>
        <v>43.362734319401433</v>
      </c>
      <c r="Y9" s="63">
        <f t="shared" si="2"/>
        <v>24.170730937076776</v>
      </c>
      <c r="Z9" s="63">
        <f t="shared" si="2"/>
        <v>15.454063719872217</v>
      </c>
      <c r="AA9" s="63">
        <f t="shared" si="2"/>
        <v>15.760478788537872</v>
      </c>
      <c r="AB9" s="63">
        <f t="shared" si="2"/>
        <v>50.952741863325798</v>
      </c>
      <c r="AC9" s="63">
        <f t="shared" si="2"/>
        <v>0</v>
      </c>
      <c r="AD9" s="63">
        <f t="shared" si="2"/>
        <v>0</v>
      </c>
      <c r="AE9" s="63">
        <f t="shared" si="2"/>
        <v>0</v>
      </c>
      <c r="AF9" s="63">
        <f>SUM(H9:AE9)</f>
        <v>2240.2899999999995</v>
      </c>
      <c r="AG9" s="58" t="str">
        <f>IF(ABS(AF9-F9)&lt;1,"ok","err")</f>
        <v>ok</v>
      </c>
      <c r="AH9" s="44" t="s">
        <v>1170</v>
      </c>
      <c r="AJ9" s="74">
        <v>0.31</v>
      </c>
    </row>
    <row r="10" spans="1:37">
      <c r="A10" s="61">
        <v>302</v>
      </c>
      <c r="B10" s="60" t="s">
        <v>1058</v>
      </c>
      <c r="C10" s="44" t="s">
        <v>1060</v>
      </c>
      <c r="D10" s="44" t="s">
        <v>1087</v>
      </c>
      <c r="F10" s="79"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0</v>
      </c>
      <c r="W10" s="63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2"/>
        <v>0</v>
      </c>
      <c r="AB10" s="63">
        <f t="shared" si="2"/>
        <v>0</v>
      </c>
      <c r="AC10" s="63">
        <f t="shared" si="2"/>
        <v>0</v>
      </c>
      <c r="AD10" s="63">
        <f t="shared" si="2"/>
        <v>0</v>
      </c>
      <c r="AE10" s="63">
        <f t="shared" si="2"/>
        <v>0</v>
      </c>
      <c r="AF10" s="63">
        <f>SUM(H10:AE10)</f>
        <v>0</v>
      </c>
      <c r="AG10" s="58" t="str">
        <f>IF(ABS(AF10-F10)&lt;1,"ok","err")</f>
        <v>ok</v>
      </c>
    </row>
    <row r="11" spans="1:37">
      <c r="A11" s="61">
        <v>303</v>
      </c>
      <c r="B11" s="60" t="s">
        <v>842</v>
      </c>
      <c r="C11" s="44" t="s">
        <v>1061</v>
      </c>
      <c r="D11" s="44" t="s">
        <v>1087</v>
      </c>
      <c r="F11" s="79"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1"/>
        <v>0</v>
      </c>
      <c r="Q11" s="63">
        <f t="shared" si="1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3">
        <f t="shared" si="2"/>
        <v>0</v>
      </c>
      <c r="W11" s="63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2"/>
        <v>0</v>
      </c>
      <c r="AB11" s="63">
        <f t="shared" si="2"/>
        <v>0</v>
      </c>
      <c r="AC11" s="63">
        <f t="shared" si="2"/>
        <v>0</v>
      </c>
      <c r="AD11" s="63">
        <f t="shared" si="2"/>
        <v>0</v>
      </c>
      <c r="AE11" s="63">
        <f t="shared" si="2"/>
        <v>0</v>
      </c>
      <c r="AF11" s="63">
        <f>SUM(H11:AE11)</f>
        <v>0</v>
      </c>
      <c r="AG11" s="58" t="str">
        <f>IF(ABS(AF11-F11)&lt;1,"ok","err")</f>
        <v>ok</v>
      </c>
    </row>
    <row r="12" spans="1:37">
      <c r="A12" s="61">
        <v>301</v>
      </c>
      <c r="B12" s="60" t="s">
        <v>840</v>
      </c>
      <c r="C12" s="44" t="s">
        <v>1060</v>
      </c>
      <c r="D12" s="44" t="s">
        <v>1087</v>
      </c>
      <c r="F12" s="239"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3">
        <f t="shared" si="2"/>
        <v>0</v>
      </c>
      <c r="V12" s="63">
        <f t="shared" si="2"/>
        <v>0</v>
      </c>
      <c r="W12" s="63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2"/>
        <v>0</v>
      </c>
      <c r="AB12" s="63">
        <f t="shared" si="2"/>
        <v>0</v>
      </c>
      <c r="AC12" s="63">
        <f t="shared" si="2"/>
        <v>0</v>
      </c>
      <c r="AD12" s="63">
        <f t="shared" si="2"/>
        <v>0</v>
      </c>
      <c r="AE12" s="63">
        <f t="shared" si="2"/>
        <v>0</v>
      </c>
      <c r="AF12" s="63">
        <f>SUM(H12:AE12)</f>
        <v>0</v>
      </c>
      <c r="AG12" s="58" t="str">
        <f>IF(ABS(AF12-F12)&lt;1,"ok","err")</f>
        <v>ok</v>
      </c>
    </row>
    <row r="13" spans="1:37">
      <c r="A13" s="61">
        <v>302</v>
      </c>
      <c r="B13" s="60" t="s">
        <v>841</v>
      </c>
      <c r="C13" s="44" t="s">
        <v>1060</v>
      </c>
      <c r="D13" s="44" t="s">
        <v>1087</v>
      </c>
      <c r="F13" s="79">
        <v>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2"/>
        <v>0</v>
      </c>
      <c r="AB13" s="63">
        <f t="shared" si="2"/>
        <v>0</v>
      </c>
      <c r="AC13" s="63">
        <f t="shared" si="2"/>
        <v>0</v>
      </c>
      <c r="AD13" s="63">
        <f t="shared" si="2"/>
        <v>0</v>
      </c>
      <c r="AE13" s="63">
        <f t="shared" si="2"/>
        <v>0</v>
      </c>
      <c r="AF13" s="63">
        <f>SUM(H13:AE13)</f>
        <v>0</v>
      </c>
      <c r="AG13" s="58" t="str">
        <f>IF(ABS(AF13-F13)&lt;1,"ok","err")</f>
        <v>ok</v>
      </c>
    </row>
    <row r="14" spans="1:37">
      <c r="A14" s="60"/>
      <c r="B14" s="60"/>
      <c r="AG14" s="58"/>
    </row>
    <row r="15" spans="1:37">
      <c r="A15" s="60"/>
      <c r="B15" s="60" t="s">
        <v>860</v>
      </c>
      <c r="C15" s="44" t="s">
        <v>861</v>
      </c>
      <c r="F15" s="80">
        <f>SUM(F9:F14)</f>
        <v>2240.29</v>
      </c>
      <c r="G15" s="64">
        <f>SUM(G9:G11)</f>
        <v>0</v>
      </c>
      <c r="H15" s="64">
        <f>SUM(H9:H13)</f>
        <v>1367.5565961188738</v>
      </c>
      <c r="I15" s="64">
        <f>SUM(I9:I13)</f>
        <v>0</v>
      </c>
      <c r="J15" s="64">
        <f t="shared" ref="J15:AE15" si="3">SUM(J9:J13)</f>
        <v>0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64">
        <f t="shared" si="3"/>
        <v>210.04264730429438</v>
      </c>
      <c r="O15" s="64">
        <f t="shared" si="3"/>
        <v>0</v>
      </c>
      <c r="P15" s="64">
        <f t="shared" si="3"/>
        <v>0</v>
      </c>
      <c r="Q15" s="64">
        <f t="shared" si="3"/>
        <v>0</v>
      </c>
      <c r="R15" s="64">
        <f t="shared" si="3"/>
        <v>82.638659868934369</v>
      </c>
      <c r="S15" s="64">
        <f t="shared" si="3"/>
        <v>0</v>
      </c>
      <c r="T15" s="64">
        <f t="shared" si="3"/>
        <v>126.86510869053255</v>
      </c>
      <c r="U15" s="64">
        <f t="shared" si="3"/>
        <v>207.60572157806121</v>
      </c>
      <c r="V15" s="64">
        <f t="shared" si="3"/>
        <v>35.396523020898101</v>
      </c>
      <c r="W15" s="64">
        <f t="shared" si="3"/>
        <v>60.483993790191363</v>
      </c>
      <c r="X15" s="64">
        <f t="shared" si="3"/>
        <v>43.362734319401433</v>
      </c>
      <c r="Y15" s="64">
        <f t="shared" si="3"/>
        <v>24.170730937076776</v>
      </c>
      <c r="Z15" s="64">
        <f t="shared" si="3"/>
        <v>15.454063719872217</v>
      </c>
      <c r="AA15" s="64">
        <f t="shared" si="3"/>
        <v>15.760478788537872</v>
      </c>
      <c r="AB15" s="64">
        <f t="shared" si="3"/>
        <v>50.952741863325798</v>
      </c>
      <c r="AC15" s="64">
        <f t="shared" si="3"/>
        <v>0</v>
      </c>
      <c r="AD15" s="64">
        <f t="shared" si="3"/>
        <v>0</v>
      </c>
      <c r="AE15" s="64">
        <f t="shared" si="3"/>
        <v>0</v>
      </c>
      <c r="AF15" s="63">
        <f>SUM(H15:AE15)</f>
        <v>2240.2899999999995</v>
      </c>
      <c r="AG15" s="58" t="str">
        <f>IF(ABS(AF15-F15)&lt;1,"ok","err")</f>
        <v>ok</v>
      </c>
    </row>
    <row r="16" spans="1:37">
      <c r="A16" s="60"/>
      <c r="B16" s="60"/>
      <c r="F16" s="8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3"/>
      <c r="AG16" s="58"/>
    </row>
    <row r="17" spans="1:33" ht="14.1">
      <c r="A17" s="59" t="s">
        <v>184</v>
      </c>
      <c r="B17" s="60"/>
      <c r="W17" s="44"/>
      <c r="AG17" s="58"/>
    </row>
    <row r="18" spans="1:33">
      <c r="A18" s="60"/>
      <c r="B18" s="60"/>
      <c r="F18" s="80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/>
      <c r="AG18" s="58"/>
    </row>
    <row r="19" spans="1:33">
      <c r="A19" s="60"/>
      <c r="B19" s="60" t="s">
        <v>185</v>
      </c>
      <c r="C19" s="44" t="s">
        <v>186</v>
      </c>
      <c r="D19" s="44" t="s">
        <v>616</v>
      </c>
      <c r="F19" s="80">
        <v>3109195352.1299877</v>
      </c>
      <c r="G19" s="64"/>
      <c r="H19" s="63">
        <f t="shared" ref="H19:AE19" si="4">IF(VLOOKUP($D19,$C$6:$AE$653,H$2,)=0,0,((VLOOKUP($D19,$C$6:$AE$653,H$2,)/VLOOKUP($D19,$C$6:$AE$653,4,))*$F19))</f>
        <v>3109195352.1299877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0</v>
      </c>
      <c r="X19" s="63">
        <f t="shared" si="4"/>
        <v>0</v>
      </c>
      <c r="Y19" s="63">
        <f t="shared" si="4"/>
        <v>0</v>
      </c>
      <c r="Z19" s="63">
        <f t="shared" si="4"/>
        <v>0</v>
      </c>
      <c r="AA19" s="63">
        <f t="shared" si="4"/>
        <v>0</v>
      </c>
      <c r="AB19" s="63">
        <f t="shared" si="4"/>
        <v>0</v>
      </c>
      <c r="AC19" s="63">
        <f t="shared" si="4"/>
        <v>0</v>
      </c>
      <c r="AD19" s="63">
        <f t="shared" si="4"/>
        <v>0</v>
      </c>
      <c r="AE19" s="63">
        <f t="shared" si="4"/>
        <v>0</v>
      </c>
      <c r="AF19" s="63">
        <f>SUM(H19:AE19)</f>
        <v>3109195352.1299877</v>
      </c>
      <c r="AG19" s="58" t="str">
        <f>IF(ABS(AF19-F19)&lt;1,"ok","err")</f>
        <v>ok</v>
      </c>
    </row>
    <row r="20" spans="1:33">
      <c r="A20" s="60"/>
      <c r="B20" s="60"/>
      <c r="AG20" s="58"/>
    </row>
    <row r="21" spans="1:33" ht="14.1">
      <c r="A21" s="59" t="s">
        <v>291</v>
      </c>
      <c r="B21" s="60"/>
      <c r="F21" s="80"/>
      <c r="W21" s="44"/>
      <c r="AG21" s="58"/>
    </row>
    <row r="22" spans="1:33">
      <c r="A22" s="60"/>
      <c r="B22" s="60"/>
      <c r="F22" s="80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3"/>
      <c r="AG22" s="58"/>
    </row>
    <row r="23" spans="1:33">
      <c r="A23" s="60"/>
      <c r="B23" s="60" t="s">
        <v>292</v>
      </c>
      <c r="C23" s="44" t="s">
        <v>293</v>
      </c>
      <c r="D23" s="44" t="s">
        <v>616</v>
      </c>
      <c r="F23" s="80">
        <v>159587944.78846142</v>
      </c>
      <c r="G23" s="64"/>
      <c r="H23" s="63">
        <f t="shared" ref="H23:AE23" si="5">IF(VLOOKUP($D23,$C$6:$AE$653,H$2,)=0,0,((VLOOKUP($D23,$C$6:$AE$653,H$2,)/VLOOKUP($D23,$C$6:$AE$653,4,))*$F23))</f>
        <v>159587944.78846142</v>
      </c>
      <c r="I23" s="63">
        <f t="shared" si="5"/>
        <v>0</v>
      </c>
      <c r="J23" s="63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63">
        <f t="shared" si="5"/>
        <v>0</v>
      </c>
      <c r="Q23" s="63">
        <f t="shared" si="5"/>
        <v>0</v>
      </c>
      <c r="R23" s="63">
        <f t="shared" si="5"/>
        <v>0</v>
      </c>
      <c r="S23" s="63">
        <f t="shared" si="5"/>
        <v>0</v>
      </c>
      <c r="T23" s="63">
        <f t="shared" si="5"/>
        <v>0</v>
      </c>
      <c r="U23" s="63">
        <f t="shared" si="5"/>
        <v>0</v>
      </c>
      <c r="V23" s="63">
        <f t="shared" si="5"/>
        <v>0</v>
      </c>
      <c r="W23" s="63">
        <f t="shared" si="5"/>
        <v>0</v>
      </c>
      <c r="X23" s="63">
        <f t="shared" si="5"/>
        <v>0</v>
      </c>
      <c r="Y23" s="63">
        <f t="shared" si="5"/>
        <v>0</v>
      </c>
      <c r="Z23" s="63">
        <f t="shared" si="5"/>
        <v>0</v>
      </c>
      <c r="AA23" s="63">
        <f t="shared" si="5"/>
        <v>0</v>
      </c>
      <c r="AB23" s="63">
        <f t="shared" si="5"/>
        <v>0</v>
      </c>
      <c r="AC23" s="63">
        <f t="shared" si="5"/>
        <v>0</v>
      </c>
      <c r="AD23" s="63">
        <f t="shared" si="5"/>
        <v>0</v>
      </c>
      <c r="AE23" s="63">
        <f t="shared" si="5"/>
        <v>0</v>
      </c>
      <c r="AF23" s="63">
        <f>SUM(H23:AE23)</f>
        <v>159587944.78846142</v>
      </c>
      <c r="AG23" s="58" t="str">
        <f>IF(ABS(AF23-F23)&lt;1,"ok","err")</f>
        <v>ok</v>
      </c>
    </row>
    <row r="24" spans="1:33">
      <c r="A24" s="60"/>
      <c r="B24" s="60"/>
      <c r="AG24" s="58"/>
    </row>
    <row r="25" spans="1:33" ht="14.1">
      <c r="A25" s="59" t="s">
        <v>187</v>
      </c>
      <c r="B25" s="60"/>
      <c r="W25" s="44"/>
      <c r="AG25" s="58"/>
    </row>
    <row r="26" spans="1:33">
      <c r="A26" s="60"/>
      <c r="B26" s="60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3"/>
      <c r="AG26" s="58"/>
    </row>
    <row r="27" spans="1:33">
      <c r="A27" s="60"/>
      <c r="B27" s="60" t="s">
        <v>188</v>
      </c>
      <c r="C27" s="44" t="s">
        <v>189</v>
      </c>
      <c r="D27" s="44" t="s">
        <v>616</v>
      </c>
      <c r="F27" s="80">
        <v>418289974.94692248</v>
      </c>
      <c r="G27" s="64"/>
      <c r="H27" s="63">
        <f t="shared" ref="H27:AE27" si="6">IF(VLOOKUP($D27,$C$6:$AE$653,H$2,)=0,0,((VLOOKUP($D27,$C$6:$AE$653,H$2,)/VLOOKUP($D27,$C$6:$AE$653,4,))*$F27))</f>
        <v>418289974.94692248</v>
      </c>
      <c r="I27" s="63">
        <f t="shared" si="6"/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  <c r="U27" s="63">
        <f t="shared" si="6"/>
        <v>0</v>
      </c>
      <c r="V27" s="63">
        <f t="shared" si="6"/>
        <v>0</v>
      </c>
      <c r="W27" s="63">
        <f t="shared" si="6"/>
        <v>0</v>
      </c>
      <c r="X27" s="63">
        <f t="shared" si="6"/>
        <v>0</v>
      </c>
      <c r="Y27" s="63">
        <f t="shared" si="6"/>
        <v>0</v>
      </c>
      <c r="Z27" s="63">
        <f t="shared" si="6"/>
        <v>0</v>
      </c>
      <c r="AA27" s="63">
        <f t="shared" si="6"/>
        <v>0</v>
      </c>
      <c r="AB27" s="63">
        <f t="shared" si="6"/>
        <v>0</v>
      </c>
      <c r="AC27" s="63">
        <f t="shared" si="6"/>
        <v>0</v>
      </c>
      <c r="AD27" s="63">
        <f t="shared" si="6"/>
        <v>0</v>
      </c>
      <c r="AE27" s="63">
        <f t="shared" si="6"/>
        <v>0</v>
      </c>
      <c r="AF27" s="63">
        <f>SUM(H27:AE27)</f>
        <v>418289974.94692248</v>
      </c>
      <c r="AG27" s="58" t="str">
        <f>IF(ABS(AF27-F27)&lt;1,"ok","err")</f>
        <v>ok</v>
      </c>
    </row>
    <row r="28" spans="1:33">
      <c r="A28" s="60"/>
      <c r="B28" s="60"/>
      <c r="F28" s="80"/>
      <c r="AG28" s="58"/>
    </row>
    <row r="29" spans="1:33" ht="14.1">
      <c r="A29" s="60"/>
      <c r="B29" s="65" t="s">
        <v>190</v>
      </c>
      <c r="C29" s="44" t="s">
        <v>191</v>
      </c>
      <c r="F29" s="80">
        <f>SUM(F19:F28)</f>
        <v>3687073271.8653712</v>
      </c>
      <c r="G29" s="64"/>
      <c r="H29" s="64">
        <f t="shared" ref="H29:Q29" si="7">H19+H23+H27</f>
        <v>3687073271.8653712</v>
      </c>
      <c r="I29" s="64">
        <f t="shared" si="7"/>
        <v>0</v>
      </c>
      <c r="J29" s="64">
        <f t="shared" si="7"/>
        <v>0</v>
      </c>
      <c r="K29" s="64">
        <f t="shared" si="7"/>
        <v>0</v>
      </c>
      <c r="L29" s="64">
        <f t="shared" si="7"/>
        <v>0</v>
      </c>
      <c r="M29" s="64">
        <f t="shared" si="7"/>
        <v>0</v>
      </c>
      <c r="N29" s="64">
        <f t="shared" si="7"/>
        <v>0</v>
      </c>
      <c r="O29" s="64">
        <f t="shared" si="7"/>
        <v>0</v>
      </c>
      <c r="P29" s="64">
        <f t="shared" si="7"/>
        <v>0</v>
      </c>
      <c r="Q29" s="64">
        <f t="shared" si="7"/>
        <v>0</v>
      </c>
      <c r="R29" s="64"/>
      <c r="S29" s="64">
        <f>S19+S23+S27</f>
        <v>0</v>
      </c>
      <c r="T29" s="64">
        <f>T19+T23+T27</f>
        <v>0</v>
      </c>
      <c r="U29" s="64"/>
      <c r="V29" s="64"/>
      <c r="W29" s="64"/>
      <c r="X29" s="64">
        <f>X19+X23+X27</f>
        <v>0</v>
      </c>
      <c r="Y29" s="64">
        <f>Y19+Y23+Y27</f>
        <v>0</v>
      </c>
      <c r="Z29" s="64"/>
      <c r="AA29" s="64"/>
      <c r="AB29" s="64">
        <f>AB19+AB23+AB27</f>
        <v>0</v>
      </c>
      <c r="AC29" s="64">
        <f>AC19+AC23+AC27</f>
        <v>0</v>
      </c>
      <c r="AD29" s="64">
        <f>AD19+AD23+AD27</f>
        <v>0</v>
      </c>
      <c r="AE29" s="64">
        <f>AE19+AE23+AE27</f>
        <v>0</v>
      </c>
      <c r="AF29" s="63">
        <f>SUM(H29:AE29)</f>
        <v>3687073271.8653712</v>
      </c>
      <c r="AG29" s="58" t="str">
        <f>IF(ABS(AF29-F29)&lt;1,"ok","err")</f>
        <v>ok</v>
      </c>
    </row>
    <row r="30" spans="1:33">
      <c r="A30" s="60"/>
      <c r="B30" s="60"/>
      <c r="AG30" s="58"/>
    </row>
    <row r="31" spans="1:33" ht="14.1">
      <c r="A31" s="59" t="s">
        <v>1054</v>
      </c>
      <c r="B31" s="60"/>
      <c r="W31" s="44"/>
      <c r="AG31" s="58"/>
    </row>
    <row r="32" spans="1:33">
      <c r="A32" s="60"/>
      <c r="B32" s="60"/>
      <c r="W32" s="44"/>
      <c r="AF32" s="63"/>
      <c r="AG32" s="58"/>
    </row>
    <row r="33" spans="1:33">
      <c r="A33" s="60"/>
      <c r="B33" s="60" t="s">
        <v>1057</v>
      </c>
      <c r="C33" s="44" t="s">
        <v>1085</v>
      </c>
      <c r="D33" s="44" t="s">
        <v>1086</v>
      </c>
      <c r="F33" s="80">
        <v>566296585.47615314</v>
      </c>
      <c r="G33" s="64"/>
      <c r="H33" s="63">
        <f t="shared" ref="H33:AE33" si="8">IF(VLOOKUP($D33,$C$6:$AE$653,H$2,)=0,0,((VLOOKUP($D33,$C$6:$AE$653,H$2,)/VLOOKUP($D33,$C$6:$AE$653,4,))*$F33))</f>
        <v>0</v>
      </c>
      <c r="I33" s="63">
        <f t="shared" si="8"/>
        <v>0</v>
      </c>
      <c r="J33" s="63">
        <f t="shared" si="8"/>
        <v>0</v>
      </c>
      <c r="K33" s="63">
        <f t="shared" si="8"/>
        <v>0</v>
      </c>
      <c r="L33" s="63">
        <f t="shared" si="8"/>
        <v>0</v>
      </c>
      <c r="M33" s="63">
        <f t="shared" si="8"/>
        <v>0</v>
      </c>
      <c r="N33" s="63">
        <f t="shared" si="8"/>
        <v>566296585.47615314</v>
      </c>
      <c r="O33" s="63">
        <f t="shared" si="8"/>
        <v>0</v>
      </c>
      <c r="P33" s="63">
        <f t="shared" si="8"/>
        <v>0</v>
      </c>
      <c r="Q33" s="63">
        <f t="shared" si="8"/>
        <v>0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63">
        <f t="shared" si="8"/>
        <v>0</v>
      </c>
      <c r="W33" s="63">
        <f t="shared" si="8"/>
        <v>0</v>
      </c>
      <c r="X33" s="63">
        <f t="shared" si="8"/>
        <v>0</v>
      </c>
      <c r="Y33" s="63">
        <f t="shared" si="8"/>
        <v>0</v>
      </c>
      <c r="Z33" s="63">
        <f t="shared" si="8"/>
        <v>0</v>
      </c>
      <c r="AA33" s="63">
        <f t="shared" si="8"/>
        <v>0</v>
      </c>
      <c r="AB33" s="63">
        <f t="shared" si="8"/>
        <v>0</v>
      </c>
      <c r="AC33" s="63">
        <f t="shared" si="8"/>
        <v>0</v>
      </c>
      <c r="AD33" s="63">
        <f t="shared" si="8"/>
        <v>0</v>
      </c>
      <c r="AE33" s="63">
        <f t="shared" si="8"/>
        <v>0</v>
      </c>
      <c r="AF33" s="63">
        <f>SUM(H33:AE33)</f>
        <v>566296585.47615314</v>
      </c>
      <c r="AG33" s="58" t="str">
        <f>IF(ABS(AF33-F33)&lt;1,"ok","err")</f>
        <v>ok</v>
      </c>
    </row>
    <row r="34" spans="1:33">
      <c r="A34" s="60"/>
      <c r="B34" s="60"/>
      <c r="F34" s="80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58"/>
    </row>
    <row r="35" spans="1:33" ht="14.1">
      <c r="A35" s="60"/>
      <c r="B35" s="65" t="s">
        <v>1057</v>
      </c>
      <c r="C35" s="44" t="s">
        <v>1217</v>
      </c>
      <c r="F35" s="80">
        <f>SUM(F33:F33)</f>
        <v>566296585.47615314</v>
      </c>
      <c r="G35" s="64"/>
      <c r="H35" s="80">
        <f>SUM(H33:H33)</f>
        <v>0</v>
      </c>
      <c r="I35" s="80">
        <f>SUM(I33:I33)</f>
        <v>0</v>
      </c>
      <c r="J35" s="80">
        <f>SUM(J33:J33)</f>
        <v>0</v>
      </c>
      <c r="K35" s="80">
        <f>SUM(K33:K33)</f>
        <v>0</v>
      </c>
      <c r="L35" s="64">
        <f>L24+L28+L33</f>
        <v>0</v>
      </c>
      <c r="M35" s="64">
        <f>M24+M28+M33</f>
        <v>0</v>
      </c>
      <c r="N35" s="80">
        <f>SUM(N33:N33)</f>
        <v>566296585.47615314</v>
      </c>
      <c r="O35" s="80">
        <f>SUM(O33:O33)</f>
        <v>0</v>
      </c>
      <c r="P35" s="80">
        <f>SUM(P33:P33)</f>
        <v>0</v>
      </c>
      <c r="Q35" s="64">
        <f>Q24+Q28+Q33</f>
        <v>0</v>
      </c>
      <c r="R35" s="80">
        <f t="shared" ref="R35:AE35" si="9">SUM(R33:R33)</f>
        <v>0</v>
      </c>
      <c r="S35" s="80">
        <f t="shared" si="9"/>
        <v>0</v>
      </c>
      <c r="T35" s="80">
        <f t="shared" si="9"/>
        <v>0</v>
      </c>
      <c r="U35" s="80">
        <f t="shared" si="9"/>
        <v>0</v>
      </c>
      <c r="V35" s="80">
        <f t="shared" si="9"/>
        <v>0</v>
      </c>
      <c r="W35" s="80">
        <f t="shared" si="9"/>
        <v>0</v>
      </c>
      <c r="X35" s="80">
        <f t="shared" si="9"/>
        <v>0</v>
      </c>
      <c r="Y35" s="80">
        <f t="shared" si="9"/>
        <v>0</v>
      </c>
      <c r="Z35" s="80">
        <f t="shared" si="9"/>
        <v>0</v>
      </c>
      <c r="AA35" s="80">
        <f t="shared" si="9"/>
        <v>0</v>
      </c>
      <c r="AB35" s="80">
        <f t="shared" si="9"/>
        <v>0</v>
      </c>
      <c r="AC35" s="80">
        <f t="shared" si="9"/>
        <v>0</v>
      </c>
      <c r="AD35" s="80">
        <f t="shared" si="9"/>
        <v>0</v>
      </c>
      <c r="AE35" s="80">
        <f t="shared" si="9"/>
        <v>0</v>
      </c>
      <c r="AF35" s="63">
        <f>SUM(H35:AE35)</f>
        <v>566296585.47615314</v>
      </c>
      <c r="AG35" s="58" t="str">
        <f>IF(ABS(AF35-F35)&lt;1,"ok","err")</f>
        <v>ok</v>
      </c>
    </row>
    <row r="36" spans="1:33">
      <c r="A36" s="60"/>
      <c r="B36" s="60"/>
      <c r="W36" s="44"/>
      <c r="AG36" s="58"/>
    </row>
    <row r="37" spans="1:33" ht="14.1">
      <c r="A37" s="59" t="s">
        <v>862</v>
      </c>
      <c r="B37" s="60"/>
      <c r="W37" s="44"/>
      <c r="AG37" s="58"/>
    </row>
    <row r="38" spans="1:33">
      <c r="A38" s="272"/>
      <c r="B38" s="42" t="s">
        <v>294</v>
      </c>
      <c r="C38" s="44" t="s">
        <v>863</v>
      </c>
      <c r="D38" s="44" t="s">
        <v>864</v>
      </c>
      <c r="F38" s="76">
        <v>222802328.53999999</v>
      </c>
      <c r="H38" s="63">
        <f t="shared" ref="H38:Q46" si="10">IF(VLOOKUP($D38,$C$6:$AE$653,H$2,)=0,0,((VLOOKUP($D38,$C$6:$AE$653,H$2,)/VLOOKUP($D38,$C$6:$AE$653,4,))*$F38))</f>
        <v>0</v>
      </c>
      <c r="I38" s="63">
        <f t="shared" si="10"/>
        <v>0</v>
      </c>
      <c r="J38" s="63">
        <f t="shared" si="10"/>
        <v>0</v>
      </c>
      <c r="K38" s="63">
        <f t="shared" si="10"/>
        <v>0</v>
      </c>
      <c r="L38" s="63">
        <f t="shared" si="10"/>
        <v>0</v>
      </c>
      <c r="M38" s="63">
        <f t="shared" si="10"/>
        <v>0</v>
      </c>
      <c r="N38" s="63">
        <f t="shared" si="10"/>
        <v>0</v>
      </c>
      <c r="O38" s="63">
        <f t="shared" si="10"/>
        <v>0</v>
      </c>
      <c r="P38" s="63">
        <f t="shared" si="10"/>
        <v>0</v>
      </c>
      <c r="Q38" s="63">
        <f t="shared" si="10"/>
        <v>0</v>
      </c>
      <c r="R38" s="63">
        <f t="shared" ref="R38:AE46" si="11">IF(VLOOKUP($D38,$C$6:$AE$653,R$2,)=0,0,((VLOOKUP($D38,$C$6:$AE$653,R$2,)/VLOOKUP($D38,$C$6:$AE$653,4,))*$F38))</f>
        <v>222802328.53999999</v>
      </c>
      <c r="S38" s="63">
        <f t="shared" si="11"/>
        <v>0</v>
      </c>
      <c r="T38" s="63">
        <f t="shared" si="11"/>
        <v>0</v>
      </c>
      <c r="U38" s="63">
        <f t="shared" si="11"/>
        <v>0</v>
      </c>
      <c r="V38" s="63">
        <f t="shared" si="11"/>
        <v>0</v>
      </c>
      <c r="W38" s="63">
        <f t="shared" si="11"/>
        <v>0</v>
      </c>
      <c r="X38" s="63">
        <f t="shared" si="11"/>
        <v>0</v>
      </c>
      <c r="Y38" s="63">
        <f t="shared" si="11"/>
        <v>0</v>
      </c>
      <c r="Z38" s="63">
        <f t="shared" si="11"/>
        <v>0</v>
      </c>
      <c r="AA38" s="63">
        <f t="shared" si="11"/>
        <v>0</v>
      </c>
      <c r="AB38" s="63">
        <f t="shared" si="11"/>
        <v>0</v>
      </c>
      <c r="AC38" s="63">
        <f t="shared" si="11"/>
        <v>0</v>
      </c>
      <c r="AD38" s="63">
        <f t="shared" si="11"/>
        <v>0</v>
      </c>
      <c r="AE38" s="63">
        <f t="shared" si="11"/>
        <v>0</v>
      </c>
      <c r="AF38" s="63">
        <f t="shared" ref="AF38:AF45" si="12">SUM(H38:AE38)</f>
        <v>222802328.53999999</v>
      </c>
      <c r="AG38" s="58" t="str">
        <f t="shared" ref="AG38:AG46" si="13">IF(ABS(AF38-F38)&lt;1,"ok","err")</f>
        <v>ok</v>
      </c>
    </row>
    <row r="39" spans="1:33">
      <c r="A39" s="272"/>
      <c r="B39" s="42" t="s">
        <v>295</v>
      </c>
      <c r="C39" s="44" t="s">
        <v>866</v>
      </c>
      <c r="D39" s="44" t="s">
        <v>867</v>
      </c>
      <c r="F39" s="79">
        <v>684235593.34999943</v>
      </c>
      <c r="H39" s="63">
        <f t="shared" si="10"/>
        <v>0</v>
      </c>
      <c r="I39" s="63">
        <f t="shared" si="10"/>
        <v>0</v>
      </c>
      <c r="J39" s="63">
        <f t="shared" si="10"/>
        <v>0</v>
      </c>
      <c r="K39" s="63">
        <f t="shared" si="10"/>
        <v>0</v>
      </c>
      <c r="L39" s="63">
        <f t="shared" si="10"/>
        <v>0</v>
      </c>
      <c r="M39" s="63">
        <f t="shared" si="10"/>
        <v>0</v>
      </c>
      <c r="N39" s="63">
        <f t="shared" si="10"/>
        <v>0</v>
      </c>
      <c r="O39" s="63">
        <f t="shared" si="10"/>
        <v>0</v>
      </c>
      <c r="P39" s="63">
        <f t="shared" si="10"/>
        <v>0</v>
      </c>
      <c r="Q39" s="63">
        <f t="shared" si="10"/>
        <v>0</v>
      </c>
      <c r="R39" s="63">
        <f t="shared" si="11"/>
        <v>0</v>
      </c>
      <c r="S39" s="63">
        <f t="shared" si="11"/>
        <v>0</v>
      </c>
      <c r="T39" s="63">
        <f t="shared" si="11"/>
        <v>173756510.84899411</v>
      </c>
      <c r="U39" s="63">
        <f t="shared" si="11"/>
        <v>308766429.58142555</v>
      </c>
      <c r="V39" s="63">
        <f t="shared" si="11"/>
        <v>72636726.3163407</v>
      </c>
      <c r="W39" s="63">
        <f t="shared" si="11"/>
        <v>129075926.60323913</v>
      </c>
      <c r="X39" s="63">
        <f t="shared" si="11"/>
        <v>0</v>
      </c>
      <c r="Y39" s="63">
        <f t="shared" si="11"/>
        <v>0</v>
      </c>
      <c r="Z39" s="63">
        <f t="shared" si="11"/>
        <v>0</v>
      </c>
      <c r="AA39" s="63">
        <f t="shared" si="11"/>
        <v>0</v>
      </c>
      <c r="AB39" s="63">
        <f t="shared" si="11"/>
        <v>0</v>
      </c>
      <c r="AC39" s="63">
        <f t="shared" si="11"/>
        <v>0</v>
      </c>
      <c r="AD39" s="63">
        <f t="shared" si="11"/>
        <v>0</v>
      </c>
      <c r="AE39" s="63">
        <f t="shared" si="11"/>
        <v>0</v>
      </c>
      <c r="AF39" s="63">
        <f t="shared" si="12"/>
        <v>684235593.34999955</v>
      </c>
      <c r="AG39" s="58" t="str">
        <f t="shared" si="13"/>
        <v>ok</v>
      </c>
    </row>
    <row r="40" spans="1:33">
      <c r="A40" s="272"/>
      <c r="B40" s="42" t="s">
        <v>296</v>
      </c>
      <c r="C40" s="44" t="s">
        <v>869</v>
      </c>
      <c r="D40" s="44" t="s">
        <v>868</v>
      </c>
      <c r="F40" s="79">
        <v>476035911.19461513</v>
      </c>
      <c r="H40" s="63">
        <f t="shared" si="10"/>
        <v>0</v>
      </c>
      <c r="I40" s="63">
        <f t="shared" si="10"/>
        <v>0</v>
      </c>
      <c r="J40" s="63">
        <f t="shared" si="10"/>
        <v>0</v>
      </c>
      <c r="K40" s="63">
        <f t="shared" si="10"/>
        <v>0</v>
      </c>
      <c r="L40" s="63">
        <f t="shared" si="10"/>
        <v>0</v>
      </c>
      <c r="M40" s="63">
        <f t="shared" si="10"/>
        <v>0</v>
      </c>
      <c r="N40" s="63">
        <f t="shared" si="10"/>
        <v>0</v>
      </c>
      <c r="O40" s="63">
        <f t="shared" si="10"/>
        <v>0</v>
      </c>
      <c r="P40" s="63">
        <f t="shared" si="10"/>
        <v>0</v>
      </c>
      <c r="Q40" s="63">
        <f t="shared" si="10"/>
        <v>0</v>
      </c>
      <c r="R40" s="63">
        <f t="shared" si="11"/>
        <v>0</v>
      </c>
      <c r="S40" s="63">
        <f t="shared" si="11"/>
        <v>0</v>
      </c>
      <c r="T40" s="63">
        <f t="shared" si="11"/>
        <v>168284873.55342373</v>
      </c>
      <c r="U40" s="63">
        <f t="shared" si="11"/>
        <v>250959953.4356738</v>
      </c>
      <c r="V40" s="63">
        <f t="shared" si="11"/>
        <v>22795941.200094756</v>
      </c>
      <c r="W40" s="63">
        <f t="shared" si="11"/>
        <v>33995143.005422823</v>
      </c>
      <c r="X40" s="63">
        <f t="shared" si="11"/>
        <v>0</v>
      </c>
      <c r="Y40" s="63">
        <f t="shared" si="11"/>
        <v>0</v>
      </c>
      <c r="Z40" s="63">
        <f t="shared" si="11"/>
        <v>0</v>
      </c>
      <c r="AA40" s="63">
        <f t="shared" si="11"/>
        <v>0</v>
      </c>
      <c r="AB40" s="63">
        <f t="shared" si="11"/>
        <v>0</v>
      </c>
      <c r="AC40" s="63">
        <f t="shared" si="11"/>
        <v>0</v>
      </c>
      <c r="AD40" s="63">
        <f t="shared" si="11"/>
        <v>0</v>
      </c>
      <c r="AE40" s="63">
        <f t="shared" si="11"/>
        <v>0</v>
      </c>
      <c r="AF40" s="63">
        <f t="shared" si="12"/>
        <v>476035911.19461513</v>
      </c>
      <c r="AG40" s="58" t="str">
        <f t="shared" si="13"/>
        <v>ok</v>
      </c>
    </row>
    <row r="41" spans="1:33">
      <c r="A41" s="272"/>
      <c r="B41" s="42" t="s">
        <v>1221</v>
      </c>
      <c r="C41" s="44" t="s">
        <v>870</v>
      </c>
      <c r="D41" s="44" t="s">
        <v>871</v>
      </c>
      <c r="F41" s="79">
        <v>182077169.90307674</v>
      </c>
      <c r="H41" s="63">
        <f t="shared" si="10"/>
        <v>0</v>
      </c>
      <c r="I41" s="63">
        <f t="shared" si="10"/>
        <v>0</v>
      </c>
      <c r="J41" s="63">
        <f t="shared" si="10"/>
        <v>0</v>
      </c>
      <c r="K41" s="63">
        <f t="shared" si="10"/>
        <v>0</v>
      </c>
      <c r="L41" s="63">
        <f t="shared" si="10"/>
        <v>0</v>
      </c>
      <c r="M41" s="63">
        <f t="shared" si="10"/>
        <v>0</v>
      </c>
      <c r="N41" s="63">
        <f t="shared" si="10"/>
        <v>0</v>
      </c>
      <c r="O41" s="63">
        <f t="shared" si="10"/>
        <v>0</v>
      </c>
      <c r="P41" s="63">
        <f t="shared" si="10"/>
        <v>0</v>
      </c>
      <c r="Q41" s="63">
        <f t="shared" si="10"/>
        <v>0</v>
      </c>
      <c r="R41" s="63">
        <f t="shared" si="11"/>
        <v>0</v>
      </c>
      <c r="S41" s="63">
        <f t="shared" si="11"/>
        <v>0</v>
      </c>
      <c r="T41" s="63">
        <f t="shared" si="11"/>
        <v>0</v>
      </c>
      <c r="U41" s="63">
        <f t="shared" si="11"/>
        <v>0</v>
      </c>
      <c r="V41" s="63">
        <f t="shared" si="11"/>
        <v>0</v>
      </c>
      <c r="W41" s="63">
        <f t="shared" si="11"/>
        <v>0</v>
      </c>
      <c r="X41" s="63">
        <f t="shared" si="11"/>
        <v>116910392.70901713</v>
      </c>
      <c r="Y41" s="63">
        <f t="shared" si="11"/>
        <v>65166777.19405961</v>
      </c>
      <c r="Z41" s="63">
        <f t="shared" si="11"/>
        <v>0</v>
      </c>
      <c r="AA41" s="63">
        <f t="shared" si="11"/>
        <v>0</v>
      </c>
      <c r="AB41" s="63">
        <f t="shared" si="11"/>
        <v>0</v>
      </c>
      <c r="AC41" s="63">
        <f t="shared" si="11"/>
        <v>0</v>
      </c>
      <c r="AD41" s="63">
        <f t="shared" si="11"/>
        <v>0</v>
      </c>
      <c r="AE41" s="63">
        <f t="shared" si="11"/>
        <v>0</v>
      </c>
      <c r="AF41" s="63">
        <f t="shared" si="12"/>
        <v>182077169.90307674</v>
      </c>
      <c r="AG41" s="58" t="str">
        <f t="shared" si="13"/>
        <v>ok</v>
      </c>
    </row>
    <row r="42" spans="1:33">
      <c r="A42" s="272"/>
      <c r="B42" s="42" t="s">
        <v>297</v>
      </c>
      <c r="C42" s="44" t="s">
        <v>872</v>
      </c>
      <c r="D42" s="44" t="s">
        <v>873</v>
      </c>
      <c r="F42" s="79">
        <v>41665745.640769236</v>
      </c>
      <c r="H42" s="63">
        <f t="shared" si="10"/>
        <v>0</v>
      </c>
      <c r="I42" s="63">
        <f t="shared" si="10"/>
        <v>0</v>
      </c>
      <c r="J42" s="63">
        <f t="shared" si="10"/>
        <v>0</v>
      </c>
      <c r="K42" s="63">
        <f t="shared" si="10"/>
        <v>0</v>
      </c>
      <c r="L42" s="63">
        <f t="shared" si="10"/>
        <v>0</v>
      </c>
      <c r="M42" s="63">
        <f t="shared" si="10"/>
        <v>0</v>
      </c>
      <c r="N42" s="63">
        <f t="shared" si="10"/>
        <v>0</v>
      </c>
      <c r="O42" s="63">
        <f t="shared" si="10"/>
        <v>0</v>
      </c>
      <c r="P42" s="63">
        <f t="shared" si="10"/>
        <v>0</v>
      </c>
      <c r="Q42" s="63">
        <f t="shared" si="10"/>
        <v>0</v>
      </c>
      <c r="R42" s="63">
        <f t="shared" si="11"/>
        <v>0</v>
      </c>
      <c r="S42" s="63">
        <f t="shared" si="11"/>
        <v>0</v>
      </c>
      <c r="T42" s="63">
        <f t="shared" si="11"/>
        <v>0</v>
      </c>
      <c r="U42" s="63">
        <f t="shared" si="11"/>
        <v>0</v>
      </c>
      <c r="V42" s="63">
        <f t="shared" si="11"/>
        <v>0</v>
      </c>
      <c r="W42" s="63">
        <f t="shared" si="11"/>
        <v>0</v>
      </c>
      <c r="X42" s="63">
        <f t="shared" si="11"/>
        <v>0</v>
      </c>
      <c r="Y42" s="63">
        <f t="shared" si="11"/>
        <v>0</v>
      </c>
      <c r="Z42" s="63">
        <f t="shared" si="11"/>
        <v>41665745.640769236</v>
      </c>
      <c r="AA42" s="63">
        <f t="shared" si="11"/>
        <v>0</v>
      </c>
      <c r="AB42" s="63">
        <f t="shared" si="11"/>
        <v>0</v>
      </c>
      <c r="AC42" s="63">
        <f t="shared" si="11"/>
        <v>0</v>
      </c>
      <c r="AD42" s="63">
        <f t="shared" si="11"/>
        <v>0</v>
      </c>
      <c r="AE42" s="63">
        <f t="shared" si="11"/>
        <v>0</v>
      </c>
      <c r="AF42" s="63">
        <f t="shared" si="12"/>
        <v>41665745.640769236</v>
      </c>
      <c r="AG42" s="58" t="str">
        <f t="shared" si="13"/>
        <v>ok</v>
      </c>
    </row>
    <row r="43" spans="1:33">
      <c r="A43" s="272"/>
      <c r="B43" s="42" t="s">
        <v>298</v>
      </c>
      <c r="C43" s="44" t="s">
        <v>874</v>
      </c>
      <c r="D43" s="44" t="s">
        <v>875</v>
      </c>
      <c r="F43" s="79">
        <v>42308484.608643189</v>
      </c>
      <c r="H43" s="63">
        <f t="shared" si="10"/>
        <v>0</v>
      </c>
      <c r="I43" s="63">
        <f t="shared" si="10"/>
        <v>0</v>
      </c>
      <c r="J43" s="63">
        <f t="shared" si="10"/>
        <v>0</v>
      </c>
      <c r="K43" s="63">
        <f t="shared" si="10"/>
        <v>0</v>
      </c>
      <c r="L43" s="63">
        <f t="shared" si="10"/>
        <v>0</v>
      </c>
      <c r="M43" s="63">
        <f t="shared" si="10"/>
        <v>0</v>
      </c>
      <c r="N43" s="63">
        <f t="shared" si="10"/>
        <v>0</v>
      </c>
      <c r="O43" s="63">
        <f t="shared" si="10"/>
        <v>0</v>
      </c>
      <c r="P43" s="63">
        <f t="shared" si="10"/>
        <v>0</v>
      </c>
      <c r="Q43" s="63">
        <f t="shared" si="10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  <c r="V43" s="63">
        <f t="shared" si="11"/>
        <v>0</v>
      </c>
      <c r="W43" s="63">
        <f t="shared" si="11"/>
        <v>0</v>
      </c>
      <c r="X43" s="63">
        <f t="shared" si="11"/>
        <v>0</v>
      </c>
      <c r="Y43" s="63">
        <f t="shared" si="11"/>
        <v>0</v>
      </c>
      <c r="Z43" s="63">
        <f t="shared" si="11"/>
        <v>0</v>
      </c>
      <c r="AA43" s="63">
        <f t="shared" si="11"/>
        <v>42308484.608643189</v>
      </c>
      <c r="AB43" s="63">
        <f t="shared" si="11"/>
        <v>0</v>
      </c>
      <c r="AC43" s="63">
        <f t="shared" si="11"/>
        <v>0</v>
      </c>
      <c r="AD43" s="63">
        <f t="shared" si="11"/>
        <v>0</v>
      </c>
      <c r="AE43" s="63">
        <f t="shared" si="11"/>
        <v>0</v>
      </c>
      <c r="AF43" s="63">
        <f t="shared" si="12"/>
        <v>42308484.608643189</v>
      </c>
      <c r="AG43" s="58" t="str">
        <f t="shared" si="13"/>
        <v>ok</v>
      </c>
    </row>
    <row r="44" spans="1:33">
      <c r="A44" s="272"/>
      <c r="B44" s="42" t="s">
        <v>299</v>
      </c>
      <c r="C44" s="44" t="s">
        <v>876</v>
      </c>
      <c r="D44" s="44" t="s">
        <v>875</v>
      </c>
      <c r="F44" s="79">
        <v>183387.579999999</v>
      </c>
      <c r="H44" s="63">
        <f t="shared" si="10"/>
        <v>0</v>
      </c>
      <c r="I44" s="63">
        <f t="shared" si="10"/>
        <v>0</v>
      </c>
      <c r="J44" s="63">
        <f t="shared" si="10"/>
        <v>0</v>
      </c>
      <c r="K44" s="63">
        <f t="shared" si="10"/>
        <v>0</v>
      </c>
      <c r="L44" s="63">
        <f t="shared" si="10"/>
        <v>0</v>
      </c>
      <c r="M44" s="63">
        <f t="shared" si="10"/>
        <v>0</v>
      </c>
      <c r="N44" s="63">
        <f t="shared" si="10"/>
        <v>0</v>
      </c>
      <c r="O44" s="63">
        <f t="shared" si="10"/>
        <v>0</v>
      </c>
      <c r="P44" s="63">
        <f t="shared" si="10"/>
        <v>0</v>
      </c>
      <c r="Q44" s="63">
        <f t="shared" si="10"/>
        <v>0</v>
      </c>
      <c r="R44" s="63">
        <f t="shared" si="11"/>
        <v>0</v>
      </c>
      <c r="S44" s="63">
        <f t="shared" si="11"/>
        <v>0</v>
      </c>
      <c r="T44" s="63">
        <f t="shared" si="11"/>
        <v>0</v>
      </c>
      <c r="U44" s="63">
        <f t="shared" si="11"/>
        <v>0</v>
      </c>
      <c r="V44" s="63">
        <f t="shared" si="11"/>
        <v>0</v>
      </c>
      <c r="W44" s="63">
        <f t="shared" si="11"/>
        <v>0</v>
      </c>
      <c r="X44" s="63">
        <f t="shared" si="11"/>
        <v>0</v>
      </c>
      <c r="Y44" s="63">
        <f t="shared" si="11"/>
        <v>0</v>
      </c>
      <c r="Z44" s="63">
        <f t="shared" si="11"/>
        <v>0</v>
      </c>
      <c r="AA44" s="63">
        <f t="shared" si="11"/>
        <v>183387.579999999</v>
      </c>
      <c r="AB44" s="63">
        <f t="shared" si="11"/>
        <v>0</v>
      </c>
      <c r="AC44" s="63">
        <f t="shared" si="11"/>
        <v>0</v>
      </c>
      <c r="AD44" s="63">
        <f t="shared" si="11"/>
        <v>0</v>
      </c>
      <c r="AE44" s="63">
        <f t="shared" si="11"/>
        <v>0</v>
      </c>
      <c r="AF44" s="63">
        <f t="shared" si="12"/>
        <v>183387.579999999</v>
      </c>
      <c r="AG44" s="58" t="str">
        <f t="shared" si="13"/>
        <v>ok</v>
      </c>
    </row>
    <row r="45" spans="1:33">
      <c r="A45" s="272"/>
      <c r="B45" s="42" t="s">
        <v>300</v>
      </c>
      <c r="C45" s="44" t="s">
        <v>877</v>
      </c>
      <c r="D45" s="44" t="s">
        <v>878</v>
      </c>
      <c r="F45" s="79">
        <v>137373833.87692291</v>
      </c>
      <c r="H45" s="63">
        <f t="shared" si="10"/>
        <v>0</v>
      </c>
      <c r="I45" s="63">
        <f t="shared" si="10"/>
        <v>0</v>
      </c>
      <c r="J45" s="63">
        <f t="shared" si="10"/>
        <v>0</v>
      </c>
      <c r="K45" s="63">
        <f t="shared" si="10"/>
        <v>0</v>
      </c>
      <c r="L45" s="63">
        <f t="shared" si="10"/>
        <v>0</v>
      </c>
      <c r="M45" s="63">
        <f t="shared" si="10"/>
        <v>0</v>
      </c>
      <c r="N45" s="63">
        <f t="shared" si="10"/>
        <v>0</v>
      </c>
      <c r="O45" s="63">
        <f t="shared" si="10"/>
        <v>0</v>
      </c>
      <c r="P45" s="63">
        <f t="shared" si="10"/>
        <v>0</v>
      </c>
      <c r="Q45" s="63">
        <f t="shared" si="10"/>
        <v>0</v>
      </c>
      <c r="R45" s="63">
        <f t="shared" si="11"/>
        <v>0</v>
      </c>
      <c r="S45" s="63">
        <f t="shared" si="11"/>
        <v>0</v>
      </c>
      <c r="T45" s="63">
        <f t="shared" si="11"/>
        <v>0</v>
      </c>
      <c r="U45" s="63">
        <f t="shared" si="11"/>
        <v>0</v>
      </c>
      <c r="V45" s="63">
        <f t="shared" si="11"/>
        <v>0</v>
      </c>
      <c r="W45" s="63">
        <f t="shared" si="11"/>
        <v>0</v>
      </c>
      <c r="X45" s="63">
        <f t="shared" si="11"/>
        <v>0</v>
      </c>
      <c r="Y45" s="63">
        <f t="shared" si="11"/>
        <v>0</v>
      </c>
      <c r="Z45" s="63">
        <f t="shared" si="11"/>
        <v>0</v>
      </c>
      <c r="AA45" s="63">
        <f t="shared" si="11"/>
        <v>0</v>
      </c>
      <c r="AB45" s="63">
        <f t="shared" si="11"/>
        <v>137373833.87692291</v>
      </c>
      <c r="AC45" s="63">
        <f t="shared" si="11"/>
        <v>0</v>
      </c>
      <c r="AD45" s="63">
        <f t="shared" si="11"/>
        <v>0</v>
      </c>
      <c r="AE45" s="63">
        <f t="shared" si="11"/>
        <v>0</v>
      </c>
      <c r="AF45" s="63">
        <f t="shared" si="12"/>
        <v>137373833.87692291</v>
      </c>
      <c r="AG45" s="58" t="str">
        <f t="shared" si="13"/>
        <v>ok</v>
      </c>
    </row>
    <row r="46" spans="1:33">
      <c r="A46" s="272"/>
      <c r="B46" s="42" t="s">
        <v>839</v>
      </c>
      <c r="C46" s="60" t="s">
        <v>1180</v>
      </c>
      <c r="D46" s="60" t="s">
        <v>867</v>
      </c>
      <c r="F46" s="79">
        <v>0</v>
      </c>
      <c r="H46" s="63">
        <f t="shared" si="10"/>
        <v>0</v>
      </c>
      <c r="I46" s="63">
        <f t="shared" si="10"/>
        <v>0</v>
      </c>
      <c r="J46" s="63">
        <f t="shared" si="10"/>
        <v>0</v>
      </c>
      <c r="K46" s="63">
        <f t="shared" si="10"/>
        <v>0</v>
      </c>
      <c r="L46" s="63">
        <f t="shared" si="10"/>
        <v>0</v>
      </c>
      <c r="M46" s="63">
        <f t="shared" si="10"/>
        <v>0</v>
      </c>
      <c r="N46" s="63">
        <f t="shared" si="10"/>
        <v>0</v>
      </c>
      <c r="O46" s="63">
        <f t="shared" si="10"/>
        <v>0</v>
      </c>
      <c r="P46" s="63">
        <f t="shared" si="10"/>
        <v>0</v>
      </c>
      <c r="Q46" s="63">
        <f t="shared" si="10"/>
        <v>0</v>
      </c>
      <c r="R46" s="63">
        <f t="shared" si="11"/>
        <v>0</v>
      </c>
      <c r="S46" s="63">
        <f t="shared" si="11"/>
        <v>0</v>
      </c>
      <c r="T46" s="63">
        <f t="shared" si="11"/>
        <v>0</v>
      </c>
      <c r="U46" s="63">
        <f t="shared" si="11"/>
        <v>0</v>
      </c>
      <c r="V46" s="63">
        <f t="shared" si="11"/>
        <v>0</v>
      </c>
      <c r="W46" s="63">
        <f t="shared" si="11"/>
        <v>0</v>
      </c>
      <c r="X46" s="63">
        <f t="shared" si="11"/>
        <v>0</v>
      </c>
      <c r="Y46" s="63">
        <f t="shared" si="11"/>
        <v>0</v>
      </c>
      <c r="Z46" s="63">
        <f t="shared" si="11"/>
        <v>0</v>
      </c>
      <c r="AA46" s="63">
        <f t="shared" si="11"/>
        <v>0</v>
      </c>
      <c r="AB46" s="63">
        <f t="shared" si="11"/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>SUM(H46:AE46)</f>
        <v>0</v>
      </c>
      <c r="AG46" s="58" t="str">
        <f t="shared" si="13"/>
        <v>ok</v>
      </c>
    </row>
    <row r="47" spans="1:33">
      <c r="A47" s="60"/>
      <c r="B47" s="60"/>
      <c r="W47" s="44"/>
      <c r="AF47" s="63"/>
      <c r="AG47" s="58"/>
    </row>
    <row r="48" spans="1:33" ht="14.1">
      <c r="A48" s="60"/>
      <c r="B48" s="65" t="s">
        <v>879</v>
      </c>
      <c r="C48" s="44" t="s">
        <v>859</v>
      </c>
      <c r="F48" s="76">
        <f>SUM(F38:F47)</f>
        <v>1786682454.6940265</v>
      </c>
      <c r="G48" s="66"/>
      <c r="H48" s="62">
        <f t="shared" ref="H48:M48" si="14">SUM(H38:H47)</f>
        <v>0</v>
      </c>
      <c r="I48" s="62">
        <f t="shared" si="14"/>
        <v>0</v>
      </c>
      <c r="J48" s="62">
        <f t="shared" si="14"/>
        <v>0</v>
      </c>
      <c r="K48" s="62">
        <f t="shared" si="14"/>
        <v>0</v>
      </c>
      <c r="L48" s="62">
        <f t="shared" si="14"/>
        <v>0</v>
      </c>
      <c r="M48" s="62">
        <f t="shared" si="14"/>
        <v>0</v>
      </c>
      <c r="N48" s="62">
        <f>SUM(N38:N47)</f>
        <v>0</v>
      </c>
      <c r="O48" s="62">
        <f>SUM(O38:O47)</f>
        <v>0</v>
      </c>
      <c r="P48" s="62">
        <f>SUM(P38:P47)</f>
        <v>0</v>
      </c>
      <c r="Q48" s="62">
        <f t="shared" ref="Q48:AE48" si="15">SUM(Q38:Q47)</f>
        <v>0</v>
      </c>
      <c r="R48" s="62">
        <f t="shared" si="15"/>
        <v>222802328.53999999</v>
      </c>
      <c r="S48" s="62">
        <f t="shared" si="15"/>
        <v>0</v>
      </c>
      <c r="T48" s="62">
        <f t="shared" si="15"/>
        <v>342041384.40241784</v>
      </c>
      <c r="U48" s="62">
        <f>SUM(U38:U47)</f>
        <v>559726383.01709938</v>
      </c>
      <c r="V48" s="62">
        <f>SUM(V38:V47)</f>
        <v>95432667.516435459</v>
      </c>
      <c r="W48" s="62">
        <f>SUM(W38:W47)</f>
        <v>163071069.60866195</v>
      </c>
      <c r="X48" s="62">
        <f t="shared" si="15"/>
        <v>116910392.70901713</v>
      </c>
      <c r="Y48" s="62">
        <f t="shared" si="15"/>
        <v>65166777.19405961</v>
      </c>
      <c r="Z48" s="62">
        <f>SUM(Z38:Z47)</f>
        <v>41665745.640769236</v>
      </c>
      <c r="AA48" s="62">
        <f>SUM(AA38:AA47)</f>
        <v>42491872.188643187</v>
      </c>
      <c r="AB48" s="62">
        <f t="shared" si="15"/>
        <v>137373833.87692291</v>
      </c>
      <c r="AC48" s="62">
        <f t="shared" si="15"/>
        <v>0</v>
      </c>
      <c r="AD48" s="62">
        <f t="shared" si="15"/>
        <v>0</v>
      </c>
      <c r="AE48" s="62">
        <f t="shared" si="15"/>
        <v>0</v>
      </c>
      <c r="AF48" s="63">
        <f>SUM(H48:AE48)</f>
        <v>1786682454.6940265</v>
      </c>
      <c r="AG48" s="58" t="str">
        <f>IF(ABS(AF48-F48)&lt;1,"ok","err")</f>
        <v>ok</v>
      </c>
    </row>
    <row r="49" spans="1:33">
      <c r="A49" s="60"/>
      <c r="B49" s="60"/>
      <c r="W49" s="44"/>
      <c r="AG49" s="58"/>
    </row>
    <row r="50" spans="1:33" ht="14.1">
      <c r="A50" s="60"/>
      <c r="B50" s="65" t="s">
        <v>816</v>
      </c>
      <c r="C50" s="44" t="s">
        <v>1087</v>
      </c>
      <c r="F50" s="80">
        <f>F29+F35+F48</f>
        <v>6040052312.0355511</v>
      </c>
      <c r="G50" s="64"/>
      <c r="H50" s="80">
        <f>H29+H35+H48</f>
        <v>3687073271.8653712</v>
      </c>
      <c r="I50" s="80">
        <f>I29+I35+I48</f>
        <v>0</v>
      </c>
      <c r="J50" s="80">
        <f>J29+J35+J48</f>
        <v>0</v>
      </c>
      <c r="K50" s="80">
        <f>K29+K35+K48</f>
        <v>0</v>
      </c>
      <c r="L50" s="64">
        <f>L29+L33+L48</f>
        <v>0</v>
      </c>
      <c r="M50" s="64">
        <f>M29+M33+M48</f>
        <v>0</v>
      </c>
      <c r="N50" s="80">
        <f>N29+N35+N48</f>
        <v>566296585.47615314</v>
      </c>
      <c r="O50" s="80">
        <f>O29+O35+O48</f>
        <v>0</v>
      </c>
      <c r="P50" s="80">
        <f>P29+P35+P48</f>
        <v>0</v>
      </c>
      <c r="Q50" s="64">
        <f>Q29+Q33+Q48</f>
        <v>0</v>
      </c>
      <c r="R50" s="80">
        <f t="shared" ref="R50:AE50" si="16">R29+R35+R48</f>
        <v>222802328.53999999</v>
      </c>
      <c r="S50" s="80">
        <f t="shared" si="16"/>
        <v>0</v>
      </c>
      <c r="T50" s="80">
        <f t="shared" si="16"/>
        <v>342041384.40241784</v>
      </c>
      <c r="U50" s="80">
        <f t="shared" si="16"/>
        <v>559726383.01709938</v>
      </c>
      <c r="V50" s="80">
        <f t="shared" si="16"/>
        <v>95432667.516435459</v>
      </c>
      <c r="W50" s="80">
        <f t="shared" si="16"/>
        <v>163071069.60866195</v>
      </c>
      <c r="X50" s="80">
        <f t="shared" si="16"/>
        <v>116910392.70901713</v>
      </c>
      <c r="Y50" s="80">
        <f t="shared" si="16"/>
        <v>65166777.19405961</v>
      </c>
      <c r="Z50" s="80">
        <f t="shared" si="16"/>
        <v>41665745.640769236</v>
      </c>
      <c r="AA50" s="80">
        <f t="shared" si="16"/>
        <v>42491872.188643187</v>
      </c>
      <c r="AB50" s="80">
        <f t="shared" si="16"/>
        <v>137373833.87692291</v>
      </c>
      <c r="AC50" s="80">
        <f t="shared" si="16"/>
        <v>0</v>
      </c>
      <c r="AD50" s="80">
        <f t="shared" si="16"/>
        <v>0</v>
      </c>
      <c r="AE50" s="80">
        <f t="shared" si="16"/>
        <v>0</v>
      </c>
      <c r="AF50" s="63">
        <f>SUM(H50:AE50)</f>
        <v>6040052312.0355501</v>
      </c>
      <c r="AG50" s="58" t="str">
        <f>IF(ABS(AF50-F50)&lt;1,"ok","err")</f>
        <v>ok</v>
      </c>
    </row>
    <row r="51" spans="1:33">
      <c r="A51" s="60"/>
      <c r="B51" s="60"/>
      <c r="W51" s="44"/>
      <c r="AG51" s="58"/>
    </row>
    <row r="52" spans="1:33">
      <c r="A52" s="60"/>
      <c r="B52" s="60"/>
      <c r="F52" s="80"/>
      <c r="W52" s="44"/>
      <c r="AG52" s="58"/>
    </row>
    <row r="53" spans="1:33">
      <c r="A53" s="60"/>
      <c r="B53" s="60"/>
      <c r="F53" s="80"/>
      <c r="W53" s="44"/>
      <c r="AG53" s="58"/>
    </row>
    <row r="54" spans="1:33">
      <c r="A54" s="60"/>
      <c r="B54" s="60"/>
      <c r="W54" s="44"/>
      <c r="AG54" s="58"/>
    </row>
    <row r="55" spans="1:33">
      <c r="A55" s="60"/>
      <c r="B55" s="60"/>
      <c r="W55" s="44"/>
      <c r="AG55" s="58"/>
    </row>
    <row r="56" spans="1:33" ht="14.1">
      <c r="A56" s="59" t="s">
        <v>1064</v>
      </c>
      <c r="B56" s="60"/>
      <c r="W56" s="44"/>
      <c r="AG56" s="58"/>
    </row>
    <row r="57" spans="1:33">
      <c r="A57" s="60"/>
      <c r="B57" s="60"/>
      <c r="F57" s="80"/>
      <c r="W57" s="44"/>
      <c r="AG57" s="58"/>
    </row>
    <row r="58" spans="1:33" ht="14.1">
      <c r="A58" s="59" t="s">
        <v>880</v>
      </c>
      <c r="B58" s="60"/>
      <c r="F58" s="80"/>
      <c r="W58" s="44"/>
      <c r="AG58" s="58"/>
    </row>
    <row r="59" spans="1:33">
      <c r="A59" s="60"/>
      <c r="B59" s="60"/>
      <c r="W59" s="44"/>
      <c r="AF59" s="63"/>
      <c r="AG59" s="58"/>
    </row>
    <row r="60" spans="1:33">
      <c r="A60" s="60"/>
      <c r="B60" s="60" t="s">
        <v>881</v>
      </c>
      <c r="C60" s="44" t="s">
        <v>882</v>
      </c>
      <c r="D60" s="44" t="s">
        <v>1087</v>
      </c>
      <c r="F60" s="76">
        <v>21026364.709230766</v>
      </c>
      <c r="G60" s="62"/>
      <c r="H60" s="63">
        <f t="shared" ref="H60:AE60" si="17">IF(VLOOKUP($D60,$C$6:$AE$653,H$2,)=0,0,((VLOOKUP($D60,$C$6:$AE$653,H$2,)/VLOOKUP($D60,$C$6:$AE$653,4,))*$F60))</f>
        <v>12835277.464305799</v>
      </c>
      <c r="I60" s="63">
        <f t="shared" si="17"/>
        <v>0</v>
      </c>
      <c r="J60" s="63">
        <f t="shared" si="17"/>
        <v>0</v>
      </c>
      <c r="K60" s="63">
        <f t="shared" si="17"/>
        <v>0</v>
      </c>
      <c r="L60" s="63">
        <f t="shared" si="17"/>
        <v>0</v>
      </c>
      <c r="M60" s="63">
        <f t="shared" si="17"/>
        <v>0</v>
      </c>
      <c r="N60" s="63">
        <f t="shared" si="17"/>
        <v>1971366.7903317963</v>
      </c>
      <c r="O60" s="63">
        <f t="shared" si="17"/>
        <v>0</v>
      </c>
      <c r="P60" s="63">
        <f t="shared" si="17"/>
        <v>0</v>
      </c>
      <c r="Q60" s="63">
        <f t="shared" si="17"/>
        <v>0</v>
      </c>
      <c r="R60" s="63">
        <f t="shared" si="17"/>
        <v>775609.67619651312</v>
      </c>
      <c r="S60" s="63">
        <f t="shared" si="17"/>
        <v>0</v>
      </c>
      <c r="T60" s="63">
        <f t="shared" si="17"/>
        <v>1190699.4381099497</v>
      </c>
      <c r="U60" s="63">
        <f t="shared" si="17"/>
        <v>1948494.8902255218</v>
      </c>
      <c r="V60" s="63">
        <f t="shared" si="17"/>
        <v>332216.00885424932</v>
      </c>
      <c r="W60" s="63">
        <f t="shared" si="17"/>
        <v>567675.84219159686</v>
      </c>
      <c r="X60" s="63">
        <f t="shared" si="17"/>
        <v>406983.32206509518</v>
      </c>
      <c r="Y60" s="63">
        <f t="shared" si="17"/>
        <v>226855.72134485419</v>
      </c>
      <c r="Z60" s="63">
        <f t="shared" si="17"/>
        <v>145044.96293503285</v>
      </c>
      <c r="AA60" s="63">
        <f t="shared" si="17"/>
        <v>147920.83837355557</v>
      </c>
      <c r="AB60" s="63">
        <f t="shared" si="17"/>
        <v>478219.7542968003</v>
      </c>
      <c r="AC60" s="63">
        <f t="shared" si="17"/>
        <v>0</v>
      </c>
      <c r="AD60" s="63">
        <f t="shared" si="17"/>
        <v>0</v>
      </c>
      <c r="AE60" s="63">
        <f t="shared" si="17"/>
        <v>0</v>
      </c>
      <c r="AF60" s="63">
        <f>SUM(H60:AE60)</f>
        <v>21026364.709230766</v>
      </c>
      <c r="AG60" s="58" t="str">
        <f>IF(ABS(AF60-F60)&lt;1,"ok","err")</f>
        <v>ok</v>
      </c>
    </row>
    <row r="61" spans="1:33">
      <c r="A61" s="60"/>
      <c r="B61" s="60"/>
      <c r="F61" s="80"/>
      <c r="O61" s="63"/>
      <c r="P61" s="63"/>
      <c r="W61" s="44"/>
      <c r="AF61" s="63"/>
      <c r="AG61" s="58"/>
    </row>
    <row r="62" spans="1:33">
      <c r="A62" s="60"/>
      <c r="B62" s="60" t="s">
        <v>192</v>
      </c>
      <c r="C62" s="44" t="s">
        <v>193</v>
      </c>
      <c r="D62" s="44" t="s">
        <v>1087</v>
      </c>
      <c r="F62" s="76">
        <v>231173766.98206067</v>
      </c>
      <c r="H62" s="63">
        <f t="shared" ref="H62:Q67" si="18">IF(VLOOKUP($D62,$C$6:$AE$653,H$2,)=0,0,((VLOOKUP($D62,$C$6:$AE$653,H$2,)/VLOOKUP($D62,$C$6:$AE$653,4,))*$F62))</f>
        <v>141117091.93272504</v>
      </c>
      <c r="I62" s="63">
        <f t="shared" si="18"/>
        <v>0</v>
      </c>
      <c r="J62" s="63">
        <f t="shared" si="18"/>
        <v>0</v>
      </c>
      <c r="K62" s="63">
        <f t="shared" si="18"/>
        <v>0</v>
      </c>
      <c r="L62" s="63">
        <f t="shared" si="18"/>
        <v>0</v>
      </c>
      <c r="M62" s="63">
        <f t="shared" si="18"/>
        <v>0</v>
      </c>
      <c r="N62" s="63">
        <f t="shared" si="18"/>
        <v>21674135.939640898</v>
      </c>
      <c r="O62" s="63">
        <f t="shared" si="18"/>
        <v>0</v>
      </c>
      <c r="P62" s="63">
        <f t="shared" si="18"/>
        <v>0</v>
      </c>
      <c r="Q62" s="63">
        <f t="shared" si="18"/>
        <v>0</v>
      </c>
      <c r="R62" s="63">
        <f t="shared" ref="R62:AE67" si="19">IF(VLOOKUP($D62,$C$6:$AE$653,R$2,)=0,0,((VLOOKUP($D62,$C$6:$AE$653,R$2,)/VLOOKUP($D62,$C$6:$AE$653,4,))*$F62))</f>
        <v>8527418.4593292847</v>
      </c>
      <c r="S62" s="63">
        <f t="shared" si="19"/>
        <v>0</v>
      </c>
      <c r="T62" s="63">
        <f t="shared" si="19"/>
        <v>13091111.005530076</v>
      </c>
      <c r="U62" s="63">
        <f t="shared" si="19"/>
        <v>21422671.48638314</v>
      </c>
      <c r="V62" s="63">
        <f t="shared" si="19"/>
        <v>3652539.4323093188</v>
      </c>
      <c r="W62" s="63">
        <f t="shared" si="19"/>
        <v>6241295.8530360367</v>
      </c>
      <c r="X62" s="63">
        <f t="shared" si="19"/>
        <v>4474566.5245384807</v>
      </c>
      <c r="Y62" s="63">
        <f t="shared" si="19"/>
        <v>2494158.7568724905</v>
      </c>
      <c r="Z62" s="63">
        <f t="shared" si="19"/>
        <v>1594692.7073297019</v>
      </c>
      <c r="AA62" s="63">
        <f t="shared" si="19"/>
        <v>1626311.4377991974</v>
      </c>
      <c r="AB62" s="63">
        <f t="shared" si="19"/>
        <v>5257773.4465669924</v>
      </c>
      <c r="AC62" s="63">
        <f t="shared" si="19"/>
        <v>0</v>
      </c>
      <c r="AD62" s="63">
        <f t="shared" si="19"/>
        <v>0</v>
      </c>
      <c r="AE62" s="63">
        <f t="shared" si="19"/>
        <v>0</v>
      </c>
      <c r="AF62" s="63">
        <f t="shared" ref="AF62:AF67" si="20">SUM(H62:AE62)</f>
        <v>231173766.9820607</v>
      </c>
      <c r="AG62" s="58" t="str">
        <f t="shared" ref="AG62:AG67" si="21">IF(ABS(AF62-F62)&lt;1,"ok","err")</f>
        <v>ok</v>
      </c>
    </row>
    <row r="63" spans="1:33">
      <c r="A63" s="61">
        <v>106</v>
      </c>
      <c r="B63" s="60" t="s">
        <v>1062</v>
      </c>
      <c r="C63" s="44" t="s">
        <v>1063</v>
      </c>
      <c r="D63" s="44" t="s">
        <v>1087</v>
      </c>
      <c r="F63" s="79">
        <v>0</v>
      </c>
      <c r="H63" s="63">
        <f t="shared" si="18"/>
        <v>0</v>
      </c>
      <c r="I63" s="63">
        <f t="shared" si="18"/>
        <v>0</v>
      </c>
      <c r="J63" s="63">
        <f t="shared" si="18"/>
        <v>0</v>
      </c>
      <c r="K63" s="63">
        <f t="shared" si="18"/>
        <v>0</v>
      </c>
      <c r="L63" s="63">
        <f t="shared" si="18"/>
        <v>0</v>
      </c>
      <c r="M63" s="63">
        <f t="shared" si="18"/>
        <v>0</v>
      </c>
      <c r="N63" s="63">
        <f t="shared" si="18"/>
        <v>0</v>
      </c>
      <c r="O63" s="63">
        <f t="shared" si="18"/>
        <v>0</v>
      </c>
      <c r="P63" s="63">
        <f t="shared" si="18"/>
        <v>0</v>
      </c>
      <c r="Q63" s="63">
        <f t="shared" si="18"/>
        <v>0</v>
      </c>
      <c r="R63" s="63">
        <f t="shared" si="19"/>
        <v>0</v>
      </c>
      <c r="S63" s="63">
        <f t="shared" si="19"/>
        <v>0</v>
      </c>
      <c r="T63" s="63">
        <f t="shared" si="19"/>
        <v>0</v>
      </c>
      <c r="U63" s="63">
        <f t="shared" si="19"/>
        <v>0</v>
      </c>
      <c r="V63" s="63">
        <f t="shared" si="19"/>
        <v>0</v>
      </c>
      <c r="W63" s="63">
        <f t="shared" si="19"/>
        <v>0</v>
      </c>
      <c r="X63" s="63">
        <f t="shared" si="19"/>
        <v>0</v>
      </c>
      <c r="Y63" s="63">
        <f t="shared" si="19"/>
        <v>0</v>
      </c>
      <c r="Z63" s="63">
        <f t="shared" si="19"/>
        <v>0</v>
      </c>
      <c r="AA63" s="63">
        <f t="shared" si="19"/>
        <v>0</v>
      </c>
      <c r="AB63" s="63">
        <f t="shared" si="19"/>
        <v>0</v>
      </c>
      <c r="AC63" s="63">
        <f t="shared" si="19"/>
        <v>0</v>
      </c>
      <c r="AD63" s="63">
        <f t="shared" si="19"/>
        <v>0</v>
      </c>
      <c r="AE63" s="63">
        <f t="shared" si="19"/>
        <v>0</v>
      </c>
      <c r="AF63" s="63">
        <f t="shared" si="20"/>
        <v>0</v>
      </c>
      <c r="AG63" s="58" t="str">
        <f t="shared" si="21"/>
        <v>ok</v>
      </c>
    </row>
    <row r="64" spans="1:33">
      <c r="A64" s="61">
        <v>105</v>
      </c>
      <c r="B64" s="60" t="s">
        <v>1172</v>
      </c>
      <c r="C64" s="44" t="s">
        <v>139</v>
      </c>
      <c r="D64" s="44" t="s">
        <v>859</v>
      </c>
      <c r="F64" s="79">
        <f>3120150-F65</f>
        <v>2908740</v>
      </c>
      <c r="H64" s="63">
        <f t="shared" si="18"/>
        <v>0</v>
      </c>
      <c r="I64" s="63">
        <f t="shared" si="18"/>
        <v>0</v>
      </c>
      <c r="J64" s="63">
        <f t="shared" si="18"/>
        <v>0</v>
      </c>
      <c r="K64" s="63">
        <f t="shared" si="18"/>
        <v>0</v>
      </c>
      <c r="L64" s="63">
        <f t="shared" si="18"/>
        <v>0</v>
      </c>
      <c r="M64" s="63">
        <f t="shared" si="18"/>
        <v>0</v>
      </c>
      <c r="N64" s="63">
        <f t="shared" si="18"/>
        <v>0</v>
      </c>
      <c r="O64" s="63">
        <f t="shared" si="18"/>
        <v>0</v>
      </c>
      <c r="P64" s="63">
        <f t="shared" si="18"/>
        <v>0</v>
      </c>
      <c r="Q64" s="63">
        <f t="shared" si="18"/>
        <v>0</v>
      </c>
      <c r="R64" s="63">
        <f t="shared" si="19"/>
        <v>362724.80507926841</v>
      </c>
      <c r="S64" s="63">
        <f t="shared" si="19"/>
        <v>0</v>
      </c>
      <c r="T64" s="63">
        <f t="shared" si="19"/>
        <v>556847.38709602959</v>
      </c>
      <c r="U64" s="63">
        <f t="shared" si="19"/>
        <v>911241.11901349225</v>
      </c>
      <c r="V64" s="63">
        <f t="shared" si="19"/>
        <v>155365.50246098108</v>
      </c>
      <c r="W64" s="63">
        <f t="shared" si="19"/>
        <v>265481.61469169951</v>
      </c>
      <c r="X64" s="63">
        <f t="shared" si="19"/>
        <v>190331.49108002119</v>
      </c>
      <c r="Y64" s="63">
        <f t="shared" si="19"/>
        <v>106092.27789607996</v>
      </c>
      <c r="Z64" s="63">
        <f t="shared" si="19"/>
        <v>67832.322781658469</v>
      </c>
      <c r="AA64" s="63">
        <f t="shared" si="19"/>
        <v>69177.266494823445</v>
      </c>
      <c r="AB64" s="63">
        <f t="shared" si="19"/>
        <v>223646.21340594659</v>
      </c>
      <c r="AC64" s="63">
        <f t="shared" si="19"/>
        <v>0</v>
      </c>
      <c r="AD64" s="63">
        <f t="shared" si="19"/>
        <v>0</v>
      </c>
      <c r="AE64" s="63">
        <f t="shared" si="19"/>
        <v>0</v>
      </c>
      <c r="AF64" s="63">
        <f t="shared" si="20"/>
        <v>2908740.0000000005</v>
      </c>
      <c r="AG64" s="58" t="str">
        <f t="shared" si="21"/>
        <v>ok</v>
      </c>
    </row>
    <row r="65" spans="1:33">
      <c r="A65" s="61">
        <v>105</v>
      </c>
      <c r="B65" s="60" t="s">
        <v>1173</v>
      </c>
      <c r="C65" s="44" t="s">
        <v>139</v>
      </c>
      <c r="D65" s="44" t="s">
        <v>616</v>
      </c>
      <c r="F65" s="79">
        <v>211410</v>
      </c>
      <c r="H65" s="63">
        <f t="shared" si="18"/>
        <v>211410</v>
      </c>
      <c r="I65" s="63">
        <f t="shared" si="18"/>
        <v>0</v>
      </c>
      <c r="J65" s="63">
        <f t="shared" si="18"/>
        <v>0</v>
      </c>
      <c r="K65" s="63">
        <f t="shared" si="18"/>
        <v>0</v>
      </c>
      <c r="L65" s="63">
        <f t="shared" si="18"/>
        <v>0</v>
      </c>
      <c r="M65" s="63">
        <f t="shared" si="18"/>
        <v>0</v>
      </c>
      <c r="N65" s="63">
        <f t="shared" si="18"/>
        <v>0</v>
      </c>
      <c r="O65" s="63">
        <f t="shared" si="18"/>
        <v>0</v>
      </c>
      <c r="P65" s="63">
        <f t="shared" si="18"/>
        <v>0</v>
      </c>
      <c r="Q65" s="63">
        <f t="shared" si="18"/>
        <v>0</v>
      </c>
      <c r="R65" s="63">
        <f t="shared" si="19"/>
        <v>0</v>
      </c>
      <c r="S65" s="63">
        <f t="shared" si="19"/>
        <v>0</v>
      </c>
      <c r="T65" s="63">
        <f t="shared" si="19"/>
        <v>0</v>
      </c>
      <c r="U65" s="63">
        <f t="shared" si="19"/>
        <v>0</v>
      </c>
      <c r="V65" s="63">
        <f t="shared" si="19"/>
        <v>0</v>
      </c>
      <c r="W65" s="63">
        <f t="shared" si="19"/>
        <v>0</v>
      </c>
      <c r="X65" s="63">
        <f t="shared" si="19"/>
        <v>0</v>
      </c>
      <c r="Y65" s="63">
        <f t="shared" si="19"/>
        <v>0</v>
      </c>
      <c r="Z65" s="63">
        <f t="shared" si="19"/>
        <v>0</v>
      </c>
      <c r="AA65" s="63">
        <f t="shared" si="19"/>
        <v>0</v>
      </c>
      <c r="AB65" s="63">
        <f t="shared" si="19"/>
        <v>0</v>
      </c>
      <c r="AC65" s="63">
        <f t="shared" si="19"/>
        <v>0</v>
      </c>
      <c r="AD65" s="63">
        <f t="shared" si="19"/>
        <v>0</v>
      </c>
      <c r="AE65" s="63">
        <f t="shared" si="19"/>
        <v>0</v>
      </c>
      <c r="AF65" s="63">
        <f t="shared" si="20"/>
        <v>211410</v>
      </c>
      <c r="AG65" s="58" t="str">
        <f t="shared" si="21"/>
        <v>ok</v>
      </c>
    </row>
    <row r="66" spans="1:33">
      <c r="A66" s="60"/>
      <c r="B66" s="60" t="s">
        <v>714</v>
      </c>
      <c r="D66" s="44" t="s">
        <v>616</v>
      </c>
      <c r="F66" s="79">
        <v>0</v>
      </c>
      <c r="H66" s="63">
        <f t="shared" si="18"/>
        <v>0</v>
      </c>
      <c r="I66" s="63">
        <f t="shared" si="18"/>
        <v>0</v>
      </c>
      <c r="J66" s="63">
        <f t="shared" si="18"/>
        <v>0</v>
      </c>
      <c r="K66" s="63">
        <f t="shared" si="18"/>
        <v>0</v>
      </c>
      <c r="L66" s="63">
        <f t="shared" si="18"/>
        <v>0</v>
      </c>
      <c r="M66" s="63">
        <f t="shared" si="18"/>
        <v>0</v>
      </c>
      <c r="N66" s="63">
        <f t="shared" si="18"/>
        <v>0</v>
      </c>
      <c r="O66" s="63">
        <f t="shared" si="18"/>
        <v>0</v>
      </c>
      <c r="P66" s="63">
        <f t="shared" si="18"/>
        <v>0</v>
      </c>
      <c r="Q66" s="63">
        <f t="shared" si="18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20"/>
        <v>0</v>
      </c>
      <c r="AG66" s="58" t="str">
        <f t="shared" si="21"/>
        <v>ok</v>
      </c>
    </row>
    <row r="67" spans="1:33">
      <c r="A67" s="61"/>
      <c r="B67" s="60" t="s">
        <v>22</v>
      </c>
      <c r="D67" s="44" t="s">
        <v>859</v>
      </c>
      <c r="F67" s="76">
        <v>0</v>
      </c>
      <c r="H67" s="63">
        <f t="shared" si="18"/>
        <v>0</v>
      </c>
      <c r="I67" s="63">
        <f t="shared" si="18"/>
        <v>0</v>
      </c>
      <c r="J67" s="63">
        <f t="shared" si="18"/>
        <v>0</v>
      </c>
      <c r="K67" s="63">
        <f t="shared" si="18"/>
        <v>0</v>
      </c>
      <c r="L67" s="63">
        <f t="shared" si="18"/>
        <v>0</v>
      </c>
      <c r="M67" s="63">
        <f t="shared" si="18"/>
        <v>0</v>
      </c>
      <c r="N67" s="63">
        <f t="shared" si="18"/>
        <v>0</v>
      </c>
      <c r="O67" s="63">
        <f t="shared" si="18"/>
        <v>0</v>
      </c>
      <c r="P67" s="63">
        <f t="shared" si="18"/>
        <v>0</v>
      </c>
      <c r="Q67" s="63">
        <f t="shared" si="18"/>
        <v>0</v>
      </c>
      <c r="R67" s="63">
        <f t="shared" si="19"/>
        <v>0</v>
      </c>
      <c r="S67" s="63">
        <f t="shared" si="19"/>
        <v>0</v>
      </c>
      <c r="T67" s="63">
        <f t="shared" si="19"/>
        <v>0</v>
      </c>
      <c r="U67" s="63">
        <f t="shared" si="19"/>
        <v>0</v>
      </c>
      <c r="V67" s="63">
        <f t="shared" si="19"/>
        <v>0</v>
      </c>
      <c r="W67" s="63">
        <f t="shared" si="19"/>
        <v>0</v>
      </c>
      <c r="X67" s="63">
        <f t="shared" si="19"/>
        <v>0</v>
      </c>
      <c r="Y67" s="63">
        <f t="shared" si="19"/>
        <v>0</v>
      </c>
      <c r="Z67" s="63">
        <f t="shared" si="19"/>
        <v>0</v>
      </c>
      <c r="AA67" s="63">
        <f t="shared" si="19"/>
        <v>0</v>
      </c>
      <c r="AB67" s="63">
        <f t="shared" si="19"/>
        <v>0</v>
      </c>
      <c r="AC67" s="63">
        <f t="shared" si="19"/>
        <v>0</v>
      </c>
      <c r="AD67" s="63">
        <f t="shared" si="19"/>
        <v>0</v>
      </c>
      <c r="AE67" s="63">
        <f t="shared" si="19"/>
        <v>0</v>
      </c>
      <c r="AF67" s="63">
        <f t="shared" si="20"/>
        <v>0</v>
      </c>
      <c r="AG67" s="58" t="str">
        <f t="shared" si="21"/>
        <v>ok</v>
      </c>
    </row>
    <row r="68" spans="1:33">
      <c r="A68" s="60"/>
      <c r="B68" s="60"/>
      <c r="W68" s="44"/>
      <c r="AF68" s="63"/>
      <c r="AG68" s="58"/>
    </row>
    <row r="69" spans="1:33" s="60" customFormat="1">
      <c r="B69" s="60" t="s">
        <v>883</v>
      </c>
      <c r="C69" s="60" t="s">
        <v>884</v>
      </c>
      <c r="F69" s="80">
        <f>F15+SUM(F50:F67)</f>
        <v>6295374834.0168419</v>
      </c>
      <c r="G69" s="80"/>
      <c r="H69" s="80">
        <f t="shared" ref="H69:AE69" si="22">H15+SUM(H50:H67)</f>
        <v>3841238418.8189983</v>
      </c>
      <c r="I69" s="80">
        <f t="shared" si="22"/>
        <v>0</v>
      </c>
      <c r="J69" s="80">
        <f t="shared" si="22"/>
        <v>0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589942298.24877322</v>
      </c>
      <c r="O69" s="80">
        <f t="shared" si="22"/>
        <v>0</v>
      </c>
      <c r="P69" s="80">
        <f t="shared" si="22"/>
        <v>0</v>
      </c>
      <c r="Q69" s="80">
        <f t="shared" si="22"/>
        <v>0</v>
      </c>
      <c r="R69" s="80">
        <f t="shared" si="22"/>
        <v>232468164.11926493</v>
      </c>
      <c r="S69" s="80">
        <f t="shared" si="22"/>
        <v>0</v>
      </c>
      <c r="T69" s="80">
        <f t="shared" si="22"/>
        <v>356880169.09826255</v>
      </c>
      <c r="U69" s="80">
        <f t="shared" si="22"/>
        <v>584008998.11844313</v>
      </c>
      <c r="V69" s="80">
        <f t="shared" si="22"/>
        <v>99572823.856583029</v>
      </c>
      <c r="W69" s="80">
        <f t="shared" si="22"/>
        <v>170145583.40257511</v>
      </c>
      <c r="X69" s="80">
        <f t="shared" si="22"/>
        <v>121982317.40943505</v>
      </c>
      <c r="Y69" s="80">
        <f t="shared" si="22"/>
        <v>67993908.120903969</v>
      </c>
      <c r="Z69" s="80">
        <f t="shared" si="22"/>
        <v>43473331.087879352</v>
      </c>
      <c r="AA69" s="80">
        <f t="shared" si="22"/>
        <v>44335297.491789557</v>
      </c>
      <c r="AB69" s="80">
        <f t="shared" si="22"/>
        <v>143333524.24393451</v>
      </c>
      <c r="AC69" s="80">
        <f t="shared" si="22"/>
        <v>0</v>
      </c>
      <c r="AD69" s="80">
        <f t="shared" si="22"/>
        <v>0</v>
      </c>
      <c r="AE69" s="80">
        <f t="shared" si="22"/>
        <v>0</v>
      </c>
      <c r="AF69" s="80">
        <f>SUM(H69:AE69)</f>
        <v>6295374834.0168438</v>
      </c>
      <c r="AG69" s="93" t="str">
        <f>IF(ABS(AF69-F69)&lt;1,"ok","err")</f>
        <v>ok</v>
      </c>
    </row>
    <row r="70" spans="1:33">
      <c r="A70" s="60"/>
      <c r="B70" s="60"/>
      <c r="AG70" s="58"/>
    </row>
    <row r="71" spans="1:33" ht="14.1">
      <c r="A71" s="59"/>
      <c r="B71" s="60"/>
      <c r="F71" s="80"/>
      <c r="AG71" s="58"/>
    </row>
    <row r="72" spans="1:33" ht="14.1">
      <c r="A72" s="59" t="s">
        <v>885</v>
      </c>
      <c r="B72" s="60"/>
      <c r="AG72" s="58"/>
    </row>
    <row r="73" spans="1:33" ht="14.1">
      <c r="A73" s="59"/>
      <c r="B73" s="60"/>
      <c r="AG73" s="58"/>
    </row>
    <row r="74" spans="1:33">
      <c r="A74" s="60"/>
      <c r="B74" s="60" t="s">
        <v>308</v>
      </c>
      <c r="C74" s="44" t="s">
        <v>122</v>
      </c>
      <c r="D74" s="44" t="s">
        <v>616</v>
      </c>
      <c r="F74" s="76">
        <v>17402860.541538469</v>
      </c>
      <c r="H74" s="63">
        <f t="shared" ref="H74:Q77" si="23">IF(VLOOKUP($D74,$C$6:$AE$653,H$2,)=0,0,((VLOOKUP($D74,$C$6:$AE$653,H$2,)/VLOOKUP($D74,$C$6:$AE$653,4,))*$F74))</f>
        <v>17402860.541538469</v>
      </c>
      <c r="I74" s="63">
        <f t="shared" si="23"/>
        <v>0</v>
      </c>
      <c r="J74" s="63">
        <f t="shared" si="23"/>
        <v>0</v>
      </c>
      <c r="K74" s="63">
        <f t="shared" si="23"/>
        <v>0</v>
      </c>
      <c r="L74" s="63">
        <f t="shared" si="23"/>
        <v>0</v>
      </c>
      <c r="M74" s="63">
        <f t="shared" si="23"/>
        <v>0</v>
      </c>
      <c r="N74" s="63">
        <f t="shared" si="23"/>
        <v>0</v>
      </c>
      <c r="O74" s="63">
        <f t="shared" si="23"/>
        <v>0</v>
      </c>
      <c r="P74" s="63">
        <f t="shared" si="23"/>
        <v>0</v>
      </c>
      <c r="Q74" s="63">
        <f t="shared" si="23"/>
        <v>0</v>
      </c>
      <c r="R74" s="63">
        <f t="shared" ref="R74:AE77" si="24">IF(VLOOKUP($D74,$C$6:$AE$653,R$2,)=0,0,((VLOOKUP($D74,$C$6:$AE$653,R$2,)/VLOOKUP($D74,$C$6:$AE$653,4,))*$F74))</f>
        <v>0</v>
      </c>
      <c r="S74" s="63">
        <f t="shared" si="24"/>
        <v>0</v>
      </c>
      <c r="T74" s="63">
        <f t="shared" si="24"/>
        <v>0</v>
      </c>
      <c r="U74" s="63">
        <f t="shared" si="24"/>
        <v>0</v>
      </c>
      <c r="V74" s="63">
        <f t="shared" si="24"/>
        <v>0</v>
      </c>
      <c r="W74" s="63">
        <f t="shared" si="24"/>
        <v>0</v>
      </c>
      <c r="X74" s="63">
        <f t="shared" si="24"/>
        <v>0</v>
      </c>
      <c r="Y74" s="63">
        <f t="shared" si="24"/>
        <v>0</v>
      </c>
      <c r="Z74" s="63">
        <f t="shared" si="24"/>
        <v>0</v>
      </c>
      <c r="AA74" s="63">
        <f t="shared" si="24"/>
        <v>0</v>
      </c>
      <c r="AB74" s="63">
        <f t="shared" si="24"/>
        <v>0</v>
      </c>
      <c r="AC74" s="63">
        <f t="shared" si="24"/>
        <v>0</v>
      </c>
      <c r="AD74" s="63">
        <f t="shared" si="24"/>
        <v>0</v>
      </c>
      <c r="AE74" s="63">
        <f t="shared" si="24"/>
        <v>0</v>
      </c>
      <c r="AF74" s="63">
        <f t="shared" ref="AF74:AF77" si="25">SUM(H74:AE74)</f>
        <v>17402860.541538469</v>
      </c>
      <c r="AG74" s="58" t="str">
        <f t="shared" ref="AG74:AG77" si="26">IF(ABS(AF74-F74)&lt;1,"ok","err")</f>
        <v>ok</v>
      </c>
    </row>
    <row r="75" spans="1:33">
      <c r="A75" s="60"/>
      <c r="B75" s="60" t="s">
        <v>23</v>
      </c>
      <c r="C75" s="44" t="s">
        <v>123</v>
      </c>
      <c r="D75" s="44" t="s">
        <v>1086</v>
      </c>
      <c r="F75" s="79">
        <v>21580855</v>
      </c>
      <c r="H75" s="63">
        <f t="shared" si="23"/>
        <v>0</v>
      </c>
      <c r="I75" s="63">
        <f t="shared" si="23"/>
        <v>0</v>
      </c>
      <c r="J75" s="63">
        <f t="shared" si="23"/>
        <v>0</v>
      </c>
      <c r="K75" s="63">
        <f t="shared" si="23"/>
        <v>0</v>
      </c>
      <c r="L75" s="63">
        <f t="shared" si="23"/>
        <v>0</v>
      </c>
      <c r="M75" s="63">
        <f t="shared" si="23"/>
        <v>0</v>
      </c>
      <c r="N75" s="63">
        <f t="shared" si="23"/>
        <v>21580855</v>
      </c>
      <c r="O75" s="63">
        <f t="shared" si="23"/>
        <v>0</v>
      </c>
      <c r="P75" s="63">
        <f t="shared" si="23"/>
        <v>0</v>
      </c>
      <c r="Q75" s="63">
        <f t="shared" si="23"/>
        <v>0</v>
      </c>
      <c r="R75" s="63">
        <f t="shared" si="24"/>
        <v>0</v>
      </c>
      <c r="S75" s="63">
        <f t="shared" si="24"/>
        <v>0</v>
      </c>
      <c r="T75" s="63">
        <f t="shared" si="24"/>
        <v>0</v>
      </c>
      <c r="U75" s="63">
        <f t="shared" si="24"/>
        <v>0</v>
      </c>
      <c r="V75" s="63">
        <f t="shared" si="24"/>
        <v>0</v>
      </c>
      <c r="W75" s="63">
        <f t="shared" si="24"/>
        <v>0</v>
      </c>
      <c r="X75" s="63">
        <f t="shared" si="24"/>
        <v>0</v>
      </c>
      <c r="Y75" s="63">
        <f t="shared" si="24"/>
        <v>0</v>
      </c>
      <c r="Z75" s="63">
        <f t="shared" si="24"/>
        <v>0</v>
      </c>
      <c r="AA75" s="63">
        <f t="shared" si="24"/>
        <v>0</v>
      </c>
      <c r="AB75" s="63">
        <f t="shared" si="24"/>
        <v>0</v>
      </c>
      <c r="AC75" s="63">
        <f t="shared" si="24"/>
        <v>0</v>
      </c>
      <c r="AD75" s="63">
        <f t="shared" si="24"/>
        <v>0</v>
      </c>
      <c r="AE75" s="63">
        <f t="shared" si="24"/>
        <v>0</v>
      </c>
      <c r="AF75" s="63">
        <f t="shared" si="25"/>
        <v>21580855</v>
      </c>
      <c r="AG75" s="58" t="str">
        <f t="shared" si="26"/>
        <v>ok</v>
      </c>
    </row>
    <row r="76" spans="1:33">
      <c r="A76" s="60"/>
      <c r="B76" s="60" t="s">
        <v>1171</v>
      </c>
      <c r="C76" s="44" t="s">
        <v>124</v>
      </c>
      <c r="D76" s="44" t="s">
        <v>859</v>
      </c>
      <c r="F76" s="79">
        <v>16836832</v>
      </c>
      <c r="H76" s="63">
        <f t="shared" si="23"/>
        <v>0</v>
      </c>
      <c r="I76" s="63">
        <f t="shared" si="23"/>
        <v>0</v>
      </c>
      <c r="J76" s="63">
        <f t="shared" si="23"/>
        <v>0</v>
      </c>
      <c r="K76" s="63">
        <f t="shared" si="23"/>
        <v>0</v>
      </c>
      <c r="L76" s="63">
        <f t="shared" si="23"/>
        <v>0</v>
      </c>
      <c r="M76" s="63">
        <f t="shared" si="23"/>
        <v>0</v>
      </c>
      <c r="N76" s="63">
        <f t="shared" si="23"/>
        <v>0</v>
      </c>
      <c r="O76" s="63">
        <f t="shared" si="23"/>
        <v>0</v>
      </c>
      <c r="P76" s="63">
        <f t="shared" si="23"/>
        <v>0</v>
      </c>
      <c r="Q76" s="63">
        <f t="shared" si="23"/>
        <v>0</v>
      </c>
      <c r="R76" s="63">
        <f t="shared" si="24"/>
        <v>2099581.4701047149</v>
      </c>
      <c r="S76" s="63">
        <f t="shared" si="24"/>
        <v>0</v>
      </c>
      <c r="T76" s="63">
        <f t="shared" si="24"/>
        <v>3223232.7076929589</v>
      </c>
      <c r="U76" s="63">
        <f t="shared" si="24"/>
        <v>5274590.9336421182</v>
      </c>
      <c r="V76" s="63">
        <f t="shared" si="24"/>
        <v>899311.33876906324</v>
      </c>
      <c r="W76" s="63">
        <f t="shared" si="24"/>
        <v>1536702.9523618049</v>
      </c>
      <c r="X76" s="63">
        <f t="shared" si="24"/>
        <v>1101707.0414075563</v>
      </c>
      <c r="Y76" s="63">
        <f t="shared" si="24"/>
        <v>614100.21501874074</v>
      </c>
      <c r="Z76" s="63">
        <f t="shared" si="24"/>
        <v>392637.85104359844</v>
      </c>
      <c r="AA76" s="63">
        <f t="shared" si="24"/>
        <v>400422.86838719551</v>
      </c>
      <c r="AB76" s="63">
        <f t="shared" si="24"/>
        <v>1294544.6215722514</v>
      </c>
      <c r="AC76" s="63">
        <f t="shared" si="24"/>
        <v>0</v>
      </c>
      <c r="AD76" s="63">
        <f t="shared" si="24"/>
        <v>0</v>
      </c>
      <c r="AE76" s="63">
        <f t="shared" si="24"/>
        <v>0</v>
      </c>
      <c r="AF76" s="63">
        <f t="shared" si="25"/>
        <v>16836832.000000004</v>
      </c>
      <c r="AG76" s="58" t="str">
        <f t="shared" si="26"/>
        <v>ok</v>
      </c>
    </row>
    <row r="77" spans="1:33">
      <c r="A77" s="60"/>
      <c r="B77" s="60" t="s">
        <v>1193</v>
      </c>
      <c r="C77" s="44" t="s">
        <v>125</v>
      </c>
      <c r="D77" s="44" t="s">
        <v>1087</v>
      </c>
      <c r="F77" s="79">
        <f>188093+11168233</f>
        <v>11356326</v>
      </c>
      <c r="H77" s="63">
        <f t="shared" si="23"/>
        <v>6932325.069065284</v>
      </c>
      <c r="I77" s="63">
        <f t="shared" si="23"/>
        <v>0</v>
      </c>
      <c r="J77" s="63">
        <f t="shared" si="23"/>
        <v>0</v>
      </c>
      <c r="K77" s="63">
        <f t="shared" si="23"/>
        <v>0</v>
      </c>
      <c r="L77" s="63">
        <f t="shared" si="23"/>
        <v>0</v>
      </c>
      <c r="M77" s="63">
        <f t="shared" si="23"/>
        <v>0</v>
      </c>
      <c r="N77" s="63">
        <f t="shared" si="23"/>
        <v>1064733.9302905374</v>
      </c>
      <c r="O77" s="63">
        <f t="shared" si="23"/>
        <v>0</v>
      </c>
      <c r="P77" s="63">
        <f t="shared" si="23"/>
        <v>0</v>
      </c>
      <c r="Q77" s="63">
        <f t="shared" si="23"/>
        <v>0</v>
      </c>
      <c r="R77" s="63">
        <f t="shared" si="24"/>
        <v>418906.28520179796</v>
      </c>
      <c r="S77" s="63">
        <f t="shared" si="24"/>
        <v>0</v>
      </c>
      <c r="T77" s="63">
        <f t="shared" si="24"/>
        <v>643095.99753385538</v>
      </c>
      <c r="U77" s="63">
        <f t="shared" si="24"/>
        <v>1052380.8318144961</v>
      </c>
      <c r="V77" s="63">
        <f t="shared" si="24"/>
        <v>179429.65182714007</v>
      </c>
      <c r="W77" s="63">
        <f t="shared" si="24"/>
        <v>306601.35574563505</v>
      </c>
      <c r="X77" s="63">
        <f t="shared" si="24"/>
        <v>219811.42940534966</v>
      </c>
      <c r="Y77" s="63">
        <f t="shared" si="24"/>
        <v>122524.62858814231</v>
      </c>
      <c r="Z77" s="63">
        <f t="shared" si="24"/>
        <v>78338.690806833751</v>
      </c>
      <c r="AA77" s="63">
        <f t="shared" si="24"/>
        <v>79891.949273853446</v>
      </c>
      <c r="AB77" s="63">
        <f t="shared" si="24"/>
        <v>258286.18044707392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3">
        <f t="shared" si="25"/>
        <v>11356325.999999998</v>
      </c>
      <c r="AG77" s="58" t="str">
        <f t="shared" si="26"/>
        <v>ok</v>
      </c>
    </row>
    <row r="78" spans="1:33">
      <c r="A78" s="60"/>
      <c r="B78" s="60"/>
      <c r="F78" s="79"/>
      <c r="AF78" s="63"/>
      <c r="AG78" s="58"/>
    </row>
    <row r="79" spans="1:33" ht="14.1">
      <c r="A79" s="273" t="s">
        <v>886</v>
      </c>
      <c r="B79" s="60"/>
      <c r="C79" s="44" t="s">
        <v>887</v>
      </c>
      <c r="F79" s="76">
        <f>SUM(F74:F77)</f>
        <v>67176873.541538477</v>
      </c>
      <c r="G79" s="62"/>
      <c r="H79" s="62">
        <f t="shared" ref="H79:AE79" si="27">SUM(H74:H77)</f>
        <v>24335185.610603753</v>
      </c>
      <c r="I79" s="62">
        <f t="shared" si="27"/>
        <v>0</v>
      </c>
      <c r="J79" s="62">
        <f t="shared" si="27"/>
        <v>0</v>
      </c>
      <c r="K79" s="62">
        <f t="shared" si="27"/>
        <v>0</v>
      </c>
      <c r="L79" s="62">
        <f t="shared" si="27"/>
        <v>0</v>
      </c>
      <c r="M79" s="62">
        <f t="shared" si="27"/>
        <v>0</v>
      </c>
      <c r="N79" s="62">
        <f t="shared" si="27"/>
        <v>22645588.930290539</v>
      </c>
      <c r="O79" s="62">
        <f t="shared" si="27"/>
        <v>0</v>
      </c>
      <c r="P79" s="62">
        <f t="shared" si="27"/>
        <v>0</v>
      </c>
      <c r="Q79" s="62">
        <f t="shared" si="27"/>
        <v>0</v>
      </c>
      <c r="R79" s="62">
        <f t="shared" si="27"/>
        <v>2518487.755306513</v>
      </c>
      <c r="S79" s="62">
        <f t="shared" si="27"/>
        <v>0</v>
      </c>
      <c r="T79" s="62">
        <f t="shared" si="27"/>
        <v>3866328.7052268144</v>
      </c>
      <c r="U79" s="62">
        <f t="shared" si="27"/>
        <v>6326971.7654566141</v>
      </c>
      <c r="V79" s="62">
        <f t="shared" si="27"/>
        <v>1078740.9905962034</v>
      </c>
      <c r="W79" s="62">
        <f t="shared" si="27"/>
        <v>1843304.3081074399</v>
      </c>
      <c r="X79" s="62">
        <f t="shared" si="27"/>
        <v>1321518.470812906</v>
      </c>
      <c r="Y79" s="62">
        <f t="shared" si="27"/>
        <v>736624.84360688308</v>
      </c>
      <c r="Z79" s="62">
        <f t="shared" si="27"/>
        <v>470976.54185043217</v>
      </c>
      <c r="AA79" s="62">
        <f t="shared" si="27"/>
        <v>480314.81766104896</v>
      </c>
      <c r="AB79" s="62">
        <f t="shared" si="27"/>
        <v>1552830.8020193253</v>
      </c>
      <c r="AC79" s="62">
        <f t="shared" si="27"/>
        <v>0</v>
      </c>
      <c r="AD79" s="62">
        <f t="shared" si="27"/>
        <v>0</v>
      </c>
      <c r="AE79" s="62">
        <f t="shared" si="27"/>
        <v>0</v>
      </c>
      <c r="AF79" s="63">
        <f>SUM(H79:AE79)</f>
        <v>67176873.541538477</v>
      </c>
      <c r="AG79" s="58" t="str">
        <f>IF(ABS(AF79-F79)&lt;1,"ok","err")</f>
        <v>ok</v>
      </c>
    </row>
    <row r="80" spans="1:33" ht="14.1">
      <c r="A80" s="273"/>
      <c r="B80" s="60"/>
      <c r="F80" s="76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58"/>
    </row>
    <row r="81" spans="1:37" ht="14.1">
      <c r="A81" s="65" t="s">
        <v>1065</v>
      </c>
      <c r="B81" s="60"/>
      <c r="F81" s="76">
        <f>F69+F79</f>
        <v>6362551707.5583801</v>
      </c>
      <c r="G81" s="62"/>
      <c r="H81" s="62">
        <f t="shared" ref="H81:AE81" si="28">H69+H79</f>
        <v>3865573604.4296021</v>
      </c>
      <c r="I81" s="62">
        <f t="shared" si="28"/>
        <v>0</v>
      </c>
      <c r="J81" s="62">
        <f t="shared" si="28"/>
        <v>0</v>
      </c>
      <c r="K81" s="62">
        <f t="shared" si="28"/>
        <v>0</v>
      </c>
      <c r="L81" s="62">
        <f t="shared" si="28"/>
        <v>0</v>
      </c>
      <c r="M81" s="62">
        <f t="shared" si="28"/>
        <v>0</v>
      </c>
      <c r="N81" s="62">
        <f t="shared" si="28"/>
        <v>612587887.1790638</v>
      </c>
      <c r="O81" s="62">
        <f t="shared" si="28"/>
        <v>0</v>
      </c>
      <c r="P81" s="62">
        <f t="shared" si="28"/>
        <v>0</v>
      </c>
      <c r="Q81" s="62">
        <f t="shared" si="28"/>
        <v>0</v>
      </c>
      <c r="R81" s="62">
        <f t="shared" si="28"/>
        <v>234986651.87457144</v>
      </c>
      <c r="S81" s="62">
        <f t="shared" si="28"/>
        <v>0</v>
      </c>
      <c r="T81" s="62">
        <f t="shared" si="28"/>
        <v>360746497.80348939</v>
      </c>
      <c r="U81" s="62">
        <f t="shared" si="28"/>
        <v>590335969.88389969</v>
      </c>
      <c r="V81" s="62">
        <f t="shared" si="28"/>
        <v>100651564.84717923</v>
      </c>
      <c r="W81" s="62">
        <f t="shared" si="28"/>
        <v>171988887.71068254</v>
      </c>
      <c r="X81" s="62">
        <f t="shared" si="28"/>
        <v>123303835.88024795</v>
      </c>
      <c r="Y81" s="62">
        <f t="shared" si="28"/>
        <v>68730532.964510858</v>
      </c>
      <c r="Z81" s="62">
        <f t="shared" si="28"/>
        <v>43944307.629729785</v>
      </c>
      <c r="AA81" s="62">
        <f t="shared" si="28"/>
        <v>44815612.309450604</v>
      </c>
      <c r="AB81" s="62">
        <f t="shared" si="28"/>
        <v>144886355.04595384</v>
      </c>
      <c r="AC81" s="62">
        <f t="shared" si="28"/>
        <v>0</v>
      </c>
      <c r="AD81" s="62">
        <f t="shared" si="28"/>
        <v>0</v>
      </c>
      <c r="AE81" s="62">
        <f t="shared" si="28"/>
        <v>0</v>
      </c>
      <c r="AF81" s="63">
        <f>SUM(H81:AE81)</f>
        <v>6362551707.558382</v>
      </c>
      <c r="AG81" s="58" t="str">
        <f>IF(ABS(AF81-F81)&lt;1,"ok","err")</f>
        <v>ok</v>
      </c>
    </row>
    <row r="82" spans="1:37" ht="14.1">
      <c r="A82" s="65"/>
      <c r="B82" s="60"/>
      <c r="F82" s="76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58"/>
    </row>
    <row r="83" spans="1:37" ht="14.1">
      <c r="A83" s="65"/>
      <c r="B83" s="60"/>
      <c r="F83" s="148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4"/>
      <c r="AA83" s="64"/>
      <c r="AB83" s="62"/>
      <c r="AC83" s="62"/>
      <c r="AD83" s="62"/>
      <c r="AE83" s="62"/>
      <c r="AF83" s="63"/>
      <c r="AG83" s="58"/>
    </row>
    <row r="84" spans="1:37" ht="14.1">
      <c r="A84" s="65"/>
      <c r="B84" s="60"/>
      <c r="F84" s="76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58"/>
    </row>
    <row r="85" spans="1:37" ht="14.1">
      <c r="A85" s="65"/>
      <c r="B85" s="60"/>
      <c r="F85" s="76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58"/>
    </row>
    <row r="86" spans="1:37" ht="14.1">
      <c r="A86" s="65"/>
      <c r="B86" s="60"/>
      <c r="F86" s="76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58"/>
    </row>
    <row r="87" spans="1:37" ht="14.1">
      <c r="A87" s="65"/>
      <c r="B87" s="60"/>
      <c r="F87" s="76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58"/>
    </row>
    <row r="88" spans="1:37" ht="14.1">
      <c r="A88" s="65"/>
      <c r="B88" s="60"/>
      <c r="F88" s="76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58"/>
    </row>
    <row r="89" spans="1:37" ht="14.1">
      <c r="A89" s="65"/>
      <c r="B89" s="60"/>
      <c r="F89" s="76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58"/>
    </row>
    <row r="90" spans="1:37" ht="14.1">
      <c r="A90" s="65"/>
      <c r="B90" s="60"/>
      <c r="F90" s="76"/>
      <c r="G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58"/>
      <c r="AH90" s="62"/>
      <c r="AI90" s="62"/>
      <c r="AJ90" s="62"/>
      <c r="AK90" s="62"/>
    </row>
    <row r="91" spans="1:37">
      <c r="A91" s="60"/>
      <c r="B91" s="60"/>
      <c r="AG91" s="58"/>
      <c r="AH91" s="64"/>
    </row>
    <row r="92" spans="1:37" ht="14.1">
      <c r="A92" s="59" t="s">
        <v>889</v>
      </c>
      <c r="B92" s="60"/>
      <c r="AG92" s="58"/>
      <c r="AH92" s="64"/>
      <c r="AI92" s="64"/>
    </row>
    <row r="93" spans="1:37">
      <c r="A93" s="60"/>
      <c r="B93" s="60"/>
      <c r="AG93" s="58"/>
      <c r="AI93" s="64"/>
    </row>
    <row r="94" spans="1:37" ht="14.1">
      <c r="A94" s="59" t="s">
        <v>890</v>
      </c>
      <c r="B94" s="60"/>
      <c r="AG94" s="58"/>
    </row>
    <row r="95" spans="1:37">
      <c r="A95" s="60" t="s">
        <v>858</v>
      </c>
      <c r="B95" s="60"/>
      <c r="F95" s="80">
        <f>F69</f>
        <v>6295374834.0168419</v>
      </c>
      <c r="G95" s="64"/>
      <c r="H95" s="64">
        <f t="shared" ref="H95:AE95" si="29">H69</f>
        <v>3841238418.8189983</v>
      </c>
      <c r="I95" s="64">
        <f t="shared" si="29"/>
        <v>0</v>
      </c>
      <c r="J95" s="64">
        <f t="shared" si="29"/>
        <v>0</v>
      </c>
      <c r="K95" s="64">
        <f t="shared" si="29"/>
        <v>0</v>
      </c>
      <c r="L95" s="64">
        <f t="shared" si="29"/>
        <v>0</v>
      </c>
      <c r="M95" s="64">
        <f t="shared" si="29"/>
        <v>0</v>
      </c>
      <c r="N95" s="64">
        <f t="shared" si="29"/>
        <v>589942298.24877322</v>
      </c>
      <c r="O95" s="64">
        <f t="shared" si="29"/>
        <v>0</v>
      </c>
      <c r="P95" s="64">
        <f t="shared" si="29"/>
        <v>0</v>
      </c>
      <c r="Q95" s="64">
        <f t="shared" si="29"/>
        <v>0</v>
      </c>
      <c r="R95" s="64">
        <f t="shared" si="29"/>
        <v>232468164.11926493</v>
      </c>
      <c r="S95" s="64">
        <f t="shared" si="29"/>
        <v>0</v>
      </c>
      <c r="T95" s="64">
        <f t="shared" si="29"/>
        <v>356880169.09826255</v>
      </c>
      <c r="U95" s="64">
        <f t="shared" si="29"/>
        <v>584008998.11844313</v>
      </c>
      <c r="V95" s="64">
        <f t="shared" si="29"/>
        <v>99572823.856583029</v>
      </c>
      <c r="W95" s="64">
        <f t="shared" si="29"/>
        <v>170145583.40257511</v>
      </c>
      <c r="X95" s="64">
        <f t="shared" si="29"/>
        <v>121982317.40943505</v>
      </c>
      <c r="Y95" s="64">
        <f t="shared" si="29"/>
        <v>67993908.120903969</v>
      </c>
      <c r="Z95" s="64">
        <f t="shared" si="29"/>
        <v>43473331.087879352</v>
      </c>
      <c r="AA95" s="64">
        <f t="shared" si="29"/>
        <v>44335297.491789557</v>
      </c>
      <c r="AB95" s="64">
        <f t="shared" si="29"/>
        <v>143333524.24393451</v>
      </c>
      <c r="AC95" s="64">
        <f t="shared" si="29"/>
        <v>0</v>
      </c>
      <c r="AD95" s="64">
        <f t="shared" si="29"/>
        <v>0</v>
      </c>
      <c r="AE95" s="64">
        <f t="shared" si="29"/>
        <v>0</v>
      </c>
      <c r="AF95" s="63">
        <f>SUM(H95:AE95)</f>
        <v>6295374834.0168438</v>
      </c>
      <c r="AG95" s="58" t="str">
        <f>IF(ABS(AF95-F95)&lt;1,"ok","err")</f>
        <v>ok</v>
      </c>
    </row>
    <row r="96" spans="1:37">
      <c r="A96" s="60" t="s">
        <v>885</v>
      </c>
      <c r="B96" s="60"/>
      <c r="F96" s="79">
        <f>F79</f>
        <v>67176873.541538477</v>
      </c>
      <c r="G96" s="67"/>
      <c r="H96" s="67">
        <f t="shared" ref="H96:AE96" si="30">H79</f>
        <v>24335185.610603753</v>
      </c>
      <c r="I96" s="67">
        <f t="shared" si="30"/>
        <v>0</v>
      </c>
      <c r="J96" s="67">
        <f t="shared" si="30"/>
        <v>0</v>
      </c>
      <c r="K96" s="67">
        <f>K79</f>
        <v>0</v>
      </c>
      <c r="L96" s="67">
        <f t="shared" si="30"/>
        <v>0</v>
      </c>
      <c r="M96" s="67">
        <f t="shared" si="30"/>
        <v>0</v>
      </c>
      <c r="N96" s="67">
        <f>N79</f>
        <v>22645588.930290539</v>
      </c>
      <c r="O96" s="67">
        <f>O79</f>
        <v>0</v>
      </c>
      <c r="P96" s="67">
        <f>P79</f>
        <v>0</v>
      </c>
      <c r="Q96" s="67">
        <f t="shared" si="30"/>
        <v>0</v>
      </c>
      <c r="R96" s="67">
        <f>R79</f>
        <v>2518487.755306513</v>
      </c>
      <c r="S96" s="67">
        <f t="shared" si="30"/>
        <v>0</v>
      </c>
      <c r="T96" s="67">
        <f t="shared" si="30"/>
        <v>3866328.7052268144</v>
      </c>
      <c r="U96" s="67">
        <f>U79</f>
        <v>6326971.7654566141</v>
      </c>
      <c r="V96" s="67">
        <f>V79</f>
        <v>1078740.9905962034</v>
      </c>
      <c r="W96" s="67">
        <f>W79</f>
        <v>1843304.3081074399</v>
      </c>
      <c r="X96" s="67">
        <f t="shared" si="30"/>
        <v>1321518.470812906</v>
      </c>
      <c r="Y96" s="67">
        <f t="shared" si="30"/>
        <v>736624.84360688308</v>
      </c>
      <c r="Z96" s="67">
        <f>Z79</f>
        <v>470976.54185043217</v>
      </c>
      <c r="AA96" s="67">
        <f>AA79</f>
        <v>480314.81766104896</v>
      </c>
      <c r="AB96" s="67">
        <f t="shared" si="30"/>
        <v>1552830.8020193253</v>
      </c>
      <c r="AC96" s="67">
        <f t="shared" si="30"/>
        <v>0</v>
      </c>
      <c r="AD96" s="67">
        <f t="shared" si="30"/>
        <v>0</v>
      </c>
      <c r="AE96" s="63">
        <f t="shared" si="30"/>
        <v>0</v>
      </c>
      <c r="AF96" s="63">
        <f>SUM(H96:AE96)</f>
        <v>67176873.541538477</v>
      </c>
      <c r="AG96" s="58" t="str">
        <f>IF(ABS(AF96-F96)&lt;1,"ok","err")</f>
        <v>ok</v>
      </c>
    </row>
    <row r="97" spans="1:33">
      <c r="A97" s="60"/>
      <c r="B97" s="60"/>
      <c r="W97" s="44"/>
      <c r="AF97" s="63"/>
      <c r="AG97" s="58"/>
    </row>
    <row r="98" spans="1:33" ht="14.1">
      <c r="A98" s="273" t="s">
        <v>891</v>
      </c>
      <c r="B98" s="60"/>
      <c r="C98" s="44" t="s">
        <v>892</v>
      </c>
      <c r="F98" s="80">
        <f>F95+F96</f>
        <v>6362551707.5583801</v>
      </c>
      <c r="G98" s="64"/>
      <c r="H98" s="64">
        <f t="shared" ref="H98:AE98" si="31">H95+H96</f>
        <v>3865573604.4296021</v>
      </c>
      <c r="I98" s="64">
        <f t="shared" si="31"/>
        <v>0</v>
      </c>
      <c r="J98" s="64">
        <f t="shared" si="31"/>
        <v>0</v>
      </c>
      <c r="K98" s="64">
        <f>K95+K96</f>
        <v>0</v>
      </c>
      <c r="L98" s="64">
        <f t="shared" si="31"/>
        <v>0</v>
      </c>
      <c r="M98" s="64">
        <f t="shared" si="31"/>
        <v>0</v>
      </c>
      <c r="N98" s="64">
        <f t="shared" si="31"/>
        <v>612587887.1790638</v>
      </c>
      <c r="O98" s="64">
        <f>O95+O96</f>
        <v>0</v>
      </c>
      <c r="P98" s="64">
        <f>P95+P96</f>
        <v>0</v>
      </c>
      <c r="Q98" s="64">
        <f t="shared" si="31"/>
        <v>0</v>
      </c>
      <c r="R98" s="64">
        <f>R95+R96</f>
        <v>234986651.87457144</v>
      </c>
      <c r="S98" s="64">
        <f t="shared" si="31"/>
        <v>0</v>
      </c>
      <c r="T98" s="64">
        <f t="shared" si="31"/>
        <v>360746497.80348939</v>
      </c>
      <c r="U98" s="64">
        <f>U95+U96</f>
        <v>590335969.88389969</v>
      </c>
      <c r="V98" s="64">
        <f>V95+V96</f>
        <v>100651564.84717923</v>
      </c>
      <c r="W98" s="64">
        <f>W95+W96</f>
        <v>171988887.71068254</v>
      </c>
      <c r="X98" s="64">
        <f t="shared" si="31"/>
        <v>123303835.88024795</v>
      </c>
      <c r="Y98" s="64">
        <f t="shared" si="31"/>
        <v>68730532.964510858</v>
      </c>
      <c r="Z98" s="64">
        <f>Z95+Z96</f>
        <v>43944307.629729785</v>
      </c>
      <c r="AA98" s="64">
        <f>AA95+AA96</f>
        <v>44815612.309450604</v>
      </c>
      <c r="AB98" s="64">
        <f t="shared" si="31"/>
        <v>144886355.04595384</v>
      </c>
      <c r="AC98" s="64">
        <f t="shared" si="31"/>
        <v>0</v>
      </c>
      <c r="AD98" s="64">
        <f t="shared" si="31"/>
        <v>0</v>
      </c>
      <c r="AE98" s="64">
        <f t="shared" si="31"/>
        <v>0</v>
      </c>
      <c r="AF98" s="63">
        <f>SUM(H98:AE98)</f>
        <v>6362551707.558382</v>
      </c>
      <c r="AG98" s="58" t="str">
        <f>IF(ABS(AF98-F98)&lt;1,"ok","err")</f>
        <v>ok</v>
      </c>
    </row>
    <row r="99" spans="1:33">
      <c r="A99" s="60"/>
      <c r="B99" s="60"/>
      <c r="W99" s="44"/>
      <c r="AG99" s="58"/>
    </row>
    <row r="100" spans="1:33" ht="14.1">
      <c r="A100" s="274" t="s">
        <v>715</v>
      </c>
      <c r="B100" s="60"/>
      <c r="W100" s="44"/>
      <c r="AG100" s="58"/>
    </row>
    <row r="101" spans="1:33">
      <c r="A101" s="68" t="s">
        <v>602</v>
      </c>
      <c r="B101" s="60"/>
      <c r="C101" s="44" t="s">
        <v>2</v>
      </c>
      <c r="D101" s="44" t="s">
        <v>616</v>
      </c>
      <c r="F101" s="76">
        <f>1104777278+21042613+180523966</f>
        <v>1306343857</v>
      </c>
      <c r="H101" s="63">
        <f t="shared" ref="H101:Q106" si="32">IF(VLOOKUP($D101,$C$6:$AE$653,H$2,)=0,0,((VLOOKUP($D101,$C$6:$AE$653,H$2,)/VLOOKUP($D101,$C$6:$AE$653,4,))*$F101))</f>
        <v>1306343857</v>
      </c>
      <c r="I101" s="63">
        <f t="shared" si="32"/>
        <v>0</v>
      </c>
      <c r="J101" s="63">
        <f t="shared" si="32"/>
        <v>0</v>
      </c>
      <c r="K101" s="63">
        <f t="shared" si="32"/>
        <v>0</v>
      </c>
      <c r="L101" s="63">
        <f t="shared" si="32"/>
        <v>0</v>
      </c>
      <c r="M101" s="63">
        <f t="shared" si="32"/>
        <v>0</v>
      </c>
      <c r="N101" s="63">
        <f t="shared" si="32"/>
        <v>0</v>
      </c>
      <c r="O101" s="63">
        <f t="shared" si="32"/>
        <v>0</v>
      </c>
      <c r="P101" s="63">
        <f t="shared" si="32"/>
        <v>0</v>
      </c>
      <c r="Q101" s="63">
        <f t="shared" si="32"/>
        <v>0</v>
      </c>
      <c r="R101" s="63">
        <f t="shared" ref="R101:AE106" si="33">IF(VLOOKUP($D101,$C$6:$AE$653,R$2,)=0,0,((VLOOKUP($D101,$C$6:$AE$653,R$2,)/VLOOKUP($D101,$C$6:$AE$653,4,))*$F101))</f>
        <v>0</v>
      </c>
      <c r="S101" s="63">
        <f t="shared" si="33"/>
        <v>0</v>
      </c>
      <c r="T101" s="63">
        <f t="shared" si="33"/>
        <v>0</v>
      </c>
      <c r="U101" s="63">
        <f t="shared" si="33"/>
        <v>0</v>
      </c>
      <c r="V101" s="63">
        <f t="shared" si="33"/>
        <v>0</v>
      </c>
      <c r="W101" s="63">
        <f t="shared" si="33"/>
        <v>0</v>
      </c>
      <c r="X101" s="63">
        <f t="shared" si="33"/>
        <v>0</v>
      </c>
      <c r="Y101" s="63">
        <f t="shared" si="33"/>
        <v>0</v>
      </c>
      <c r="Z101" s="63">
        <f t="shared" si="33"/>
        <v>0</v>
      </c>
      <c r="AA101" s="63">
        <f t="shared" si="33"/>
        <v>0</v>
      </c>
      <c r="AB101" s="63">
        <f t="shared" si="33"/>
        <v>0</v>
      </c>
      <c r="AC101" s="63">
        <f t="shared" si="33"/>
        <v>0</v>
      </c>
      <c r="AD101" s="63">
        <f t="shared" si="33"/>
        <v>0</v>
      </c>
      <c r="AE101" s="63">
        <f t="shared" si="33"/>
        <v>0</v>
      </c>
      <c r="AF101" s="63">
        <f t="shared" ref="AF101:AF106" si="34">SUM(H101:AE101)</f>
        <v>1306343857</v>
      </c>
      <c r="AG101" s="58" t="str">
        <f t="shared" ref="AG101:AG106" si="35">IF(ABS(AF101-F101)&lt;1,"ok","err")</f>
        <v>ok</v>
      </c>
    </row>
    <row r="102" spans="1:33">
      <c r="A102" s="60" t="s">
        <v>598</v>
      </c>
      <c r="B102" s="60"/>
      <c r="C102" s="44" t="s">
        <v>3</v>
      </c>
      <c r="D102" s="44" t="s">
        <v>1085</v>
      </c>
      <c r="F102" s="79">
        <v>180532194.92769</v>
      </c>
      <c r="H102" s="63">
        <f t="shared" si="32"/>
        <v>0</v>
      </c>
      <c r="I102" s="63">
        <f t="shared" si="32"/>
        <v>0</v>
      </c>
      <c r="J102" s="63">
        <f t="shared" si="32"/>
        <v>0</v>
      </c>
      <c r="K102" s="63">
        <f t="shared" si="32"/>
        <v>0</v>
      </c>
      <c r="L102" s="63">
        <f t="shared" si="32"/>
        <v>0</v>
      </c>
      <c r="M102" s="63">
        <f t="shared" si="32"/>
        <v>0</v>
      </c>
      <c r="N102" s="63">
        <f t="shared" si="32"/>
        <v>180532194.92769</v>
      </c>
      <c r="O102" s="63">
        <f t="shared" si="32"/>
        <v>0</v>
      </c>
      <c r="P102" s="63">
        <f t="shared" si="32"/>
        <v>0</v>
      </c>
      <c r="Q102" s="63">
        <f t="shared" si="32"/>
        <v>0</v>
      </c>
      <c r="R102" s="63">
        <f t="shared" si="33"/>
        <v>0</v>
      </c>
      <c r="S102" s="63">
        <f t="shared" si="33"/>
        <v>0</v>
      </c>
      <c r="T102" s="63">
        <f t="shared" si="33"/>
        <v>0</v>
      </c>
      <c r="U102" s="63">
        <f t="shared" si="33"/>
        <v>0</v>
      </c>
      <c r="V102" s="63">
        <f t="shared" si="33"/>
        <v>0</v>
      </c>
      <c r="W102" s="63">
        <f t="shared" si="33"/>
        <v>0</v>
      </c>
      <c r="X102" s="63">
        <f t="shared" si="33"/>
        <v>0</v>
      </c>
      <c r="Y102" s="63">
        <f t="shared" si="33"/>
        <v>0</v>
      </c>
      <c r="Z102" s="63">
        <f t="shared" si="33"/>
        <v>0</v>
      </c>
      <c r="AA102" s="63">
        <f t="shared" si="33"/>
        <v>0</v>
      </c>
      <c r="AB102" s="63">
        <f t="shared" si="33"/>
        <v>0</v>
      </c>
      <c r="AC102" s="63">
        <f t="shared" si="33"/>
        <v>0</v>
      </c>
      <c r="AD102" s="63">
        <f t="shared" si="33"/>
        <v>0</v>
      </c>
      <c r="AE102" s="63">
        <f t="shared" si="33"/>
        <v>0</v>
      </c>
      <c r="AF102" s="63">
        <f t="shared" si="34"/>
        <v>180532194.92769</v>
      </c>
      <c r="AG102" s="58" t="str">
        <f t="shared" si="35"/>
        <v>ok</v>
      </c>
    </row>
    <row r="103" spans="1:33">
      <c r="A103" s="60" t="s">
        <v>307</v>
      </c>
      <c r="B103" s="60"/>
      <c r="C103" s="44" t="s">
        <v>24</v>
      </c>
      <c r="D103" s="44" t="s">
        <v>859</v>
      </c>
      <c r="F103" s="79">
        <v>585717150.84657598</v>
      </c>
      <c r="H103" s="63">
        <f t="shared" si="32"/>
        <v>0</v>
      </c>
      <c r="I103" s="63">
        <f t="shared" si="32"/>
        <v>0</v>
      </c>
      <c r="J103" s="63">
        <f t="shared" si="32"/>
        <v>0</v>
      </c>
      <c r="K103" s="63">
        <f t="shared" si="32"/>
        <v>0</v>
      </c>
      <c r="L103" s="63">
        <f t="shared" si="32"/>
        <v>0</v>
      </c>
      <c r="M103" s="63">
        <f t="shared" si="32"/>
        <v>0</v>
      </c>
      <c r="N103" s="63">
        <f t="shared" si="32"/>
        <v>0</v>
      </c>
      <c r="O103" s="63">
        <f t="shared" si="32"/>
        <v>0</v>
      </c>
      <c r="P103" s="63">
        <f t="shared" si="32"/>
        <v>0</v>
      </c>
      <c r="Q103" s="63">
        <f t="shared" si="32"/>
        <v>0</v>
      </c>
      <c r="R103" s="63">
        <f t="shared" si="33"/>
        <v>73039920.84971799</v>
      </c>
      <c r="S103" s="63">
        <f t="shared" si="33"/>
        <v>0</v>
      </c>
      <c r="T103" s="63">
        <f t="shared" si="33"/>
        <v>112129329.20310748</v>
      </c>
      <c r="U103" s="63">
        <f t="shared" si="33"/>
        <v>183491667.16957456</v>
      </c>
      <c r="V103" s="63">
        <f t="shared" si="33"/>
        <v>31285106.073864467</v>
      </c>
      <c r="W103" s="63">
        <f t="shared" si="33"/>
        <v>53458588.584531695</v>
      </c>
      <c r="X103" s="63">
        <f t="shared" si="33"/>
        <v>38326016.994221039</v>
      </c>
      <c r="Y103" s="63">
        <f t="shared" si="33"/>
        <v>21363224.879540671</v>
      </c>
      <c r="Z103" s="63">
        <f t="shared" si="33"/>
        <v>13659025.844516281</v>
      </c>
      <c r="AA103" s="63">
        <f t="shared" si="33"/>
        <v>13929849.843816321</v>
      </c>
      <c r="AB103" s="63">
        <f t="shared" si="33"/>
        <v>45034421.403685562</v>
      </c>
      <c r="AC103" s="63">
        <f t="shared" si="33"/>
        <v>0</v>
      </c>
      <c r="AD103" s="63">
        <f t="shared" si="33"/>
        <v>0</v>
      </c>
      <c r="AE103" s="63">
        <f t="shared" si="33"/>
        <v>0</v>
      </c>
      <c r="AF103" s="63">
        <f t="shared" si="34"/>
        <v>585717150.84657609</v>
      </c>
      <c r="AG103" s="58" t="str">
        <f t="shared" si="35"/>
        <v>ok</v>
      </c>
    </row>
    <row r="104" spans="1:33">
      <c r="A104" s="68" t="s">
        <v>599</v>
      </c>
      <c r="B104" s="60"/>
      <c r="C104" s="44" t="s">
        <v>25</v>
      </c>
      <c r="D104" s="44" t="s">
        <v>1087</v>
      </c>
      <c r="F104" s="79">
        <f>8407336+96183805</f>
        <v>104591141</v>
      </c>
      <c r="H104" s="63">
        <f t="shared" si="32"/>
        <v>63846334.523722008</v>
      </c>
      <c r="I104" s="63">
        <f t="shared" si="32"/>
        <v>0</v>
      </c>
      <c r="J104" s="63">
        <f t="shared" si="32"/>
        <v>0</v>
      </c>
      <c r="K104" s="63">
        <f t="shared" si="32"/>
        <v>0</v>
      </c>
      <c r="L104" s="63">
        <f t="shared" si="32"/>
        <v>0</v>
      </c>
      <c r="M104" s="63">
        <f t="shared" si="32"/>
        <v>0</v>
      </c>
      <c r="N104" s="63">
        <f t="shared" si="32"/>
        <v>9806141.2318122759</v>
      </c>
      <c r="O104" s="63">
        <f t="shared" si="32"/>
        <v>0</v>
      </c>
      <c r="P104" s="63">
        <f t="shared" si="32"/>
        <v>0</v>
      </c>
      <c r="Q104" s="63">
        <f t="shared" si="32"/>
        <v>0</v>
      </c>
      <c r="R104" s="63">
        <f t="shared" si="33"/>
        <v>3858103.9626132138</v>
      </c>
      <c r="S104" s="63">
        <f t="shared" si="33"/>
        <v>0</v>
      </c>
      <c r="T104" s="63">
        <f t="shared" si="33"/>
        <v>5922878.9447043985</v>
      </c>
      <c r="U104" s="63">
        <f t="shared" si="33"/>
        <v>9692369.870854998</v>
      </c>
      <c r="V104" s="63">
        <f t="shared" si="33"/>
        <v>1652537.2742763211</v>
      </c>
      <c r="W104" s="63">
        <f t="shared" si="33"/>
        <v>2823781.7080614697</v>
      </c>
      <c r="X104" s="63">
        <f t="shared" si="33"/>
        <v>2024451.2359319795</v>
      </c>
      <c r="Y104" s="63">
        <f t="shared" si="33"/>
        <v>1128445.1242976843</v>
      </c>
      <c r="Z104" s="63">
        <f t="shared" si="33"/>
        <v>721495.0553491466</v>
      </c>
      <c r="AA104" s="63">
        <f t="shared" si="33"/>
        <v>735800.48083037196</v>
      </c>
      <c r="AB104" s="63">
        <f t="shared" si="33"/>
        <v>2378801.5875461265</v>
      </c>
      <c r="AC104" s="63">
        <f t="shared" si="33"/>
        <v>0</v>
      </c>
      <c r="AD104" s="63">
        <f t="shared" si="33"/>
        <v>0</v>
      </c>
      <c r="AE104" s="63">
        <f t="shared" si="33"/>
        <v>0</v>
      </c>
      <c r="AF104" s="63">
        <f t="shared" si="34"/>
        <v>104591140.99999999</v>
      </c>
      <c r="AG104" s="58" t="str">
        <f t="shared" si="35"/>
        <v>ok</v>
      </c>
    </row>
    <row r="105" spans="1:33">
      <c r="A105" s="68" t="s">
        <v>306</v>
      </c>
      <c r="B105" s="60"/>
      <c r="C105" s="44" t="s">
        <v>893</v>
      </c>
      <c r="D105" s="44" t="s">
        <v>1087</v>
      </c>
      <c r="F105" s="79">
        <v>0</v>
      </c>
      <c r="H105" s="63">
        <f t="shared" si="32"/>
        <v>0</v>
      </c>
      <c r="I105" s="63">
        <f t="shared" si="32"/>
        <v>0</v>
      </c>
      <c r="J105" s="63">
        <f t="shared" si="32"/>
        <v>0</v>
      </c>
      <c r="K105" s="63">
        <f t="shared" si="32"/>
        <v>0</v>
      </c>
      <c r="L105" s="63">
        <f t="shared" si="32"/>
        <v>0</v>
      </c>
      <c r="M105" s="63">
        <f t="shared" si="32"/>
        <v>0</v>
      </c>
      <c r="N105" s="63">
        <f t="shared" si="32"/>
        <v>0</v>
      </c>
      <c r="O105" s="63">
        <f t="shared" si="32"/>
        <v>0</v>
      </c>
      <c r="P105" s="63">
        <f t="shared" si="32"/>
        <v>0</v>
      </c>
      <c r="Q105" s="63">
        <f t="shared" si="32"/>
        <v>0</v>
      </c>
      <c r="R105" s="63">
        <f t="shared" si="33"/>
        <v>0</v>
      </c>
      <c r="S105" s="63">
        <f t="shared" si="33"/>
        <v>0</v>
      </c>
      <c r="T105" s="63">
        <f t="shared" si="33"/>
        <v>0</v>
      </c>
      <c r="U105" s="63">
        <f t="shared" si="33"/>
        <v>0</v>
      </c>
      <c r="V105" s="63">
        <f t="shared" si="33"/>
        <v>0</v>
      </c>
      <c r="W105" s="63">
        <f t="shared" si="33"/>
        <v>0</v>
      </c>
      <c r="X105" s="63">
        <f t="shared" si="33"/>
        <v>0</v>
      </c>
      <c r="Y105" s="63">
        <f t="shared" si="33"/>
        <v>0</v>
      </c>
      <c r="Z105" s="63">
        <f t="shared" si="33"/>
        <v>0</v>
      </c>
      <c r="AA105" s="63">
        <f t="shared" si="33"/>
        <v>0</v>
      </c>
      <c r="AB105" s="63">
        <f t="shared" si="33"/>
        <v>0</v>
      </c>
      <c r="AC105" s="63">
        <f t="shared" si="33"/>
        <v>0</v>
      </c>
      <c r="AD105" s="63">
        <f t="shared" si="33"/>
        <v>0</v>
      </c>
      <c r="AE105" s="63">
        <f t="shared" si="33"/>
        <v>0</v>
      </c>
      <c r="AF105" s="63">
        <f t="shared" si="34"/>
        <v>0</v>
      </c>
      <c r="AG105" s="58" t="str">
        <f t="shared" si="35"/>
        <v>ok</v>
      </c>
    </row>
    <row r="106" spans="1:33">
      <c r="A106" s="68" t="s">
        <v>1247</v>
      </c>
      <c r="B106" s="60"/>
      <c r="C106" s="44" t="s">
        <v>1248</v>
      </c>
      <c r="D106" s="44" t="s">
        <v>1087</v>
      </c>
      <c r="F106" s="79">
        <v>0</v>
      </c>
      <c r="H106" s="63">
        <f t="shared" si="32"/>
        <v>0</v>
      </c>
      <c r="I106" s="63">
        <f t="shared" si="32"/>
        <v>0</v>
      </c>
      <c r="J106" s="63">
        <f t="shared" si="32"/>
        <v>0</v>
      </c>
      <c r="K106" s="63">
        <f t="shared" si="32"/>
        <v>0</v>
      </c>
      <c r="L106" s="63">
        <f t="shared" si="32"/>
        <v>0</v>
      </c>
      <c r="M106" s="63">
        <f t="shared" si="32"/>
        <v>0</v>
      </c>
      <c r="N106" s="63">
        <f t="shared" si="32"/>
        <v>0</v>
      </c>
      <c r="O106" s="63">
        <f t="shared" si="32"/>
        <v>0</v>
      </c>
      <c r="P106" s="63">
        <f t="shared" si="32"/>
        <v>0</v>
      </c>
      <c r="Q106" s="63">
        <f t="shared" si="32"/>
        <v>0</v>
      </c>
      <c r="R106" s="63">
        <f t="shared" si="33"/>
        <v>0</v>
      </c>
      <c r="S106" s="63">
        <f t="shared" si="33"/>
        <v>0</v>
      </c>
      <c r="T106" s="63">
        <f t="shared" si="33"/>
        <v>0</v>
      </c>
      <c r="U106" s="63">
        <f t="shared" si="33"/>
        <v>0</v>
      </c>
      <c r="V106" s="63">
        <f t="shared" si="33"/>
        <v>0</v>
      </c>
      <c r="W106" s="63">
        <f t="shared" si="33"/>
        <v>0</v>
      </c>
      <c r="X106" s="63">
        <f t="shared" si="33"/>
        <v>0</v>
      </c>
      <c r="Y106" s="63">
        <f t="shared" si="33"/>
        <v>0</v>
      </c>
      <c r="Z106" s="63">
        <f t="shared" si="33"/>
        <v>0</v>
      </c>
      <c r="AA106" s="63">
        <f t="shared" si="33"/>
        <v>0</v>
      </c>
      <c r="AB106" s="63">
        <f t="shared" si="33"/>
        <v>0</v>
      </c>
      <c r="AC106" s="63">
        <f t="shared" si="33"/>
        <v>0</v>
      </c>
      <c r="AD106" s="63">
        <f t="shared" si="33"/>
        <v>0</v>
      </c>
      <c r="AE106" s="63">
        <f t="shared" si="33"/>
        <v>0</v>
      </c>
      <c r="AF106" s="63">
        <f t="shared" si="34"/>
        <v>0</v>
      </c>
      <c r="AG106" s="58" t="str">
        <f t="shared" si="35"/>
        <v>ok</v>
      </c>
    </row>
    <row r="107" spans="1:33">
      <c r="A107" s="60"/>
      <c r="B107" s="60"/>
      <c r="W107" s="44"/>
      <c r="AF107" s="63"/>
      <c r="AG107" s="58"/>
    </row>
    <row r="108" spans="1:33">
      <c r="A108" s="60" t="s">
        <v>894</v>
      </c>
      <c r="B108" s="60"/>
      <c r="C108" s="44" t="s">
        <v>895</v>
      </c>
      <c r="F108" s="80">
        <f>SUM(F101:F106)</f>
        <v>2177184343.7742662</v>
      </c>
      <c r="G108" s="64"/>
      <c r="H108" s="64">
        <f t="shared" ref="H108:M108" si="36">SUM(H101:H106)</f>
        <v>1370190191.5237219</v>
      </c>
      <c r="I108" s="64">
        <f t="shared" si="36"/>
        <v>0</v>
      </c>
      <c r="J108" s="64">
        <f t="shared" si="36"/>
        <v>0</v>
      </c>
      <c r="K108" s="64">
        <f t="shared" si="36"/>
        <v>0</v>
      </c>
      <c r="L108" s="64">
        <f t="shared" si="36"/>
        <v>0</v>
      </c>
      <c r="M108" s="64">
        <f t="shared" si="36"/>
        <v>0</v>
      </c>
      <c r="N108" s="64">
        <f>SUM(N101:N106)</f>
        <v>190338336.15950227</v>
      </c>
      <c r="O108" s="64">
        <f>SUM(O101:O106)</f>
        <v>0</v>
      </c>
      <c r="P108" s="64">
        <f>SUM(P101:P106)</f>
        <v>0</v>
      </c>
      <c r="Q108" s="64">
        <f t="shared" ref="Q108:AB108" si="37">SUM(Q101:Q106)</f>
        <v>0</v>
      </c>
      <c r="R108" s="64">
        <f t="shared" si="37"/>
        <v>76898024.8123312</v>
      </c>
      <c r="S108" s="64">
        <f t="shared" si="37"/>
        <v>0</v>
      </c>
      <c r="T108" s="64">
        <f t="shared" si="37"/>
        <v>118052208.14781187</v>
      </c>
      <c r="U108" s="64">
        <f t="shared" si="37"/>
        <v>193184037.04042956</v>
      </c>
      <c r="V108" s="64">
        <f t="shared" si="37"/>
        <v>32937643.348140787</v>
      </c>
      <c r="W108" s="64">
        <f t="shared" si="37"/>
        <v>56282370.292593166</v>
      </c>
      <c r="X108" s="64">
        <f t="shared" si="37"/>
        <v>40350468.230153017</v>
      </c>
      <c r="Y108" s="64">
        <f t="shared" si="37"/>
        <v>22491670.003838357</v>
      </c>
      <c r="Z108" s="64">
        <f t="shared" si="37"/>
        <v>14380520.899865428</v>
      </c>
      <c r="AA108" s="64">
        <f t="shared" si="37"/>
        <v>14665650.324646693</v>
      </c>
      <c r="AB108" s="64">
        <f t="shared" si="37"/>
        <v>47413222.991231687</v>
      </c>
      <c r="AC108" s="64">
        <f>SUM(AC101:AC106)</f>
        <v>0</v>
      </c>
      <c r="AD108" s="64">
        <f>SUM(AD101:AD106)</f>
        <v>0</v>
      </c>
      <c r="AE108" s="64">
        <f>SUM(AE101:AE106)</f>
        <v>0</v>
      </c>
      <c r="AF108" s="63">
        <f>SUM(H108:AE108)</f>
        <v>2177184343.7742662</v>
      </c>
      <c r="AG108" s="58" t="str">
        <f>IF(ABS(AF108-F108)&lt;1,"ok","err")</f>
        <v>ok</v>
      </c>
    </row>
    <row r="109" spans="1:33">
      <c r="A109" s="60"/>
      <c r="B109" s="60"/>
      <c r="F109" s="80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3"/>
      <c r="AG109" s="58"/>
    </row>
    <row r="110" spans="1:33" ht="14.1">
      <c r="A110" s="59" t="s">
        <v>896</v>
      </c>
      <c r="B110" s="60"/>
      <c r="C110" s="44" t="s">
        <v>897</v>
      </c>
      <c r="F110" s="80">
        <f>F98-F108</f>
        <v>4185367363.7841139</v>
      </c>
      <c r="G110" s="64"/>
      <c r="H110" s="64">
        <f t="shared" ref="H110:M110" si="38">H98-H108</f>
        <v>2495383412.90588</v>
      </c>
      <c r="I110" s="64">
        <f t="shared" si="38"/>
        <v>0</v>
      </c>
      <c r="J110" s="64">
        <f t="shared" si="38"/>
        <v>0</v>
      </c>
      <c r="K110" s="64">
        <f t="shared" si="38"/>
        <v>0</v>
      </c>
      <c r="L110" s="64">
        <f t="shared" si="38"/>
        <v>0</v>
      </c>
      <c r="M110" s="64">
        <f t="shared" si="38"/>
        <v>0</v>
      </c>
      <c r="N110" s="64">
        <f>N98-N108</f>
        <v>422249551.01956153</v>
      </c>
      <c r="O110" s="64">
        <f>O98-O108</f>
        <v>0</v>
      </c>
      <c r="P110" s="64">
        <f>P98-P108</f>
        <v>0</v>
      </c>
      <c r="Q110" s="64">
        <f t="shared" ref="Q110:AB110" si="39">Q98-Q108</f>
        <v>0</v>
      </c>
      <c r="R110" s="64">
        <f t="shared" si="39"/>
        <v>158088627.06224024</v>
      </c>
      <c r="S110" s="64">
        <f t="shared" si="39"/>
        <v>0</v>
      </c>
      <c r="T110" s="64">
        <f t="shared" si="39"/>
        <v>242694289.6556775</v>
      </c>
      <c r="U110" s="64">
        <f t="shared" si="39"/>
        <v>397151932.8434701</v>
      </c>
      <c r="V110" s="64">
        <f t="shared" si="39"/>
        <v>67713921.499038443</v>
      </c>
      <c r="W110" s="64">
        <f t="shared" si="39"/>
        <v>115706517.41808937</v>
      </c>
      <c r="X110" s="64">
        <f t="shared" si="39"/>
        <v>82953367.650094926</v>
      </c>
      <c r="Y110" s="64">
        <f t="shared" si="39"/>
        <v>46238862.960672498</v>
      </c>
      <c r="Z110" s="64">
        <f t="shared" si="39"/>
        <v>29563786.729864359</v>
      </c>
      <c r="AA110" s="64">
        <f t="shared" si="39"/>
        <v>30149961.984803911</v>
      </c>
      <c r="AB110" s="64">
        <f t="shared" si="39"/>
        <v>97473132.05472216</v>
      </c>
      <c r="AC110" s="64">
        <f>AC98-AC108</f>
        <v>0</v>
      </c>
      <c r="AD110" s="64">
        <f>AD98-AD108</f>
        <v>0</v>
      </c>
      <c r="AE110" s="64">
        <f>AE98-AE108</f>
        <v>0</v>
      </c>
      <c r="AF110" s="63">
        <f>SUM(H110:AE110)</f>
        <v>4185367363.7841148</v>
      </c>
      <c r="AG110" s="58" t="str">
        <f>IF(ABS(AF110-F110)&lt;1,"ok","err")</f>
        <v>ok</v>
      </c>
    </row>
    <row r="111" spans="1:33">
      <c r="A111" s="60"/>
      <c r="B111" s="60"/>
      <c r="W111" s="44"/>
      <c r="AG111" s="58"/>
    </row>
    <row r="112" spans="1:33" ht="14.1">
      <c r="A112" s="59" t="s">
        <v>898</v>
      </c>
      <c r="B112" s="60"/>
      <c r="W112" s="44"/>
      <c r="AG112" s="58"/>
    </row>
    <row r="113" spans="1:33">
      <c r="A113" s="60" t="s">
        <v>20</v>
      </c>
      <c r="B113" s="60"/>
      <c r="C113" s="44" t="s">
        <v>900</v>
      </c>
      <c r="D113" s="44" t="s">
        <v>901</v>
      </c>
      <c r="F113" s="76">
        <v>124454261.20118438</v>
      </c>
      <c r="G113" s="62"/>
      <c r="H113" s="63">
        <f t="shared" ref="H113:Q116" si="40">IF(VLOOKUP($D113,$C$6:$AE$653,H$2,)=0,0,((VLOOKUP($D113,$C$6:$AE$653,H$2,)/VLOOKUP($D113,$C$6:$AE$653,4,))*$F113))</f>
        <v>18304702.906885609</v>
      </c>
      <c r="I113" s="63">
        <f t="shared" si="40"/>
        <v>0</v>
      </c>
      <c r="J113" s="63">
        <f t="shared" si="40"/>
        <v>0</v>
      </c>
      <c r="K113" s="63">
        <f t="shared" si="40"/>
        <v>78365698.835726827</v>
      </c>
      <c r="L113" s="63">
        <f t="shared" si="40"/>
        <v>0</v>
      </c>
      <c r="M113" s="63">
        <f t="shared" si="40"/>
        <v>0</v>
      </c>
      <c r="N113" s="63">
        <f t="shared" si="40"/>
        <v>7147160.3919246458</v>
      </c>
      <c r="O113" s="63">
        <f t="shared" si="40"/>
        <v>0</v>
      </c>
      <c r="P113" s="63">
        <f t="shared" si="40"/>
        <v>0</v>
      </c>
      <c r="Q113" s="63">
        <f t="shared" si="40"/>
        <v>0</v>
      </c>
      <c r="R113" s="63">
        <f t="shared" ref="R113:AE116" si="41">IF(VLOOKUP($D113,$C$6:$AE$653,R$2,)=0,0,((VLOOKUP($D113,$C$6:$AE$653,R$2,)/VLOOKUP($D113,$C$6:$AE$653,4,))*$F113))</f>
        <v>1674371.5785027666</v>
      </c>
      <c r="S113" s="63">
        <f t="shared" si="41"/>
        <v>0</v>
      </c>
      <c r="T113" s="63">
        <f t="shared" si="41"/>
        <v>2737300.1031365888</v>
      </c>
      <c r="U113" s="63">
        <f t="shared" si="41"/>
        <v>4581334.3898577942</v>
      </c>
      <c r="V113" s="63">
        <f t="shared" si="41"/>
        <v>864545.87801861507</v>
      </c>
      <c r="W113" s="63">
        <f t="shared" si="41"/>
        <v>1497986.481835576</v>
      </c>
      <c r="X113" s="63">
        <f t="shared" si="41"/>
        <v>231636.64425344608</v>
      </c>
      <c r="Y113" s="63">
        <f t="shared" si="41"/>
        <v>129116.09683507387</v>
      </c>
      <c r="Z113" s="63">
        <f t="shared" si="41"/>
        <v>69035.573333810913</v>
      </c>
      <c r="AA113" s="63">
        <f t="shared" si="41"/>
        <v>2886219.7937749536</v>
      </c>
      <c r="AB113" s="63">
        <f t="shared" si="41"/>
        <v>347121.44414450112</v>
      </c>
      <c r="AC113" s="63">
        <f t="shared" si="41"/>
        <v>4604270.2204592507</v>
      </c>
      <c r="AD113" s="63">
        <f t="shared" si="41"/>
        <v>1013760.8624949354</v>
      </c>
      <c r="AE113" s="63">
        <f t="shared" si="41"/>
        <v>0</v>
      </c>
      <c r="AF113" s="63">
        <f>SUM(H113:AE113)</f>
        <v>124454261.20118439</v>
      </c>
      <c r="AG113" s="58" t="str">
        <f>IF(ABS(AF113-F113)&lt;1,"ok","err")</f>
        <v>ok</v>
      </c>
    </row>
    <row r="114" spans="1:33">
      <c r="A114" s="60" t="s">
        <v>888</v>
      </c>
      <c r="B114" s="60"/>
      <c r="C114" s="44" t="s">
        <v>4</v>
      </c>
      <c r="D114" s="44" t="s">
        <v>884</v>
      </c>
      <c r="F114" s="79">
        <v>44127132.932526901</v>
      </c>
      <c r="G114" s="63"/>
      <c r="H114" s="63">
        <f t="shared" si="40"/>
        <v>26924979.497146476</v>
      </c>
      <c r="I114" s="63">
        <f t="shared" si="40"/>
        <v>0</v>
      </c>
      <c r="J114" s="63">
        <f t="shared" si="40"/>
        <v>0</v>
      </c>
      <c r="K114" s="63">
        <f t="shared" si="40"/>
        <v>0</v>
      </c>
      <c r="L114" s="63">
        <f t="shared" si="40"/>
        <v>0</v>
      </c>
      <c r="M114" s="63">
        <f t="shared" si="40"/>
        <v>0</v>
      </c>
      <c r="N114" s="63">
        <f t="shared" si="40"/>
        <v>4135172.7107143058</v>
      </c>
      <c r="O114" s="63">
        <f t="shared" si="40"/>
        <v>0</v>
      </c>
      <c r="P114" s="63">
        <f t="shared" si="40"/>
        <v>0</v>
      </c>
      <c r="Q114" s="63">
        <f t="shared" si="40"/>
        <v>0</v>
      </c>
      <c r="R114" s="63">
        <f t="shared" si="41"/>
        <v>1629474.6303654078</v>
      </c>
      <c r="S114" s="63">
        <f t="shared" si="41"/>
        <v>0</v>
      </c>
      <c r="T114" s="63">
        <f t="shared" si="41"/>
        <v>2501534.7104810029</v>
      </c>
      <c r="U114" s="63">
        <f t="shared" si="41"/>
        <v>4093583.5233374205</v>
      </c>
      <c r="V114" s="63">
        <f t="shared" si="41"/>
        <v>697951.01175619208</v>
      </c>
      <c r="W114" s="63">
        <f t="shared" si="41"/>
        <v>1192627.4407233633</v>
      </c>
      <c r="X114" s="63">
        <f t="shared" si="41"/>
        <v>855029.29971038969</v>
      </c>
      <c r="Y114" s="63">
        <f t="shared" si="41"/>
        <v>476600.09155304299</v>
      </c>
      <c r="Z114" s="63">
        <f t="shared" si="41"/>
        <v>304724.26352897199</v>
      </c>
      <c r="AA114" s="63">
        <f t="shared" si="41"/>
        <v>310766.1763763518</v>
      </c>
      <c r="AB114" s="63">
        <f t="shared" si="41"/>
        <v>1004689.5768339796</v>
      </c>
      <c r="AC114" s="63">
        <f t="shared" si="41"/>
        <v>0</v>
      </c>
      <c r="AD114" s="63">
        <f t="shared" si="41"/>
        <v>0</v>
      </c>
      <c r="AE114" s="63">
        <f t="shared" si="41"/>
        <v>0</v>
      </c>
      <c r="AF114" s="63">
        <f>SUM(H114:AE114)</f>
        <v>44127132.932526901</v>
      </c>
      <c r="AG114" s="58" t="str">
        <f>IF(ABS(AF114-F114)&lt;1,"ok","err")</f>
        <v>ok</v>
      </c>
    </row>
    <row r="115" spans="1:33">
      <c r="A115" s="60" t="s">
        <v>902</v>
      </c>
      <c r="B115" s="60"/>
      <c r="C115" s="44" t="s">
        <v>903</v>
      </c>
      <c r="D115" s="44" t="s">
        <v>884</v>
      </c>
      <c r="F115" s="79">
        <v>14687906.328766206</v>
      </c>
      <c r="H115" s="63">
        <f t="shared" si="40"/>
        <v>8962095.4382587802</v>
      </c>
      <c r="I115" s="63">
        <f t="shared" si="40"/>
        <v>0</v>
      </c>
      <c r="J115" s="63">
        <f t="shared" si="40"/>
        <v>0</v>
      </c>
      <c r="K115" s="63">
        <f t="shared" si="40"/>
        <v>0</v>
      </c>
      <c r="L115" s="63">
        <f t="shared" si="40"/>
        <v>0</v>
      </c>
      <c r="M115" s="63">
        <f t="shared" si="40"/>
        <v>0</v>
      </c>
      <c r="N115" s="63">
        <f t="shared" si="40"/>
        <v>1376410.0541295672</v>
      </c>
      <c r="O115" s="63">
        <f t="shared" si="40"/>
        <v>0</v>
      </c>
      <c r="P115" s="63">
        <f t="shared" si="40"/>
        <v>0</v>
      </c>
      <c r="Q115" s="63">
        <f t="shared" si="40"/>
        <v>0</v>
      </c>
      <c r="R115" s="63">
        <f t="shared" si="41"/>
        <v>542377.65169343655</v>
      </c>
      <c r="S115" s="63">
        <f t="shared" si="41"/>
        <v>0</v>
      </c>
      <c r="T115" s="63">
        <f t="shared" si="41"/>
        <v>832646.60683673935</v>
      </c>
      <c r="U115" s="63">
        <f t="shared" si="41"/>
        <v>1362566.9139143343</v>
      </c>
      <c r="V115" s="63">
        <f t="shared" si="41"/>
        <v>232316.00154983174</v>
      </c>
      <c r="W115" s="63">
        <f t="shared" si="41"/>
        <v>396971.18236178649</v>
      </c>
      <c r="X115" s="63">
        <f t="shared" si="41"/>
        <v>284600.18650429038</v>
      </c>
      <c r="Y115" s="63">
        <f t="shared" si="41"/>
        <v>158638.394017493</v>
      </c>
      <c r="Z115" s="63">
        <f t="shared" si="41"/>
        <v>101428.78409208056</v>
      </c>
      <c r="AA115" s="63">
        <f t="shared" si="41"/>
        <v>103439.86081633948</v>
      </c>
      <c r="AB115" s="63">
        <f t="shared" si="41"/>
        <v>334415.25459152949</v>
      </c>
      <c r="AC115" s="63">
        <f t="shared" si="41"/>
        <v>0</v>
      </c>
      <c r="AD115" s="63">
        <f t="shared" si="41"/>
        <v>0</v>
      </c>
      <c r="AE115" s="63">
        <f t="shared" si="41"/>
        <v>0</v>
      </c>
      <c r="AF115" s="63">
        <f>SUM(H115:AE115)</f>
        <v>14687906.32876621</v>
      </c>
      <c r="AG115" s="58" t="str">
        <f>IF(ABS(AF115-F115)&lt;1,"ok","err")</f>
        <v>ok</v>
      </c>
    </row>
    <row r="116" spans="1:33">
      <c r="A116" s="60" t="s">
        <v>1192</v>
      </c>
      <c r="B116" s="60"/>
      <c r="D116" s="44" t="s">
        <v>616</v>
      </c>
      <c r="F116" s="79">
        <v>33196476.108729374</v>
      </c>
      <c r="H116" s="63">
        <f t="shared" si="40"/>
        <v>33196476.108729374</v>
      </c>
      <c r="I116" s="63">
        <f t="shared" si="40"/>
        <v>0</v>
      </c>
      <c r="J116" s="63">
        <f t="shared" si="40"/>
        <v>0</v>
      </c>
      <c r="K116" s="63">
        <f t="shared" si="40"/>
        <v>0</v>
      </c>
      <c r="L116" s="63">
        <f t="shared" si="40"/>
        <v>0</v>
      </c>
      <c r="M116" s="63">
        <f t="shared" si="40"/>
        <v>0</v>
      </c>
      <c r="N116" s="63">
        <f t="shared" si="40"/>
        <v>0</v>
      </c>
      <c r="O116" s="63">
        <f t="shared" si="40"/>
        <v>0</v>
      </c>
      <c r="P116" s="63">
        <f t="shared" si="40"/>
        <v>0</v>
      </c>
      <c r="Q116" s="63">
        <f t="shared" si="40"/>
        <v>0</v>
      </c>
      <c r="R116" s="63">
        <f t="shared" si="41"/>
        <v>0</v>
      </c>
      <c r="S116" s="63">
        <f t="shared" si="41"/>
        <v>0</v>
      </c>
      <c r="T116" s="63">
        <f t="shared" si="41"/>
        <v>0</v>
      </c>
      <c r="U116" s="63">
        <f t="shared" si="41"/>
        <v>0</v>
      </c>
      <c r="V116" s="63">
        <f t="shared" si="41"/>
        <v>0</v>
      </c>
      <c r="W116" s="63">
        <f t="shared" si="41"/>
        <v>0</v>
      </c>
      <c r="X116" s="63">
        <f t="shared" si="41"/>
        <v>0</v>
      </c>
      <c r="Y116" s="63">
        <f t="shared" si="41"/>
        <v>0</v>
      </c>
      <c r="Z116" s="63">
        <f t="shared" si="41"/>
        <v>0</v>
      </c>
      <c r="AA116" s="63">
        <f t="shared" si="41"/>
        <v>0</v>
      </c>
      <c r="AB116" s="63">
        <f t="shared" si="41"/>
        <v>0</v>
      </c>
      <c r="AC116" s="63">
        <f t="shared" si="41"/>
        <v>0</v>
      </c>
      <c r="AD116" s="63">
        <f t="shared" si="41"/>
        <v>0</v>
      </c>
      <c r="AE116" s="63">
        <f t="shared" si="41"/>
        <v>0</v>
      </c>
      <c r="AF116" s="63">
        <f>SUM(H116:AE116)</f>
        <v>33196476.108729374</v>
      </c>
      <c r="AG116" s="58" t="str">
        <f>IF(ABS(AF116-F116)&lt;1,"ok","err")</f>
        <v>ok</v>
      </c>
    </row>
    <row r="117" spans="1:33">
      <c r="A117" s="68" t="s">
        <v>904</v>
      </c>
      <c r="B117" s="60"/>
      <c r="C117" s="44" t="s">
        <v>905</v>
      </c>
      <c r="F117" s="80">
        <f>SUM(F113:F116)</f>
        <v>216465776.57120684</v>
      </c>
      <c r="G117" s="64"/>
      <c r="H117" s="64">
        <f t="shared" ref="H117:M117" si="42">SUM(H113:H116)</f>
        <v>87388253.951020241</v>
      </c>
      <c r="I117" s="64">
        <f t="shared" si="42"/>
        <v>0</v>
      </c>
      <c r="J117" s="64">
        <f t="shared" si="42"/>
        <v>0</v>
      </c>
      <c r="K117" s="64">
        <f t="shared" si="42"/>
        <v>78365698.835726827</v>
      </c>
      <c r="L117" s="64">
        <f t="shared" si="42"/>
        <v>0</v>
      </c>
      <c r="M117" s="64">
        <f t="shared" si="42"/>
        <v>0</v>
      </c>
      <c r="N117" s="64">
        <f>SUM(N113:N116)</f>
        <v>12658743.156768519</v>
      </c>
      <c r="O117" s="64">
        <f>SUM(O113:O116)</f>
        <v>0</v>
      </c>
      <c r="P117" s="64">
        <f>SUM(P113:P116)</f>
        <v>0</v>
      </c>
      <c r="Q117" s="64">
        <f t="shared" ref="Q117:AB117" si="43">SUM(Q113:Q116)</f>
        <v>0</v>
      </c>
      <c r="R117" s="64">
        <f t="shared" si="43"/>
        <v>3846223.8605616111</v>
      </c>
      <c r="S117" s="64">
        <f t="shared" si="43"/>
        <v>0</v>
      </c>
      <c r="T117" s="64">
        <f t="shared" si="43"/>
        <v>6071481.4204543307</v>
      </c>
      <c r="U117" s="64">
        <f t="shared" si="43"/>
        <v>10037484.827109549</v>
      </c>
      <c r="V117" s="64">
        <f t="shared" si="43"/>
        <v>1794812.8913246391</v>
      </c>
      <c r="W117" s="64">
        <f t="shared" si="43"/>
        <v>3087585.1049207253</v>
      </c>
      <c r="X117" s="64">
        <f t="shared" si="43"/>
        <v>1371266.1304681262</v>
      </c>
      <c r="Y117" s="64">
        <f t="shared" si="43"/>
        <v>764354.58240560989</v>
      </c>
      <c r="Z117" s="64">
        <f t="shared" si="43"/>
        <v>475188.62095486344</v>
      </c>
      <c r="AA117" s="64">
        <f t="shared" si="43"/>
        <v>3300425.8309676447</v>
      </c>
      <c r="AB117" s="64">
        <f t="shared" si="43"/>
        <v>1686226.2755700101</v>
      </c>
      <c r="AC117" s="64">
        <f>SUM(AC113:AC116)</f>
        <v>4604270.2204592507</v>
      </c>
      <c r="AD117" s="64">
        <f>SUM(AD113:AD116)</f>
        <v>1013760.8624949354</v>
      </c>
      <c r="AE117" s="64">
        <f>SUM(AE113:AE116)</f>
        <v>0</v>
      </c>
      <c r="AF117" s="63">
        <f>SUM(H117:AE117)</f>
        <v>216465776.57120687</v>
      </c>
      <c r="AG117" s="58" t="str">
        <f>IF(ABS(AF117-F117)&lt;1,"ok","err")</f>
        <v>ok</v>
      </c>
    </row>
    <row r="118" spans="1:33">
      <c r="A118" s="60"/>
      <c r="B118" s="60"/>
      <c r="W118" s="44"/>
      <c r="AG118" s="58"/>
    </row>
    <row r="119" spans="1:33" ht="14.1">
      <c r="A119" s="59" t="s">
        <v>43</v>
      </c>
      <c r="B119" s="60"/>
      <c r="I119" s="66"/>
      <c r="W119" s="44"/>
      <c r="AG119" s="58"/>
    </row>
    <row r="120" spans="1:33">
      <c r="A120" s="60" t="s">
        <v>140</v>
      </c>
      <c r="B120" s="60"/>
      <c r="C120" s="44" t="s">
        <v>141</v>
      </c>
      <c r="D120" s="44" t="s">
        <v>98</v>
      </c>
      <c r="F120" s="76">
        <v>0</v>
      </c>
      <c r="H120" s="63">
        <f t="shared" ref="H120:Q121" si="44">IF(VLOOKUP($D120,$C$6:$AE$653,H$2,)=0,0,((VLOOKUP($D120,$C$6:$AE$653,H$2,)/VLOOKUP($D120,$C$6:$AE$653,4,))*$F120))</f>
        <v>0</v>
      </c>
      <c r="I120" s="63">
        <f t="shared" si="44"/>
        <v>0</v>
      </c>
      <c r="J120" s="63">
        <f t="shared" si="44"/>
        <v>0</v>
      </c>
      <c r="K120" s="63">
        <f t="shared" si="44"/>
        <v>0</v>
      </c>
      <c r="L120" s="63">
        <f t="shared" si="44"/>
        <v>0</v>
      </c>
      <c r="M120" s="63">
        <f t="shared" si="44"/>
        <v>0</v>
      </c>
      <c r="N120" s="63">
        <f t="shared" si="44"/>
        <v>0</v>
      </c>
      <c r="O120" s="63">
        <f t="shared" si="44"/>
        <v>0</v>
      </c>
      <c r="P120" s="63">
        <f t="shared" si="44"/>
        <v>0</v>
      </c>
      <c r="Q120" s="63">
        <f t="shared" si="44"/>
        <v>0</v>
      </c>
      <c r="R120" s="63">
        <f t="shared" ref="R120:AE121" si="45">IF(VLOOKUP($D120,$C$6:$AE$653,R$2,)=0,0,((VLOOKUP($D120,$C$6:$AE$653,R$2,)/VLOOKUP($D120,$C$6:$AE$653,4,))*$F120))</f>
        <v>0</v>
      </c>
      <c r="S120" s="63">
        <f t="shared" si="45"/>
        <v>0</v>
      </c>
      <c r="T120" s="63">
        <f t="shared" si="45"/>
        <v>0</v>
      </c>
      <c r="U120" s="63">
        <f t="shared" si="45"/>
        <v>0</v>
      </c>
      <c r="V120" s="63">
        <f t="shared" si="45"/>
        <v>0</v>
      </c>
      <c r="W120" s="63">
        <f t="shared" si="45"/>
        <v>0</v>
      </c>
      <c r="X120" s="63">
        <f t="shared" si="45"/>
        <v>0</v>
      </c>
      <c r="Y120" s="63">
        <f t="shared" si="45"/>
        <v>0</v>
      </c>
      <c r="Z120" s="63">
        <f t="shared" si="45"/>
        <v>0</v>
      </c>
      <c r="AA120" s="63">
        <f t="shared" si="45"/>
        <v>0</v>
      </c>
      <c r="AB120" s="63">
        <f t="shared" si="45"/>
        <v>0</v>
      </c>
      <c r="AC120" s="63">
        <f t="shared" si="45"/>
        <v>0</v>
      </c>
      <c r="AD120" s="63">
        <f t="shared" si="45"/>
        <v>0</v>
      </c>
      <c r="AE120" s="63">
        <f t="shared" si="45"/>
        <v>0</v>
      </c>
      <c r="AF120" s="63">
        <f>SUM(H120:AE120)</f>
        <v>0</v>
      </c>
      <c r="AG120" s="58" t="str">
        <f>IF(ABS(AF120-F120)&lt;1,"ok","err")</f>
        <v>ok</v>
      </c>
    </row>
    <row r="121" spans="1:33">
      <c r="A121" s="60" t="s">
        <v>156</v>
      </c>
      <c r="B121" s="60"/>
      <c r="C121" s="44" t="s">
        <v>5</v>
      </c>
      <c r="D121" s="44" t="s">
        <v>18</v>
      </c>
      <c r="F121" s="79">
        <v>0</v>
      </c>
      <c r="H121" s="63">
        <f t="shared" si="44"/>
        <v>0</v>
      </c>
      <c r="I121" s="63">
        <f t="shared" si="44"/>
        <v>0</v>
      </c>
      <c r="J121" s="63">
        <f t="shared" si="44"/>
        <v>0</v>
      </c>
      <c r="K121" s="63">
        <f t="shared" si="44"/>
        <v>0</v>
      </c>
      <c r="L121" s="63">
        <f t="shared" si="44"/>
        <v>0</v>
      </c>
      <c r="M121" s="63">
        <f t="shared" si="44"/>
        <v>0</v>
      </c>
      <c r="N121" s="63">
        <f t="shared" si="44"/>
        <v>0</v>
      </c>
      <c r="O121" s="63">
        <f t="shared" si="44"/>
        <v>0</v>
      </c>
      <c r="P121" s="63">
        <f t="shared" si="44"/>
        <v>0</v>
      </c>
      <c r="Q121" s="63">
        <f t="shared" si="44"/>
        <v>0</v>
      </c>
      <c r="R121" s="63">
        <f t="shared" si="45"/>
        <v>0</v>
      </c>
      <c r="S121" s="63">
        <f t="shared" si="45"/>
        <v>0</v>
      </c>
      <c r="T121" s="63">
        <f t="shared" si="45"/>
        <v>0</v>
      </c>
      <c r="U121" s="63">
        <f t="shared" si="45"/>
        <v>0</v>
      </c>
      <c r="V121" s="63">
        <f t="shared" si="45"/>
        <v>0</v>
      </c>
      <c r="W121" s="63">
        <f t="shared" si="45"/>
        <v>0</v>
      </c>
      <c r="X121" s="63">
        <f t="shared" si="45"/>
        <v>0</v>
      </c>
      <c r="Y121" s="63">
        <f t="shared" si="45"/>
        <v>0</v>
      </c>
      <c r="Z121" s="63">
        <f t="shared" si="45"/>
        <v>0</v>
      </c>
      <c r="AA121" s="63">
        <f t="shared" si="45"/>
        <v>0</v>
      </c>
      <c r="AB121" s="63">
        <f t="shared" si="45"/>
        <v>0</v>
      </c>
      <c r="AC121" s="63">
        <f t="shared" si="45"/>
        <v>0</v>
      </c>
      <c r="AD121" s="63">
        <f t="shared" si="45"/>
        <v>0</v>
      </c>
      <c r="AE121" s="63">
        <f t="shared" si="45"/>
        <v>0</v>
      </c>
      <c r="AF121" s="63">
        <f>SUM(H121:AE121)</f>
        <v>0</v>
      </c>
      <c r="AG121" s="58" t="str">
        <f>IF(ABS(AF121-F121)&lt;1,"ok","err")</f>
        <v>ok</v>
      </c>
    </row>
    <row r="122" spans="1:33">
      <c r="A122" s="60"/>
      <c r="B122" s="60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58"/>
    </row>
    <row r="123" spans="1:33">
      <c r="A123" s="60" t="s">
        <v>1066</v>
      </c>
      <c r="B123" s="60"/>
      <c r="F123" s="80">
        <f t="shared" ref="F123:M123" si="46">SUM(F120:F121)</f>
        <v>0</v>
      </c>
      <c r="G123" s="64"/>
      <c r="H123" s="64">
        <f t="shared" si="46"/>
        <v>0</v>
      </c>
      <c r="I123" s="64">
        <f t="shared" si="46"/>
        <v>0</v>
      </c>
      <c r="J123" s="64">
        <f t="shared" si="46"/>
        <v>0</v>
      </c>
      <c r="K123" s="64">
        <f t="shared" si="46"/>
        <v>0</v>
      </c>
      <c r="L123" s="64">
        <f t="shared" si="46"/>
        <v>0</v>
      </c>
      <c r="M123" s="64">
        <f t="shared" si="46"/>
        <v>0</v>
      </c>
      <c r="N123" s="64">
        <f>SUM(N120:N121)</f>
        <v>0</v>
      </c>
      <c r="O123" s="64">
        <f>SUM(O120:O121)</f>
        <v>0</v>
      </c>
      <c r="P123" s="64">
        <f>SUM(P120:P121)</f>
        <v>0</v>
      </c>
      <c r="Q123" s="64">
        <f t="shared" ref="Q123:AB123" si="47">SUM(Q120:Q121)</f>
        <v>0</v>
      </c>
      <c r="R123" s="64">
        <f t="shared" si="47"/>
        <v>0</v>
      </c>
      <c r="S123" s="64">
        <f t="shared" si="47"/>
        <v>0</v>
      </c>
      <c r="T123" s="64">
        <f t="shared" si="47"/>
        <v>0</v>
      </c>
      <c r="U123" s="64">
        <f t="shared" si="47"/>
        <v>0</v>
      </c>
      <c r="V123" s="64">
        <f t="shared" si="47"/>
        <v>0</v>
      </c>
      <c r="W123" s="64">
        <f t="shared" si="47"/>
        <v>0</v>
      </c>
      <c r="X123" s="64">
        <f t="shared" si="47"/>
        <v>0</v>
      </c>
      <c r="Y123" s="64">
        <f t="shared" si="47"/>
        <v>0</v>
      </c>
      <c r="Z123" s="64">
        <f t="shared" si="47"/>
        <v>0</v>
      </c>
      <c r="AA123" s="64">
        <f t="shared" si="47"/>
        <v>0</v>
      </c>
      <c r="AB123" s="64">
        <f t="shared" si="47"/>
        <v>0</v>
      </c>
      <c r="AC123" s="64">
        <f>SUM(AC120:AC121)</f>
        <v>0</v>
      </c>
      <c r="AD123" s="64">
        <f>SUM(AD120:AD121)</f>
        <v>0</v>
      </c>
      <c r="AE123" s="64">
        <f>SUM(AE120:AE121)</f>
        <v>0</v>
      </c>
      <c r="AF123" s="63">
        <f>SUM(H123:AE123)</f>
        <v>0</v>
      </c>
      <c r="AG123" s="58" t="str">
        <f>IF(ABS(AF123-F123)&lt;1,"ok","err")</f>
        <v>ok</v>
      </c>
    </row>
    <row r="124" spans="1:33">
      <c r="A124" s="60" t="s">
        <v>600</v>
      </c>
      <c r="B124" s="60"/>
      <c r="C124" s="44" t="s">
        <v>906</v>
      </c>
      <c r="D124" s="44" t="s">
        <v>817</v>
      </c>
      <c r="F124" s="76">
        <v>2369448.1870918632</v>
      </c>
      <c r="H124" s="63">
        <f t="shared" ref="H124:AE124" si="48">IF(VLOOKUP($D124,$C$6:$AE$653,H$2,)=0,0,((VLOOKUP($D124,$C$6:$AE$653,H$2,)/VLOOKUP($D124,$C$6:$AE$653,4,))*$F124))</f>
        <v>0</v>
      </c>
      <c r="I124" s="63">
        <f t="shared" si="48"/>
        <v>0</v>
      </c>
      <c r="J124" s="63">
        <f t="shared" si="48"/>
        <v>0</v>
      </c>
      <c r="K124" s="63">
        <f t="shared" si="48"/>
        <v>0</v>
      </c>
      <c r="L124" s="63">
        <f t="shared" si="48"/>
        <v>0</v>
      </c>
      <c r="M124" s="63">
        <f t="shared" si="48"/>
        <v>0</v>
      </c>
      <c r="N124" s="63">
        <f t="shared" si="48"/>
        <v>0</v>
      </c>
      <c r="O124" s="63">
        <f t="shared" si="48"/>
        <v>0</v>
      </c>
      <c r="P124" s="63">
        <f t="shared" si="48"/>
        <v>0</v>
      </c>
      <c r="Q124" s="63">
        <f t="shared" si="48"/>
        <v>0</v>
      </c>
      <c r="R124" s="63">
        <f t="shared" si="48"/>
        <v>0</v>
      </c>
      <c r="S124" s="63">
        <f t="shared" si="48"/>
        <v>0</v>
      </c>
      <c r="T124" s="63">
        <f t="shared" si="48"/>
        <v>698499.7347674988</v>
      </c>
      <c r="U124" s="63">
        <f t="shared" si="48"/>
        <v>1143045.104798879</v>
      </c>
      <c r="V124" s="63">
        <f t="shared" si="48"/>
        <v>194887.80009719159</v>
      </c>
      <c r="W124" s="63">
        <f t="shared" si="48"/>
        <v>333015.54742829397</v>
      </c>
      <c r="X124" s="63">
        <f t="shared" si="48"/>
        <v>0</v>
      </c>
      <c r="Y124" s="63">
        <f t="shared" si="48"/>
        <v>0</v>
      </c>
      <c r="Z124" s="63">
        <f t="shared" si="48"/>
        <v>0</v>
      </c>
      <c r="AA124" s="63">
        <f t="shared" si="48"/>
        <v>0</v>
      </c>
      <c r="AB124" s="63">
        <f t="shared" si="48"/>
        <v>0</v>
      </c>
      <c r="AC124" s="63">
        <f t="shared" si="48"/>
        <v>0</v>
      </c>
      <c r="AD124" s="63">
        <f t="shared" si="48"/>
        <v>0</v>
      </c>
      <c r="AE124" s="63">
        <f t="shared" si="48"/>
        <v>0</v>
      </c>
      <c r="AF124" s="63">
        <f>SUM(H124:AE124)</f>
        <v>2369448.1870918637</v>
      </c>
      <c r="AG124" s="58" t="str">
        <f>IF(ABS(AF124-F124)&lt;1,"ok","err")</f>
        <v>ok</v>
      </c>
    </row>
    <row r="125" spans="1:33">
      <c r="A125" s="60" t="s">
        <v>673</v>
      </c>
      <c r="B125" s="60"/>
      <c r="F125" s="76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58"/>
    </row>
    <row r="126" spans="1:33">
      <c r="A126" s="68" t="s">
        <v>1088</v>
      </c>
      <c r="B126" s="60"/>
      <c r="C126" s="44" t="s">
        <v>601</v>
      </c>
      <c r="D126" s="44" t="s">
        <v>884</v>
      </c>
      <c r="F126" s="76">
        <v>939385876.00808799</v>
      </c>
      <c r="H126" s="63">
        <f t="shared" ref="H126:Q129" si="49">IF(VLOOKUP($D126,$C$6:$AE$653,H$2,)=0,0,((VLOOKUP($D126,$C$6:$AE$653,H$2,)/VLOOKUP($D126,$C$6:$AE$653,4,))*$F126))</f>
        <v>573183521.57846332</v>
      </c>
      <c r="I126" s="63">
        <f t="shared" si="49"/>
        <v>0</v>
      </c>
      <c r="J126" s="63">
        <f t="shared" si="49"/>
        <v>0</v>
      </c>
      <c r="K126" s="63">
        <f t="shared" si="49"/>
        <v>0</v>
      </c>
      <c r="L126" s="63">
        <f t="shared" si="49"/>
        <v>0</v>
      </c>
      <c r="M126" s="63">
        <f t="shared" si="49"/>
        <v>0</v>
      </c>
      <c r="N126" s="63">
        <f t="shared" si="49"/>
        <v>88030256.695778817</v>
      </c>
      <c r="O126" s="63">
        <f t="shared" si="49"/>
        <v>0</v>
      </c>
      <c r="P126" s="63">
        <f t="shared" si="49"/>
        <v>0</v>
      </c>
      <c r="Q126" s="63">
        <f t="shared" si="49"/>
        <v>0</v>
      </c>
      <c r="R126" s="63">
        <f t="shared" ref="R126:AE129" si="50">IF(VLOOKUP($D126,$C$6:$AE$653,R$2,)=0,0,((VLOOKUP($D126,$C$6:$AE$653,R$2,)/VLOOKUP($D126,$C$6:$AE$653,4,))*$F126))</f>
        <v>34688531.779739842</v>
      </c>
      <c r="S126" s="63">
        <f t="shared" si="50"/>
        <v>0</v>
      </c>
      <c r="T126" s="63">
        <f t="shared" si="50"/>
        <v>53253094.393487722</v>
      </c>
      <c r="U126" s="63">
        <f t="shared" si="50"/>
        <v>87144899.034399867</v>
      </c>
      <c r="V126" s="63">
        <f t="shared" si="50"/>
        <v>14858099.292148527</v>
      </c>
      <c r="W126" s="63">
        <f t="shared" si="50"/>
        <v>25388854.854183827</v>
      </c>
      <c r="X126" s="63">
        <f t="shared" si="50"/>
        <v>18202008.47739581</v>
      </c>
      <c r="Y126" s="63">
        <f t="shared" si="50"/>
        <v>10145943.4310783</v>
      </c>
      <c r="Z126" s="63">
        <f t="shared" si="50"/>
        <v>6487021.7077955706</v>
      </c>
      <c r="AA126" s="63">
        <f t="shared" si="50"/>
        <v>6615642.9713065913</v>
      </c>
      <c r="AB126" s="63">
        <f t="shared" si="50"/>
        <v>21388001.792309914</v>
      </c>
      <c r="AC126" s="63">
        <f t="shared" si="50"/>
        <v>0</v>
      </c>
      <c r="AD126" s="63">
        <f t="shared" si="50"/>
        <v>0</v>
      </c>
      <c r="AE126" s="63">
        <f t="shared" si="50"/>
        <v>0</v>
      </c>
      <c r="AF126" s="63">
        <f>SUM(H126:AE126)</f>
        <v>939385876.00808799</v>
      </c>
      <c r="AG126" s="58" t="str">
        <f>IF(ABS(AF126-F126)&lt;1,"ok","err")</f>
        <v>ok</v>
      </c>
    </row>
    <row r="127" spans="1:33" s="60" customFormat="1">
      <c r="A127" s="68" t="s">
        <v>1089</v>
      </c>
      <c r="C127" s="60" t="s">
        <v>601</v>
      </c>
      <c r="D127" s="60" t="s">
        <v>884</v>
      </c>
      <c r="F127" s="76">
        <v>0</v>
      </c>
      <c r="H127" s="79">
        <f t="shared" si="49"/>
        <v>0</v>
      </c>
      <c r="I127" s="79">
        <f t="shared" si="49"/>
        <v>0</v>
      </c>
      <c r="J127" s="79">
        <f t="shared" si="49"/>
        <v>0</v>
      </c>
      <c r="K127" s="79">
        <f t="shared" si="49"/>
        <v>0</v>
      </c>
      <c r="L127" s="79">
        <f t="shared" si="49"/>
        <v>0</v>
      </c>
      <c r="M127" s="79">
        <f t="shared" si="49"/>
        <v>0</v>
      </c>
      <c r="N127" s="79">
        <f t="shared" si="49"/>
        <v>0</v>
      </c>
      <c r="O127" s="79">
        <f t="shared" si="49"/>
        <v>0</v>
      </c>
      <c r="P127" s="79">
        <f t="shared" si="49"/>
        <v>0</v>
      </c>
      <c r="Q127" s="79">
        <f t="shared" si="49"/>
        <v>0</v>
      </c>
      <c r="R127" s="79">
        <f t="shared" si="50"/>
        <v>0</v>
      </c>
      <c r="S127" s="79">
        <f t="shared" si="50"/>
        <v>0</v>
      </c>
      <c r="T127" s="79">
        <f t="shared" si="50"/>
        <v>0</v>
      </c>
      <c r="U127" s="79">
        <f t="shared" si="50"/>
        <v>0</v>
      </c>
      <c r="V127" s="79">
        <f t="shared" si="50"/>
        <v>0</v>
      </c>
      <c r="W127" s="79">
        <f t="shared" si="50"/>
        <v>0</v>
      </c>
      <c r="X127" s="79">
        <f t="shared" si="50"/>
        <v>0</v>
      </c>
      <c r="Y127" s="79">
        <f t="shared" si="50"/>
        <v>0</v>
      </c>
      <c r="Z127" s="79">
        <f t="shared" si="50"/>
        <v>0</v>
      </c>
      <c r="AA127" s="79">
        <f t="shared" si="50"/>
        <v>0</v>
      </c>
      <c r="AB127" s="79">
        <f t="shared" si="50"/>
        <v>0</v>
      </c>
      <c r="AC127" s="79">
        <f t="shared" si="50"/>
        <v>0</v>
      </c>
      <c r="AD127" s="79">
        <f t="shared" si="50"/>
        <v>0</v>
      </c>
      <c r="AE127" s="79">
        <f t="shared" si="50"/>
        <v>0</v>
      </c>
      <c r="AF127" s="79">
        <f>SUM(H127:AE127)</f>
        <v>0</v>
      </c>
      <c r="AG127" s="93" t="str">
        <f>IF(ABS(AF127-F127)&lt;1,"ok","err")</f>
        <v>ok</v>
      </c>
    </row>
    <row r="128" spans="1:33" s="60" customFormat="1">
      <c r="A128" s="68" t="s">
        <v>1090</v>
      </c>
      <c r="C128" s="60" t="s">
        <v>601</v>
      </c>
      <c r="D128" s="60" t="s">
        <v>884</v>
      </c>
      <c r="F128" s="76">
        <v>0</v>
      </c>
      <c r="H128" s="79">
        <f t="shared" si="49"/>
        <v>0</v>
      </c>
      <c r="I128" s="79">
        <f t="shared" si="49"/>
        <v>0</v>
      </c>
      <c r="J128" s="79">
        <f t="shared" si="49"/>
        <v>0</v>
      </c>
      <c r="K128" s="79">
        <f t="shared" si="49"/>
        <v>0</v>
      </c>
      <c r="L128" s="79">
        <f t="shared" si="49"/>
        <v>0</v>
      </c>
      <c r="M128" s="79">
        <f t="shared" si="49"/>
        <v>0</v>
      </c>
      <c r="N128" s="79">
        <f t="shared" si="49"/>
        <v>0</v>
      </c>
      <c r="O128" s="79">
        <f t="shared" si="49"/>
        <v>0</v>
      </c>
      <c r="P128" s="79">
        <f t="shared" si="49"/>
        <v>0</v>
      </c>
      <c r="Q128" s="79">
        <f t="shared" si="49"/>
        <v>0</v>
      </c>
      <c r="R128" s="79">
        <f t="shared" si="50"/>
        <v>0</v>
      </c>
      <c r="S128" s="79">
        <f t="shared" si="50"/>
        <v>0</v>
      </c>
      <c r="T128" s="79">
        <f t="shared" si="50"/>
        <v>0</v>
      </c>
      <c r="U128" s="79">
        <f t="shared" si="50"/>
        <v>0</v>
      </c>
      <c r="V128" s="79">
        <f t="shared" si="50"/>
        <v>0</v>
      </c>
      <c r="W128" s="79">
        <f t="shared" si="50"/>
        <v>0</v>
      </c>
      <c r="X128" s="79">
        <f t="shared" si="50"/>
        <v>0</v>
      </c>
      <c r="Y128" s="79">
        <f t="shared" si="50"/>
        <v>0</v>
      </c>
      <c r="Z128" s="79">
        <f t="shared" si="50"/>
        <v>0</v>
      </c>
      <c r="AA128" s="79">
        <f t="shared" si="50"/>
        <v>0</v>
      </c>
      <c r="AB128" s="79">
        <f t="shared" si="50"/>
        <v>0</v>
      </c>
      <c r="AC128" s="79">
        <f t="shared" si="50"/>
        <v>0</v>
      </c>
      <c r="AD128" s="79">
        <f t="shared" si="50"/>
        <v>0</v>
      </c>
      <c r="AE128" s="79">
        <f t="shared" si="50"/>
        <v>0</v>
      </c>
      <c r="AF128" s="79">
        <f>SUM(H128:AE128)</f>
        <v>0</v>
      </c>
      <c r="AG128" s="93" t="str">
        <f>IF(ABS(AF128-F128)&lt;1,"ok","err")</f>
        <v>ok</v>
      </c>
    </row>
    <row r="129" spans="1:33" s="60" customFormat="1">
      <c r="A129" s="68" t="s">
        <v>1091</v>
      </c>
      <c r="C129" s="60" t="s">
        <v>601</v>
      </c>
      <c r="D129" s="60" t="s">
        <v>884</v>
      </c>
      <c r="F129" s="76">
        <v>0</v>
      </c>
      <c r="H129" s="79">
        <f t="shared" si="49"/>
        <v>0</v>
      </c>
      <c r="I129" s="79">
        <f t="shared" si="49"/>
        <v>0</v>
      </c>
      <c r="J129" s="79">
        <f t="shared" si="49"/>
        <v>0</v>
      </c>
      <c r="K129" s="79">
        <f t="shared" si="49"/>
        <v>0</v>
      </c>
      <c r="L129" s="79">
        <f t="shared" si="49"/>
        <v>0</v>
      </c>
      <c r="M129" s="79">
        <f t="shared" si="49"/>
        <v>0</v>
      </c>
      <c r="N129" s="79">
        <f t="shared" si="49"/>
        <v>0</v>
      </c>
      <c r="O129" s="79">
        <f t="shared" si="49"/>
        <v>0</v>
      </c>
      <c r="P129" s="79">
        <f t="shared" si="49"/>
        <v>0</v>
      </c>
      <c r="Q129" s="79">
        <f t="shared" si="49"/>
        <v>0</v>
      </c>
      <c r="R129" s="79">
        <f t="shared" si="50"/>
        <v>0</v>
      </c>
      <c r="S129" s="79">
        <f t="shared" si="50"/>
        <v>0</v>
      </c>
      <c r="T129" s="79">
        <f t="shared" si="50"/>
        <v>0</v>
      </c>
      <c r="U129" s="79">
        <f t="shared" si="50"/>
        <v>0</v>
      </c>
      <c r="V129" s="79">
        <f t="shared" si="50"/>
        <v>0</v>
      </c>
      <c r="W129" s="79">
        <f t="shared" si="50"/>
        <v>0</v>
      </c>
      <c r="X129" s="79">
        <f t="shared" si="50"/>
        <v>0</v>
      </c>
      <c r="Y129" s="79">
        <f t="shared" si="50"/>
        <v>0</v>
      </c>
      <c r="Z129" s="79">
        <f t="shared" si="50"/>
        <v>0</v>
      </c>
      <c r="AA129" s="79">
        <f t="shared" si="50"/>
        <v>0</v>
      </c>
      <c r="AB129" s="79">
        <f t="shared" si="50"/>
        <v>0</v>
      </c>
      <c r="AC129" s="79">
        <f t="shared" si="50"/>
        <v>0</v>
      </c>
      <c r="AD129" s="79">
        <f t="shared" si="50"/>
        <v>0</v>
      </c>
      <c r="AE129" s="79">
        <f t="shared" si="50"/>
        <v>0</v>
      </c>
      <c r="AF129" s="79">
        <f>SUM(H129:AE129)</f>
        <v>0</v>
      </c>
      <c r="AG129" s="93" t="str">
        <f>IF(ABS(AF129-F129)&lt;1,"ok","err")</f>
        <v>ok</v>
      </c>
    </row>
    <row r="130" spans="1:33" s="60" customFormat="1">
      <c r="A130" s="68"/>
      <c r="F130" s="76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93"/>
    </row>
    <row r="131" spans="1:33">
      <c r="A131" s="60" t="s">
        <v>678</v>
      </c>
      <c r="B131" s="60"/>
      <c r="F131" s="76">
        <f>SUM(F126:F129)</f>
        <v>939385876.00808799</v>
      </c>
      <c r="G131" s="76"/>
      <c r="H131" s="76">
        <f t="shared" ref="H131:AE131" si="51">SUM(H126:H129)</f>
        <v>573183521.57846332</v>
      </c>
      <c r="I131" s="76">
        <f t="shared" si="51"/>
        <v>0</v>
      </c>
      <c r="J131" s="76">
        <f t="shared" si="51"/>
        <v>0</v>
      </c>
      <c r="K131" s="76">
        <f t="shared" si="51"/>
        <v>0</v>
      </c>
      <c r="L131" s="76">
        <f t="shared" si="51"/>
        <v>0</v>
      </c>
      <c r="M131" s="76">
        <f t="shared" si="51"/>
        <v>0</v>
      </c>
      <c r="N131" s="76">
        <f t="shared" si="51"/>
        <v>88030256.695778817</v>
      </c>
      <c r="O131" s="76">
        <f t="shared" si="51"/>
        <v>0</v>
      </c>
      <c r="P131" s="76">
        <f t="shared" si="51"/>
        <v>0</v>
      </c>
      <c r="Q131" s="76">
        <f t="shared" si="51"/>
        <v>0</v>
      </c>
      <c r="R131" s="76">
        <f t="shared" si="51"/>
        <v>34688531.779739842</v>
      </c>
      <c r="S131" s="76">
        <f t="shared" si="51"/>
        <v>0</v>
      </c>
      <c r="T131" s="76">
        <f t="shared" si="51"/>
        <v>53253094.393487722</v>
      </c>
      <c r="U131" s="76">
        <f t="shared" si="51"/>
        <v>87144899.034399867</v>
      </c>
      <c r="V131" s="76">
        <f t="shared" si="51"/>
        <v>14858099.292148527</v>
      </c>
      <c r="W131" s="76">
        <f t="shared" si="51"/>
        <v>25388854.854183827</v>
      </c>
      <c r="X131" s="76">
        <f t="shared" si="51"/>
        <v>18202008.47739581</v>
      </c>
      <c r="Y131" s="76">
        <f t="shared" si="51"/>
        <v>10145943.4310783</v>
      </c>
      <c r="Z131" s="76">
        <f t="shared" si="51"/>
        <v>6487021.7077955706</v>
      </c>
      <c r="AA131" s="76">
        <f t="shared" si="51"/>
        <v>6615642.9713065913</v>
      </c>
      <c r="AB131" s="76">
        <f t="shared" si="51"/>
        <v>21388001.792309914</v>
      </c>
      <c r="AC131" s="76">
        <f t="shared" si="51"/>
        <v>0</v>
      </c>
      <c r="AD131" s="76">
        <f t="shared" si="51"/>
        <v>0</v>
      </c>
      <c r="AE131" s="76">
        <f t="shared" si="51"/>
        <v>0</v>
      </c>
      <c r="AF131" s="63">
        <f>SUM(H131:AE131)</f>
        <v>939385876.00808799</v>
      </c>
      <c r="AG131" s="58" t="str">
        <f>IF(ABS(AF131-F131)&lt;1,"ok","err")</f>
        <v>ok</v>
      </c>
    </row>
    <row r="132" spans="1:33">
      <c r="A132" s="60"/>
      <c r="B132" s="60"/>
      <c r="F132" s="76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58"/>
    </row>
    <row r="133" spans="1:33">
      <c r="A133" s="60" t="s">
        <v>679</v>
      </c>
      <c r="B133" s="60"/>
      <c r="F133" s="76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3"/>
      <c r="AG133" s="58"/>
    </row>
    <row r="134" spans="1:33">
      <c r="A134" s="68" t="s">
        <v>675</v>
      </c>
      <c r="B134" s="60"/>
      <c r="C134" s="44" t="s">
        <v>601</v>
      </c>
      <c r="D134" s="44" t="s">
        <v>616</v>
      </c>
      <c r="F134" s="76">
        <v>0</v>
      </c>
      <c r="H134" s="63">
        <f t="shared" ref="H134:Q137" si="52">IF(VLOOKUP($D134,$C$6:$AE$653,H$2,)=0,0,((VLOOKUP($D134,$C$6:$AE$653,H$2,)/VLOOKUP($D134,$C$6:$AE$653,4,))*$F134))</f>
        <v>0</v>
      </c>
      <c r="I134" s="63">
        <f t="shared" si="52"/>
        <v>0</v>
      </c>
      <c r="J134" s="63">
        <f t="shared" si="52"/>
        <v>0</v>
      </c>
      <c r="K134" s="63">
        <f t="shared" si="52"/>
        <v>0</v>
      </c>
      <c r="L134" s="63">
        <f t="shared" si="52"/>
        <v>0</v>
      </c>
      <c r="M134" s="63">
        <f t="shared" si="52"/>
        <v>0</v>
      </c>
      <c r="N134" s="63">
        <f t="shared" si="52"/>
        <v>0</v>
      </c>
      <c r="O134" s="63">
        <f t="shared" si="52"/>
        <v>0</v>
      </c>
      <c r="P134" s="63">
        <f t="shared" si="52"/>
        <v>0</v>
      </c>
      <c r="Q134" s="63">
        <f t="shared" si="52"/>
        <v>0</v>
      </c>
      <c r="R134" s="63">
        <f t="shared" ref="R134:AE137" si="53">IF(VLOOKUP($D134,$C$6:$AE$653,R$2,)=0,0,((VLOOKUP($D134,$C$6:$AE$653,R$2,)/VLOOKUP($D134,$C$6:$AE$653,4,))*$F134))</f>
        <v>0</v>
      </c>
      <c r="S134" s="63">
        <f t="shared" si="53"/>
        <v>0</v>
      </c>
      <c r="T134" s="63">
        <f t="shared" si="53"/>
        <v>0</v>
      </c>
      <c r="U134" s="63">
        <f t="shared" si="53"/>
        <v>0</v>
      </c>
      <c r="V134" s="63">
        <f t="shared" si="53"/>
        <v>0</v>
      </c>
      <c r="W134" s="63">
        <f t="shared" si="53"/>
        <v>0</v>
      </c>
      <c r="X134" s="63">
        <f t="shared" si="53"/>
        <v>0</v>
      </c>
      <c r="Y134" s="63">
        <f t="shared" si="53"/>
        <v>0</v>
      </c>
      <c r="Z134" s="63">
        <f t="shared" si="53"/>
        <v>0</v>
      </c>
      <c r="AA134" s="63">
        <f t="shared" si="53"/>
        <v>0</v>
      </c>
      <c r="AB134" s="63">
        <f t="shared" si="53"/>
        <v>0</v>
      </c>
      <c r="AC134" s="63">
        <f t="shared" si="53"/>
        <v>0</v>
      </c>
      <c r="AD134" s="63">
        <f t="shared" si="53"/>
        <v>0</v>
      </c>
      <c r="AE134" s="63">
        <f t="shared" si="53"/>
        <v>0</v>
      </c>
      <c r="AF134" s="63">
        <f>SUM(H134:AE134)</f>
        <v>0</v>
      </c>
      <c r="AG134" s="58" t="str">
        <f>IF(ABS(AF134-F134)&lt;1,"ok","err")</f>
        <v>ok</v>
      </c>
    </row>
    <row r="135" spans="1:33">
      <c r="A135" s="68" t="s">
        <v>674</v>
      </c>
      <c r="B135" s="60"/>
      <c r="C135" s="44" t="s">
        <v>601</v>
      </c>
      <c r="D135" s="44" t="s">
        <v>1085</v>
      </c>
      <c r="F135" s="79">
        <v>0</v>
      </c>
      <c r="H135" s="63">
        <f t="shared" si="52"/>
        <v>0</v>
      </c>
      <c r="I135" s="63">
        <f t="shared" si="52"/>
        <v>0</v>
      </c>
      <c r="J135" s="63">
        <f t="shared" si="52"/>
        <v>0</v>
      </c>
      <c r="K135" s="63">
        <f t="shared" si="52"/>
        <v>0</v>
      </c>
      <c r="L135" s="63">
        <f t="shared" si="52"/>
        <v>0</v>
      </c>
      <c r="M135" s="63">
        <f t="shared" si="52"/>
        <v>0</v>
      </c>
      <c r="N135" s="63">
        <f t="shared" si="52"/>
        <v>0</v>
      </c>
      <c r="O135" s="63">
        <f t="shared" si="52"/>
        <v>0</v>
      </c>
      <c r="P135" s="63">
        <f t="shared" si="52"/>
        <v>0</v>
      </c>
      <c r="Q135" s="63">
        <f t="shared" si="52"/>
        <v>0</v>
      </c>
      <c r="R135" s="63">
        <f t="shared" si="53"/>
        <v>0</v>
      </c>
      <c r="S135" s="63">
        <f t="shared" si="53"/>
        <v>0</v>
      </c>
      <c r="T135" s="63">
        <f t="shared" si="53"/>
        <v>0</v>
      </c>
      <c r="U135" s="63">
        <f t="shared" si="53"/>
        <v>0</v>
      </c>
      <c r="V135" s="63">
        <f t="shared" si="53"/>
        <v>0</v>
      </c>
      <c r="W135" s="63">
        <f t="shared" si="53"/>
        <v>0</v>
      </c>
      <c r="X135" s="63">
        <f t="shared" si="53"/>
        <v>0</v>
      </c>
      <c r="Y135" s="63">
        <f t="shared" si="53"/>
        <v>0</v>
      </c>
      <c r="Z135" s="63">
        <f t="shared" si="53"/>
        <v>0</v>
      </c>
      <c r="AA135" s="63">
        <f t="shared" si="53"/>
        <v>0</v>
      </c>
      <c r="AB135" s="63">
        <f t="shared" si="53"/>
        <v>0</v>
      </c>
      <c r="AC135" s="63">
        <f t="shared" si="53"/>
        <v>0</v>
      </c>
      <c r="AD135" s="63">
        <f t="shared" si="53"/>
        <v>0</v>
      </c>
      <c r="AE135" s="63">
        <f t="shared" si="53"/>
        <v>0</v>
      </c>
      <c r="AF135" s="63">
        <f>SUM(H135:AE135)</f>
        <v>0</v>
      </c>
      <c r="AG135" s="58" t="str">
        <f>IF(ABS(AF135-F135)&lt;1,"ok","err")</f>
        <v>ok</v>
      </c>
    </row>
    <row r="136" spans="1:33">
      <c r="A136" s="68" t="s">
        <v>676</v>
      </c>
      <c r="B136" s="60"/>
      <c r="C136" s="44" t="s">
        <v>601</v>
      </c>
      <c r="D136" s="44" t="s">
        <v>859</v>
      </c>
      <c r="F136" s="79">
        <v>0</v>
      </c>
      <c r="H136" s="63">
        <f t="shared" si="52"/>
        <v>0</v>
      </c>
      <c r="I136" s="63">
        <f t="shared" si="52"/>
        <v>0</v>
      </c>
      <c r="J136" s="63">
        <f t="shared" si="52"/>
        <v>0</v>
      </c>
      <c r="K136" s="63">
        <f t="shared" si="52"/>
        <v>0</v>
      </c>
      <c r="L136" s="63">
        <f t="shared" si="52"/>
        <v>0</v>
      </c>
      <c r="M136" s="63">
        <f t="shared" si="52"/>
        <v>0</v>
      </c>
      <c r="N136" s="63">
        <f t="shared" si="52"/>
        <v>0</v>
      </c>
      <c r="O136" s="63">
        <f t="shared" si="52"/>
        <v>0</v>
      </c>
      <c r="P136" s="63">
        <f t="shared" si="52"/>
        <v>0</v>
      </c>
      <c r="Q136" s="63">
        <f t="shared" si="52"/>
        <v>0</v>
      </c>
      <c r="R136" s="63">
        <f t="shared" si="53"/>
        <v>0</v>
      </c>
      <c r="S136" s="63">
        <f t="shared" si="53"/>
        <v>0</v>
      </c>
      <c r="T136" s="63">
        <f t="shared" si="53"/>
        <v>0</v>
      </c>
      <c r="U136" s="63">
        <f t="shared" si="53"/>
        <v>0</v>
      </c>
      <c r="V136" s="63">
        <f t="shared" si="53"/>
        <v>0</v>
      </c>
      <c r="W136" s="63">
        <f t="shared" si="53"/>
        <v>0</v>
      </c>
      <c r="X136" s="63">
        <f t="shared" si="53"/>
        <v>0</v>
      </c>
      <c r="Y136" s="63">
        <f t="shared" si="53"/>
        <v>0</v>
      </c>
      <c r="Z136" s="63">
        <f t="shared" si="53"/>
        <v>0</v>
      </c>
      <c r="AA136" s="63">
        <f t="shared" si="53"/>
        <v>0</v>
      </c>
      <c r="AB136" s="63">
        <f t="shared" si="53"/>
        <v>0</v>
      </c>
      <c r="AC136" s="63">
        <f t="shared" si="53"/>
        <v>0</v>
      </c>
      <c r="AD136" s="63">
        <f t="shared" si="53"/>
        <v>0</v>
      </c>
      <c r="AE136" s="63">
        <f t="shared" si="53"/>
        <v>0</v>
      </c>
      <c r="AF136" s="63">
        <f>SUM(H136:AE136)</f>
        <v>0</v>
      </c>
      <c r="AG136" s="58" t="str">
        <f>IF(ABS(AF136-F136)&lt;1,"ok","err")</f>
        <v>ok</v>
      </c>
    </row>
    <row r="137" spans="1:33">
      <c r="A137" s="68" t="s">
        <v>677</v>
      </c>
      <c r="B137" s="60"/>
      <c r="C137" s="44" t="s">
        <v>601</v>
      </c>
      <c r="D137" s="44" t="s">
        <v>1087</v>
      </c>
      <c r="F137" s="79">
        <v>0</v>
      </c>
      <c r="H137" s="63">
        <f t="shared" si="52"/>
        <v>0</v>
      </c>
      <c r="I137" s="63">
        <f t="shared" si="52"/>
        <v>0</v>
      </c>
      <c r="J137" s="63">
        <f t="shared" si="52"/>
        <v>0</v>
      </c>
      <c r="K137" s="63">
        <f t="shared" si="52"/>
        <v>0</v>
      </c>
      <c r="L137" s="63">
        <f t="shared" si="52"/>
        <v>0</v>
      </c>
      <c r="M137" s="63">
        <f t="shared" si="52"/>
        <v>0</v>
      </c>
      <c r="N137" s="63">
        <f t="shared" si="52"/>
        <v>0</v>
      </c>
      <c r="O137" s="63">
        <f t="shared" si="52"/>
        <v>0</v>
      </c>
      <c r="P137" s="63">
        <f t="shared" si="52"/>
        <v>0</v>
      </c>
      <c r="Q137" s="63">
        <f t="shared" si="52"/>
        <v>0</v>
      </c>
      <c r="R137" s="63">
        <f t="shared" si="53"/>
        <v>0</v>
      </c>
      <c r="S137" s="63">
        <f t="shared" si="53"/>
        <v>0</v>
      </c>
      <c r="T137" s="63">
        <f t="shared" si="53"/>
        <v>0</v>
      </c>
      <c r="U137" s="63">
        <f t="shared" si="53"/>
        <v>0</v>
      </c>
      <c r="V137" s="63">
        <f t="shared" si="53"/>
        <v>0</v>
      </c>
      <c r="W137" s="63">
        <f t="shared" si="53"/>
        <v>0</v>
      </c>
      <c r="X137" s="63">
        <f t="shared" si="53"/>
        <v>0</v>
      </c>
      <c r="Y137" s="63">
        <f t="shared" si="53"/>
        <v>0</v>
      </c>
      <c r="Z137" s="63">
        <f t="shared" si="53"/>
        <v>0</v>
      </c>
      <c r="AA137" s="63">
        <f t="shared" si="53"/>
        <v>0</v>
      </c>
      <c r="AB137" s="63">
        <f t="shared" si="53"/>
        <v>0</v>
      </c>
      <c r="AC137" s="63">
        <f t="shared" si="53"/>
        <v>0</v>
      </c>
      <c r="AD137" s="63">
        <f t="shared" si="53"/>
        <v>0</v>
      </c>
      <c r="AE137" s="63">
        <f t="shared" si="53"/>
        <v>0</v>
      </c>
      <c r="AF137" s="63">
        <f>SUM(H137:AE137)</f>
        <v>0</v>
      </c>
      <c r="AG137" s="58" t="str">
        <f>IF(ABS(AF137-F137)&lt;1,"ok","err")</f>
        <v>ok</v>
      </c>
    </row>
    <row r="138" spans="1:33">
      <c r="A138" s="68"/>
      <c r="B138" s="60"/>
      <c r="F138" s="76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58"/>
    </row>
    <row r="139" spans="1:33">
      <c r="A139" s="60" t="s">
        <v>680</v>
      </c>
      <c r="B139" s="60"/>
      <c r="F139" s="76">
        <f>SUM(F134:F137)</f>
        <v>0</v>
      </c>
      <c r="H139" s="62">
        <f t="shared" ref="H139:M139" si="54">SUM(H134:H137)</f>
        <v>0</v>
      </c>
      <c r="I139" s="62">
        <f t="shared" si="54"/>
        <v>0</v>
      </c>
      <c r="J139" s="62">
        <f t="shared" si="54"/>
        <v>0</v>
      </c>
      <c r="K139" s="62">
        <f t="shared" si="54"/>
        <v>0</v>
      </c>
      <c r="L139" s="62">
        <f t="shared" si="54"/>
        <v>0</v>
      </c>
      <c r="M139" s="62">
        <f t="shared" si="54"/>
        <v>0</v>
      </c>
      <c r="N139" s="62">
        <f>SUM(N134:N137)</f>
        <v>0</v>
      </c>
      <c r="O139" s="62">
        <f>SUM(O134:O137)</f>
        <v>0</v>
      </c>
      <c r="P139" s="62">
        <f>SUM(P134:P137)</f>
        <v>0</v>
      </c>
      <c r="Q139" s="62">
        <f t="shared" ref="Q139:AB139" si="55">SUM(Q134:Q137)</f>
        <v>0</v>
      </c>
      <c r="R139" s="62">
        <f t="shared" si="55"/>
        <v>0</v>
      </c>
      <c r="S139" s="62">
        <f t="shared" si="55"/>
        <v>0</v>
      </c>
      <c r="T139" s="62">
        <f t="shared" si="55"/>
        <v>0</v>
      </c>
      <c r="U139" s="62">
        <f t="shared" si="55"/>
        <v>0</v>
      </c>
      <c r="V139" s="62">
        <f t="shared" si="55"/>
        <v>0</v>
      </c>
      <c r="W139" s="62">
        <f t="shared" si="55"/>
        <v>0</v>
      </c>
      <c r="X139" s="62">
        <f t="shared" si="55"/>
        <v>0</v>
      </c>
      <c r="Y139" s="62">
        <f t="shared" si="55"/>
        <v>0</v>
      </c>
      <c r="Z139" s="62">
        <f t="shared" si="55"/>
        <v>0</v>
      </c>
      <c r="AA139" s="62">
        <f t="shared" si="55"/>
        <v>0</v>
      </c>
      <c r="AB139" s="62">
        <f t="shared" si="55"/>
        <v>0</v>
      </c>
      <c r="AC139" s="62">
        <f>SUM(AC134:AC137)</f>
        <v>0</v>
      </c>
      <c r="AD139" s="62">
        <f>SUM(AD134:AD137)</f>
        <v>0</v>
      </c>
      <c r="AE139" s="62">
        <f>SUM(AE134:AE137)</f>
        <v>0</v>
      </c>
      <c r="AF139" s="63">
        <f>SUM(H139:AE139)</f>
        <v>0</v>
      </c>
      <c r="AG139" s="58" t="str">
        <f>IF(ABS(AF139-F139)&lt;1,"ok","err")</f>
        <v>ok</v>
      </c>
    </row>
    <row r="140" spans="1:33">
      <c r="A140" s="68"/>
      <c r="B140" s="60"/>
      <c r="F140" s="76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58"/>
    </row>
    <row r="141" spans="1:33" ht="14.1">
      <c r="A141" s="65" t="s">
        <v>907</v>
      </c>
      <c r="B141" s="60"/>
      <c r="C141" s="44" t="s">
        <v>908</v>
      </c>
      <c r="F141" s="80">
        <f>F110+F117+F123-F124-F131-F139</f>
        <v>3460077816.160141</v>
      </c>
      <c r="G141" s="64"/>
      <c r="H141" s="64">
        <f t="shared" ref="H141:M141" si="56">H98-H108+H117+H123-H124-H131-H139</f>
        <v>2009588145.2784369</v>
      </c>
      <c r="I141" s="64">
        <f t="shared" si="56"/>
        <v>0</v>
      </c>
      <c r="J141" s="64">
        <f t="shared" si="56"/>
        <v>0</v>
      </c>
      <c r="K141" s="64">
        <f t="shared" si="56"/>
        <v>78365698.835726827</v>
      </c>
      <c r="L141" s="64">
        <f t="shared" si="56"/>
        <v>0</v>
      </c>
      <c r="M141" s="64">
        <f t="shared" si="56"/>
        <v>0</v>
      </c>
      <c r="N141" s="64">
        <f>N98-N108+N117+N123-N124-N131-N139</f>
        <v>346878037.48055124</v>
      </c>
      <c r="O141" s="64">
        <f>O98-O108+O117+O123-O124-O131-O139</f>
        <v>0</v>
      </c>
      <c r="P141" s="64">
        <f>P98-P108+P117+P123-P124-P131-P139</f>
        <v>0</v>
      </c>
      <c r="Q141" s="64">
        <f t="shared" ref="Q141:AB141" si="57">Q98-Q108+Q117+Q123-Q124-Q131-Q139</f>
        <v>0</v>
      </c>
      <c r="R141" s="64">
        <f t="shared" si="57"/>
        <v>127246319.14306201</v>
      </c>
      <c r="S141" s="64">
        <f t="shared" si="57"/>
        <v>0</v>
      </c>
      <c r="T141" s="64">
        <f t="shared" si="57"/>
        <v>194814176.9478766</v>
      </c>
      <c r="U141" s="64">
        <f t="shared" si="57"/>
        <v>318901473.53138095</v>
      </c>
      <c r="V141" s="64">
        <f t="shared" si="57"/>
        <v>54455747.298117355</v>
      </c>
      <c r="W141" s="64">
        <f t="shared" si="57"/>
        <v>93072232.121397987</v>
      </c>
      <c r="X141" s="64">
        <f t="shared" si="57"/>
        <v>66122625.303167246</v>
      </c>
      <c r="Y141" s="64">
        <f t="shared" si="57"/>
        <v>36857274.11199981</v>
      </c>
      <c r="Z141" s="64">
        <f t="shared" si="57"/>
        <v>23551953.643023651</v>
      </c>
      <c r="AA141" s="64">
        <f t="shared" si="57"/>
        <v>26834744.844464965</v>
      </c>
      <c r="AB141" s="64">
        <f t="shared" si="57"/>
        <v>77771356.537982255</v>
      </c>
      <c r="AC141" s="64">
        <f>AC98-AC108+AC117+AC123-AC124-AC131-AC139</f>
        <v>4604270.2204592507</v>
      </c>
      <c r="AD141" s="64">
        <f>AD98-AD108+AD117+AD123-AD124-AD131-AD139</f>
        <v>1013760.8624949354</v>
      </c>
      <c r="AE141" s="64">
        <f>AE98-AE108+AE117+AE123-AE124-AE131-AE139</f>
        <v>0</v>
      </c>
      <c r="AF141" s="63">
        <f>SUM(H141:AE141)</f>
        <v>3460077816.1601424</v>
      </c>
      <c r="AG141" s="58" t="str">
        <f>IF(ABS(AF141-F141)&lt;1,"ok","err")</f>
        <v>ok</v>
      </c>
    </row>
    <row r="142" spans="1:33">
      <c r="A142" s="60"/>
      <c r="F142" s="80"/>
      <c r="W142" s="44"/>
      <c r="AG142" s="58"/>
    </row>
    <row r="143" spans="1:33">
      <c r="A143" s="60"/>
      <c r="W143" s="44"/>
      <c r="AG143" s="58"/>
    </row>
    <row r="144" spans="1:33" ht="14.1">
      <c r="A144" s="59" t="s">
        <v>899</v>
      </c>
      <c r="W144" s="44"/>
      <c r="AG144" s="58"/>
    </row>
    <row r="145" spans="1:33" ht="14.1">
      <c r="A145" s="59"/>
      <c r="W145" s="44"/>
      <c r="AG145" s="58"/>
    </row>
    <row r="146" spans="1:33" ht="14.1">
      <c r="A146" s="65" t="s">
        <v>207</v>
      </c>
      <c r="W146" s="44"/>
      <c r="AG146" s="58"/>
    </row>
    <row r="147" spans="1:33">
      <c r="A147" s="60">
        <v>500</v>
      </c>
      <c r="B147" s="44" t="s">
        <v>199</v>
      </c>
      <c r="C147" s="44" t="s">
        <v>200</v>
      </c>
      <c r="D147" s="44" t="s">
        <v>629</v>
      </c>
      <c r="F147" s="76">
        <v>5359918.9999999898</v>
      </c>
      <c r="H147" s="63">
        <f t="shared" ref="H147:Q154" si="58">IF(VLOOKUP($D147,$C$6:$AE$653,H$2,)=0,0,((VLOOKUP($D147,$C$6:$AE$653,H$2,)/VLOOKUP($D147,$C$6:$AE$653,4,))*$F147))</f>
        <v>4681924.591937134</v>
      </c>
      <c r="I147" s="63">
        <f t="shared" si="58"/>
        <v>0</v>
      </c>
      <c r="J147" s="63">
        <f t="shared" si="58"/>
        <v>0</v>
      </c>
      <c r="K147" s="63">
        <f t="shared" si="58"/>
        <v>677994.40806285548</v>
      </c>
      <c r="L147" s="63">
        <f t="shared" si="58"/>
        <v>0</v>
      </c>
      <c r="M147" s="63">
        <f t="shared" si="58"/>
        <v>0</v>
      </c>
      <c r="N147" s="63">
        <f t="shared" si="58"/>
        <v>0</v>
      </c>
      <c r="O147" s="63">
        <f t="shared" si="58"/>
        <v>0</v>
      </c>
      <c r="P147" s="63">
        <f t="shared" si="58"/>
        <v>0</v>
      </c>
      <c r="Q147" s="63">
        <f t="shared" si="58"/>
        <v>0</v>
      </c>
      <c r="R147" s="63">
        <f t="shared" ref="R147:AE154" si="59">IF(VLOOKUP($D147,$C$6:$AE$653,R$2,)=0,0,((VLOOKUP($D147,$C$6:$AE$653,R$2,)/VLOOKUP($D147,$C$6:$AE$653,4,))*$F147))</f>
        <v>0</v>
      </c>
      <c r="S147" s="63">
        <f t="shared" si="59"/>
        <v>0</v>
      </c>
      <c r="T147" s="63">
        <f t="shared" si="59"/>
        <v>0</v>
      </c>
      <c r="U147" s="63">
        <f t="shared" si="59"/>
        <v>0</v>
      </c>
      <c r="V147" s="63">
        <f t="shared" si="59"/>
        <v>0</v>
      </c>
      <c r="W147" s="63">
        <f t="shared" si="59"/>
        <v>0</v>
      </c>
      <c r="X147" s="63">
        <f t="shared" si="59"/>
        <v>0</v>
      </c>
      <c r="Y147" s="63">
        <f t="shared" si="59"/>
        <v>0</v>
      </c>
      <c r="Z147" s="63">
        <f t="shared" si="59"/>
        <v>0</v>
      </c>
      <c r="AA147" s="63">
        <f t="shared" si="59"/>
        <v>0</v>
      </c>
      <c r="AB147" s="63">
        <f t="shared" si="59"/>
        <v>0</v>
      </c>
      <c r="AC147" s="63">
        <f t="shared" si="59"/>
        <v>0</v>
      </c>
      <c r="AD147" s="63">
        <f t="shared" si="59"/>
        <v>0</v>
      </c>
      <c r="AE147" s="63">
        <f t="shared" si="59"/>
        <v>0</v>
      </c>
      <c r="AF147" s="63">
        <f t="shared" ref="AF147:AF154" si="60">SUM(H147:AE147)</f>
        <v>5359918.9999999898</v>
      </c>
      <c r="AG147" s="58" t="str">
        <f t="shared" ref="AG147:AG154" si="61">IF(ABS(AF147-F147)&lt;1,"ok","err")</f>
        <v>ok</v>
      </c>
    </row>
    <row r="148" spans="1:33">
      <c r="A148" s="275">
        <v>501</v>
      </c>
      <c r="B148" s="44" t="s">
        <v>201</v>
      </c>
      <c r="C148" s="44" t="s">
        <v>202</v>
      </c>
      <c r="D148" s="44" t="s">
        <v>854</v>
      </c>
      <c r="F148" s="79">
        <f>235364259.070788+18801513</f>
        <v>254165772.070788</v>
      </c>
      <c r="H148" s="63">
        <f t="shared" si="58"/>
        <v>0</v>
      </c>
      <c r="I148" s="63">
        <f t="shared" si="58"/>
        <v>0</v>
      </c>
      <c r="J148" s="63">
        <f t="shared" si="58"/>
        <v>0</v>
      </c>
      <c r="K148" s="63">
        <f t="shared" si="58"/>
        <v>254165772.070788</v>
      </c>
      <c r="L148" s="63">
        <f t="shared" si="58"/>
        <v>0</v>
      </c>
      <c r="M148" s="63">
        <f t="shared" si="58"/>
        <v>0</v>
      </c>
      <c r="N148" s="63">
        <f t="shared" si="58"/>
        <v>0</v>
      </c>
      <c r="O148" s="63">
        <f t="shared" si="58"/>
        <v>0</v>
      </c>
      <c r="P148" s="63">
        <f t="shared" si="58"/>
        <v>0</v>
      </c>
      <c r="Q148" s="63">
        <f t="shared" si="58"/>
        <v>0</v>
      </c>
      <c r="R148" s="63">
        <f t="shared" si="59"/>
        <v>0</v>
      </c>
      <c r="S148" s="63">
        <f t="shared" si="59"/>
        <v>0</v>
      </c>
      <c r="T148" s="63">
        <f t="shared" si="59"/>
        <v>0</v>
      </c>
      <c r="U148" s="63">
        <f t="shared" si="59"/>
        <v>0</v>
      </c>
      <c r="V148" s="63">
        <f t="shared" si="59"/>
        <v>0</v>
      </c>
      <c r="W148" s="63">
        <f t="shared" si="59"/>
        <v>0</v>
      </c>
      <c r="X148" s="63">
        <f t="shared" si="59"/>
        <v>0</v>
      </c>
      <c r="Y148" s="63">
        <f t="shared" si="59"/>
        <v>0</v>
      </c>
      <c r="Z148" s="63">
        <f t="shared" si="59"/>
        <v>0</v>
      </c>
      <c r="AA148" s="63">
        <f t="shared" si="59"/>
        <v>0</v>
      </c>
      <c r="AB148" s="63">
        <f t="shared" si="59"/>
        <v>0</v>
      </c>
      <c r="AC148" s="63">
        <f t="shared" si="59"/>
        <v>0</v>
      </c>
      <c r="AD148" s="63">
        <f t="shared" si="59"/>
        <v>0</v>
      </c>
      <c r="AE148" s="63">
        <f t="shared" si="59"/>
        <v>0</v>
      </c>
      <c r="AF148" s="63">
        <f t="shared" si="60"/>
        <v>254165772.070788</v>
      </c>
      <c r="AG148" s="58" t="str">
        <f t="shared" si="61"/>
        <v>ok</v>
      </c>
    </row>
    <row r="149" spans="1:33">
      <c r="A149" s="60">
        <v>502</v>
      </c>
      <c r="B149" s="44" t="s">
        <v>203</v>
      </c>
      <c r="C149" s="44" t="s">
        <v>204</v>
      </c>
      <c r="D149" s="44" t="s">
        <v>624</v>
      </c>
      <c r="F149" s="79">
        <f>19277414-592250</f>
        <v>18685164</v>
      </c>
      <c r="H149" s="63">
        <f t="shared" si="58"/>
        <v>18685164</v>
      </c>
      <c r="I149" s="63">
        <f t="shared" si="58"/>
        <v>0</v>
      </c>
      <c r="J149" s="63">
        <f t="shared" si="58"/>
        <v>0</v>
      </c>
      <c r="K149" s="63">
        <f t="shared" si="58"/>
        <v>0</v>
      </c>
      <c r="L149" s="63">
        <f t="shared" si="58"/>
        <v>0</v>
      </c>
      <c r="M149" s="63">
        <f t="shared" si="58"/>
        <v>0</v>
      </c>
      <c r="N149" s="63">
        <f t="shared" si="58"/>
        <v>0</v>
      </c>
      <c r="O149" s="63">
        <f t="shared" si="58"/>
        <v>0</v>
      </c>
      <c r="P149" s="63">
        <f t="shared" si="58"/>
        <v>0</v>
      </c>
      <c r="Q149" s="63">
        <f t="shared" si="58"/>
        <v>0</v>
      </c>
      <c r="R149" s="63">
        <f t="shared" si="59"/>
        <v>0</v>
      </c>
      <c r="S149" s="63">
        <f t="shared" si="59"/>
        <v>0</v>
      </c>
      <c r="T149" s="63">
        <f t="shared" si="59"/>
        <v>0</v>
      </c>
      <c r="U149" s="63">
        <f t="shared" si="59"/>
        <v>0</v>
      </c>
      <c r="V149" s="63">
        <f t="shared" si="59"/>
        <v>0</v>
      </c>
      <c r="W149" s="63">
        <f t="shared" si="59"/>
        <v>0</v>
      </c>
      <c r="X149" s="63">
        <f t="shared" si="59"/>
        <v>0</v>
      </c>
      <c r="Y149" s="63">
        <f t="shared" si="59"/>
        <v>0</v>
      </c>
      <c r="Z149" s="63">
        <f t="shared" si="59"/>
        <v>0</v>
      </c>
      <c r="AA149" s="63">
        <f t="shared" si="59"/>
        <v>0</v>
      </c>
      <c r="AB149" s="63">
        <f t="shared" si="59"/>
        <v>0</v>
      </c>
      <c r="AC149" s="63">
        <f t="shared" si="59"/>
        <v>0</v>
      </c>
      <c r="AD149" s="63">
        <f t="shared" si="59"/>
        <v>0</v>
      </c>
      <c r="AE149" s="63">
        <f t="shared" si="59"/>
        <v>0</v>
      </c>
      <c r="AF149" s="63">
        <f t="shared" si="60"/>
        <v>18685164</v>
      </c>
      <c r="AG149" s="58" t="str">
        <f t="shared" si="61"/>
        <v>ok</v>
      </c>
    </row>
    <row r="150" spans="1:33">
      <c r="A150" s="60">
        <v>504</v>
      </c>
      <c r="B150" s="60" t="s">
        <v>1176</v>
      </c>
      <c r="C150" s="44" t="s">
        <v>1174</v>
      </c>
      <c r="D150" s="44" t="s">
        <v>624</v>
      </c>
      <c r="F150" s="79">
        <v>0</v>
      </c>
      <c r="H150" s="63">
        <f t="shared" si="58"/>
        <v>0</v>
      </c>
      <c r="I150" s="63">
        <f t="shared" si="58"/>
        <v>0</v>
      </c>
      <c r="J150" s="63">
        <f t="shared" si="58"/>
        <v>0</v>
      </c>
      <c r="K150" s="63">
        <f t="shared" si="58"/>
        <v>0</v>
      </c>
      <c r="L150" s="63">
        <f t="shared" si="58"/>
        <v>0</v>
      </c>
      <c r="M150" s="63">
        <f t="shared" si="58"/>
        <v>0</v>
      </c>
      <c r="N150" s="63">
        <f t="shared" si="58"/>
        <v>0</v>
      </c>
      <c r="O150" s="63">
        <f t="shared" si="58"/>
        <v>0</v>
      </c>
      <c r="P150" s="63">
        <f t="shared" si="58"/>
        <v>0</v>
      </c>
      <c r="Q150" s="63">
        <f t="shared" si="58"/>
        <v>0</v>
      </c>
      <c r="R150" s="63">
        <f t="shared" si="59"/>
        <v>0</v>
      </c>
      <c r="S150" s="63">
        <f t="shared" si="59"/>
        <v>0</v>
      </c>
      <c r="T150" s="63">
        <f t="shared" si="59"/>
        <v>0</v>
      </c>
      <c r="U150" s="63">
        <f t="shared" si="59"/>
        <v>0</v>
      </c>
      <c r="V150" s="63">
        <f t="shared" si="59"/>
        <v>0</v>
      </c>
      <c r="W150" s="63">
        <f t="shared" si="59"/>
        <v>0</v>
      </c>
      <c r="X150" s="63">
        <f t="shared" si="59"/>
        <v>0</v>
      </c>
      <c r="Y150" s="63">
        <f t="shared" si="59"/>
        <v>0</v>
      </c>
      <c r="Z150" s="63">
        <f t="shared" si="59"/>
        <v>0</v>
      </c>
      <c r="AA150" s="63">
        <f t="shared" si="59"/>
        <v>0</v>
      </c>
      <c r="AB150" s="63">
        <f t="shared" si="59"/>
        <v>0</v>
      </c>
      <c r="AC150" s="63">
        <f t="shared" si="59"/>
        <v>0</v>
      </c>
      <c r="AD150" s="63">
        <f t="shared" si="59"/>
        <v>0</v>
      </c>
      <c r="AE150" s="63">
        <f t="shared" si="59"/>
        <v>0</v>
      </c>
      <c r="AF150" s="63">
        <f>SUM(H150:AE150)</f>
        <v>0</v>
      </c>
      <c r="AG150" s="58" t="str">
        <f>IF(ABS(AF150-F150)&lt;1,"ok","err")</f>
        <v>ok</v>
      </c>
    </row>
    <row r="151" spans="1:33">
      <c r="A151" s="60">
        <v>505</v>
      </c>
      <c r="B151" s="44" t="s">
        <v>205</v>
      </c>
      <c r="C151" s="44" t="s">
        <v>206</v>
      </c>
      <c r="D151" s="44" t="s">
        <v>624</v>
      </c>
      <c r="F151" s="79">
        <v>2353024</v>
      </c>
      <c r="H151" s="63">
        <f t="shared" si="58"/>
        <v>2353024</v>
      </c>
      <c r="I151" s="63">
        <f t="shared" si="58"/>
        <v>0</v>
      </c>
      <c r="J151" s="63">
        <f t="shared" si="58"/>
        <v>0</v>
      </c>
      <c r="K151" s="63">
        <f t="shared" si="58"/>
        <v>0</v>
      </c>
      <c r="L151" s="63">
        <f t="shared" si="58"/>
        <v>0</v>
      </c>
      <c r="M151" s="63">
        <f t="shared" si="58"/>
        <v>0</v>
      </c>
      <c r="N151" s="63">
        <f t="shared" si="58"/>
        <v>0</v>
      </c>
      <c r="O151" s="63">
        <f t="shared" si="58"/>
        <v>0</v>
      </c>
      <c r="P151" s="63">
        <f t="shared" si="58"/>
        <v>0</v>
      </c>
      <c r="Q151" s="63">
        <f t="shared" si="58"/>
        <v>0</v>
      </c>
      <c r="R151" s="63">
        <f t="shared" si="59"/>
        <v>0</v>
      </c>
      <c r="S151" s="63">
        <f t="shared" si="59"/>
        <v>0</v>
      </c>
      <c r="T151" s="63">
        <f t="shared" si="59"/>
        <v>0</v>
      </c>
      <c r="U151" s="63">
        <f t="shared" si="59"/>
        <v>0</v>
      </c>
      <c r="V151" s="63">
        <f t="shared" si="59"/>
        <v>0</v>
      </c>
      <c r="W151" s="63">
        <f t="shared" si="59"/>
        <v>0</v>
      </c>
      <c r="X151" s="63">
        <f t="shared" si="59"/>
        <v>0</v>
      </c>
      <c r="Y151" s="63">
        <f t="shared" si="59"/>
        <v>0</v>
      </c>
      <c r="Z151" s="63">
        <f t="shared" si="59"/>
        <v>0</v>
      </c>
      <c r="AA151" s="63">
        <f t="shared" si="59"/>
        <v>0</v>
      </c>
      <c r="AB151" s="63">
        <f t="shared" si="59"/>
        <v>0</v>
      </c>
      <c r="AC151" s="63">
        <f t="shared" si="59"/>
        <v>0</v>
      </c>
      <c r="AD151" s="63">
        <f t="shared" si="59"/>
        <v>0</v>
      </c>
      <c r="AE151" s="63">
        <f t="shared" si="59"/>
        <v>0</v>
      </c>
      <c r="AF151" s="63">
        <f t="shared" si="60"/>
        <v>2353024</v>
      </c>
      <c r="AG151" s="58" t="str">
        <f t="shared" si="61"/>
        <v>ok</v>
      </c>
    </row>
    <row r="152" spans="1:33">
      <c r="A152" s="60">
        <v>506</v>
      </c>
      <c r="B152" s="44" t="s">
        <v>208</v>
      </c>
      <c r="C152" s="44" t="s">
        <v>209</v>
      </c>
      <c r="D152" s="44" t="s">
        <v>624</v>
      </c>
      <c r="F152" s="79">
        <v>16437786</v>
      </c>
      <c r="H152" s="63">
        <f t="shared" si="58"/>
        <v>16437786</v>
      </c>
      <c r="I152" s="63">
        <f t="shared" si="58"/>
        <v>0</v>
      </c>
      <c r="J152" s="63">
        <f t="shared" si="58"/>
        <v>0</v>
      </c>
      <c r="K152" s="63">
        <f t="shared" si="58"/>
        <v>0</v>
      </c>
      <c r="L152" s="63">
        <f t="shared" si="58"/>
        <v>0</v>
      </c>
      <c r="M152" s="63">
        <f t="shared" si="58"/>
        <v>0</v>
      </c>
      <c r="N152" s="63">
        <f t="shared" si="58"/>
        <v>0</v>
      </c>
      <c r="O152" s="63">
        <f t="shared" si="58"/>
        <v>0</v>
      </c>
      <c r="P152" s="63">
        <f t="shared" si="58"/>
        <v>0</v>
      </c>
      <c r="Q152" s="63">
        <f t="shared" si="58"/>
        <v>0</v>
      </c>
      <c r="R152" s="63">
        <f t="shared" si="59"/>
        <v>0</v>
      </c>
      <c r="S152" s="63">
        <f t="shared" si="59"/>
        <v>0</v>
      </c>
      <c r="T152" s="63">
        <f t="shared" si="59"/>
        <v>0</v>
      </c>
      <c r="U152" s="63">
        <f t="shared" si="59"/>
        <v>0</v>
      </c>
      <c r="V152" s="63">
        <f t="shared" si="59"/>
        <v>0</v>
      </c>
      <c r="W152" s="63">
        <f t="shared" si="59"/>
        <v>0</v>
      </c>
      <c r="X152" s="63">
        <f t="shared" si="59"/>
        <v>0</v>
      </c>
      <c r="Y152" s="63">
        <f t="shared" si="59"/>
        <v>0</v>
      </c>
      <c r="Z152" s="63">
        <f t="shared" si="59"/>
        <v>0</v>
      </c>
      <c r="AA152" s="63">
        <f t="shared" si="59"/>
        <v>0</v>
      </c>
      <c r="AB152" s="63">
        <f t="shared" si="59"/>
        <v>0</v>
      </c>
      <c r="AC152" s="63">
        <f t="shared" si="59"/>
        <v>0</v>
      </c>
      <c r="AD152" s="63">
        <f t="shared" si="59"/>
        <v>0</v>
      </c>
      <c r="AE152" s="63">
        <f t="shared" si="59"/>
        <v>0</v>
      </c>
      <c r="AF152" s="63">
        <f t="shared" si="60"/>
        <v>16437786</v>
      </c>
      <c r="AG152" s="58" t="str">
        <f t="shared" si="61"/>
        <v>ok</v>
      </c>
    </row>
    <row r="153" spans="1:33">
      <c r="A153" s="60">
        <v>507</v>
      </c>
      <c r="B153" s="44" t="s">
        <v>928</v>
      </c>
      <c r="C153" s="44" t="s">
        <v>332</v>
      </c>
      <c r="D153" s="44" t="s">
        <v>624</v>
      </c>
      <c r="F153" s="79">
        <v>0</v>
      </c>
      <c r="H153" s="63">
        <f t="shared" si="58"/>
        <v>0</v>
      </c>
      <c r="I153" s="63">
        <f t="shared" si="58"/>
        <v>0</v>
      </c>
      <c r="J153" s="63">
        <f t="shared" si="58"/>
        <v>0</v>
      </c>
      <c r="K153" s="63">
        <f t="shared" si="58"/>
        <v>0</v>
      </c>
      <c r="L153" s="63">
        <f t="shared" si="58"/>
        <v>0</v>
      </c>
      <c r="M153" s="63">
        <f t="shared" si="58"/>
        <v>0</v>
      </c>
      <c r="N153" s="63">
        <f t="shared" si="58"/>
        <v>0</v>
      </c>
      <c r="O153" s="63">
        <f t="shared" si="58"/>
        <v>0</v>
      </c>
      <c r="P153" s="63">
        <f t="shared" si="58"/>
        <v>0</v>
      </c>
      <c r="Q153" s="63">
        <f t="shared" si="58"/>
        <v>0</v>
      </c>
      <c r="R153" s="63">
        <f t="shared" si="59"/>
        <v>0</v>
      </c>
      <c r="S153" s="63">
        <f t="shared" si="59"/>
        <v>0</v>
      </c>
      <c r="T153" s="63">
        <f t="shared" si="59"/>
        <v>0</v>
      </c>
      <c r="U153" s="63">
        <f t="shared" si="59"/>
        <v>0</v>
      </c>
      <c r="V153" s="63">
        <f t="shared" si="59"/>
        <v>0</v>
      </c>
      <c r="W153" s="63">
        <f t="shared" si="59"/>
        <v>0</v>
      </c>
      <c r="X153" s="63">
        <f t="shared" si="59"/>
        <v>0</v>
      </c>
      <c r="Y153" s="63">
        <f t="shared" si="59"/>
        <v>0</v>
      </c>
      <c r="Z153" s="63">
        <f t="shared" si="59"/>
        <v>0</v>
      </c>
      <c r="AA153" s="63">
        <f t="shared" si="59"/>
        <v>0</v>
      </c>
      <c r="AB153" s="63">
        <f t="shared" si="59"/>
        <v>0</v>
      </c>
      <c r="AC153" s="63">
        <f t="shared" si="59"/>
        <v>0</v>
      </c>
      <c r="AD153" s="63">
        <f t="shared" si="59"/>
        <v>0</v>
      </c>
      <c r="AE153" s="63">
        <f t="shared" si="59"/>
        <v>0</v>
      </c>
      <c r="AF153" s="63">
        <f>SUM(H153:AE153)</f>
        <v>0</v>
      </c>
      <c r="AG153" s="58" t="str">
        <f t="shared" si="61"/>
        <v>ok</v>
      </c>
    </row>
    <row r="154" spans="1:33">
      <c r="A154" s="60">
        <v>509</v>
      </c>
      <c r="B154" s="44" t="s">
        <v>575</v>
      </c>
      <c r="C154" s="44" t="s">
        <v>574</v>
      </c>
      <c r="D154" s="44" t="s">
        <v>624</v>
      </c>
      <c r="F154" s="79">
        <v>0</v>
      </c>
      <c r="H154" s="63">
        <f t="shared" si="58"/>
        <v>0</v>
      </c>
      <c r="I154" s="63">
        <f t="shared" si="58"/>
        <v>0</v>
      </c>
      <c r="J154" s="63">
        <f t="shared" si="58"/>
        <v>0</v>
      </c>
      <c r="K154" s="63">
        <f t="shared" si="58"/>
        <v>0</v>
      </c>
      <c r="L154" s="63">
        <f t="shared" si="58"/>
        <v>0</v>
      </c>
      <c r="M154" s="63">
        <f t="shared" si="58"/>
        <v>0</v>
      </c>
      <c r="N154" s="63">
        <f t="shared" si="58"/>
        <v>0</v>
      </c>
      <c r="O154" s="63">
        <f t="shared" si="58"/>
        <v>0</v>
      </c>
      <c r="P154" s="63">
        <f t="shared" si="58"/>
        <v>0</v>
      </c>
      <c r="Q154" s="63">
        <f t="shared" si="58"/>
        <v>0</v>
      </c>
      <c r="R154" s="63">
        <f t="shared" si="59"/>
        <v>0</v>
      </c>
      <c r="S154" s="63">
        <f t="shared" si="59"/>
        <v>0</v>
      </c>
      <c r="T154" s="63">
        <f t="shared" si="59"/>
        <v>0</v>
      </c>
      <c r="U154" s="63">
        <f t="shared" si="59"/>
        <v>0</v>
      </c>
      <c r="V154" s="63">
        <f t="shared" si="59"/>
        <v>0</v>
      </c>
      <c r="W154" s="63">
        <f t="shared" si="59"/>
        <v>0</v>
      </c>
      <c r="X154" s="63">
        <f t="shared" si="59"/>
        <v>0</v>
      </c>
      <c r="Y154" s="63">
        <f t="shared" si="59"/>
        <v>0</v>
      </c>
      <c r="Z154" s="63">
        <f t="shared" si="59"/>
        <v>0</v>
      </c>
      <c r="AA154" s="63">
        <f t="shared" si="59"/>
        <v>0</v>
      </c>
      <c r="AB154" s="63">
        <f t="shared" si="59"/>
        <v>0</v>
      </c>
      <c r="AC154" s="63">
        <f t="shared" si="59"/>
        <v>0</v>
      </c>
      <c r="AD154" s="63">
        <f t="shared" si="59"/>
        <v>0</v>
      </c>
      <c r="AE154" s="63">
        <f t="shared" si="59"/>
        <v>0</v>
      </c>
      <c r="AF154" s="63">
        <f t="shared" si="60"/>
        <v>0</v>
      </c>
      <c r="AG154" s="58" t="str">
        <f t="shared" si="61"/>
        <v>ok</v>
      </c>
    </row>
    <row r="155" spans="1:33">
      <c r="A155" s="60"/>
      <c r="F155" s="76"/>
      <c r="W155" s="44"/>
      <c r="AG155" s="58"/>
    </row>
    <row r="156" spans="1:33">
      <c r="A156" s="60"/>
      <c r="B156" s="44" t="s">
        <v>210</v>
      </c>
      <c r="F156" s="76">
        <f>SUM(F147:F155)</f>
        <v>297001665.07078803</v>
      </c>
      <c r="H156" s="62">
        <f>SUM(H147:H155)</f>
        <v>42157898.591937132</v>
      </c>
      <c r="I156" s="62">
        <f t="shared" ref="I156:AF156" si="62">SUM(I147:I155)</f>
        <v>0</v>
      </c>
      <c r="J156" s="62">
        <f t="shared" si="62"/>
        <v>0</v>
      </c>
      <c r="K156" s="62">
        <f t="shared" si="62"/>
        <v>254843766.47885084</v>
      </c>
      <c r="L156" s="62">
        <f t="shared" si="62"/>
        <v>0</v>
      </c>
      <c r="M156" s="62">
        <f t="shared" si="62"/>
        <v>0</v>
      </c>
      <c r="N156" s="62">
        <f t="shared" si="62"/>
        <v>0</v>
      </c>
      <c r="O156" s="62">
        <f>SUM(O147:O155)</f>
        <v>0</v>
      </c>
      <c r="P156" s="62">
        <f>SUM(P147:P155)</f>
        <v>0</v>
      </c>
      <c r="Q156" s="62">
        <f t="shared" si="62"/>
        <v>0</v>
      </c>
      <c r="R156" s="62">
        <f t="shared" si="62"/>
        <v>0</v>
      </c>
      <c r="S156" s="62">
        <f t="shared" si="62"/>
        <v>0</v>
      </c>
      <c r="T156" s="62">
        <f t="shared" si="62"/>
        <v>0</v>
      </c>
      <c r="U156" s="62">
        <f>SUM(U147:U155)</f>
        <v>0</v>
      </c>
      <c r="V156" s="62">
        <f>SUM(V147:V155)</f>
        <v>0</v>
      </c>
      <c r="W156" s="62">
        <f>SUM(W147:W155)</f>
        <v>0</v>
      </c>
      <c r="X156" s="62">
        <f t="shared" si="62"/>
        <v>0</v>
      </c>
      <c r="Y156" s="62">
        <f t="shared" si="62"/>
        <v>0</v>
      </c>
      <c r="Z156" s="62">
        <f>SUM(Z147:Z155)</f>
        <v>0</v>
      </c>
      <c r="AA156" s="62">
        <f>SUM(AA147:AA155)</f>
        <v>0</v>
      </c>
      <c r="AB156" s="62">
        <f t="shared" si="62"/>
        <v>0</v>
      </c>
      <c r="AC156" s="62">
        <f t="shared" si="62"/>
        <v>0</v>
      </c>
      <c r="AD156" s="62">
        <f t="shared" si="62"/>
        <v>0</v>
      </c>
      <c r="AE156" s="62">
        <f t="shared" si="62"/>
        <v>0</v>
      </c>
      <c r="AF156" s="62">
        <f t="shared" si="62"/>
        <v>297001665.07078803</v>
      </c>
      <c r="AG156" s="58" t="str">
        <f>IF(ABS(AF156-F156)&lt;1,"ok","err")</f>
        <v>ok</v>
      </c>
    </row>
    <row r="157" spans="1:33">
      <c r="A157" s="60"/>
      <c r="F157" s="76"/>
      <c r="W157" s="44"/>
      <c r="AG157" s="58"/>
    </row>
    <row r="158" spans="1:33" ht="14.1">
      <c r="A158" s="65" t="s">
        <v>211</v>
      </c>
      <c r="F158" s="76"/>
      <c r="W158" s="44"/>
      <c r="AG158" s="58"/>
    </row>
    <row r="159" spans="1:33">
      <c r="A159" s="60">
        <v>510</v>
      </c>
      <c r="B159" s="44" t="s">
        <v>214</v>
      </c>
      <c r="C159" s="44" t="s">
        <v>212</v>
      </c>
      <c r="D159" s="44" t="s">
        <v>86</v>
      </c>
      <c r="F159" s="76">
        <v>8141536</v>
      </c>
      <c r="H159" s="63">
        <f t="shared" ref="H159:Q163" si="63">IF(VLOOKUP($D159,$C$6:$AE$653,H$2,)=0,0,((VLOOKUP($D159,$C$6:$AE$653,H$2,)/VLOOKUP($D159,$C$6:$AE$653,4,))*$F159))</f>
        <v>31953.473259009832</v>
      </c>
      <c r="I159" s="63">
        <f t="shared" si="63"/>
        <v>0</v>
      </c>
      <c r="J159" s="63">
        <f t="shared" si="63"/>
        <v>0</v>
      </c>
      <c r="K159" s="63">
        <f t="shared" si="63"/>
        <v>8109582.5267409896</v>
      </c>
      <c r="L159" s="63">
        <f t="shared" si="63"/>
        <v>0</v>
      </c>
      <c r="M159" s="63">
        <f t="shared" si="63"/>
        <v>0</v>
      </c>
      <c r="N159" s="63">
        <f t="shared" si="63"/>
        <v>0</v>
      </c>
      <c r="O159" s="63">
        <f t="shared" si="63"/>
        <v>0</v>
      </c>
      <c r="P159" s="63">
        <f t="shared" si="63"/>
        <v>0</v>
      </c>
      <c r="Q159" s="63">
        <f t="shared" si="63"/>
        <v>0</v>
      </c>
      <c r="R159" s="63">
        <f t="shared" ref="R159:AE163" si="64">IF(VLOOKUP($D159,$C$6:$AE$653,R$2,)=0,0,((VLOOKUP($D159,$C$6:$AE$653,R$2,)/VLOOKUP($D159,$C$6:$AE$653,4,))*$F159))</f>
        <v>0</v>
      </c>
      <c r="S159" s="63">
        <f t="shared" si="64"/>
        <v>0</v>
      </c>
      <c r="T159" s="63">
        <f t="shared" si="64"/>
        <v>0</v>
      </c>
      <c r="U159" s="63">
        <f t="shared" si="64"/>
        <v>0</v>
      </c>
      <c r="V159" s="63">
        <f t="shared" si="64"/>
        <v>0</v>
      </c>
      <c r="W159" s="63">
        <f t="shared" si="64"/>
        <v>0</v>
      </c>
      <c r="X159" s="63">
        <f t="shared" si="64"/>
        <v>0</v>
      </c>
      <c r="Y159" s="63">
        <f t="shared" si="64"/>
        <v>0</v>
      </c>
      <c r="Z159" s="63">
        <f t="shared" si="64"/>
        <v>0</v>
      </c>
      <c r="AA159" s="63">
        <f t="shared" si="64"/>
        <v>0</v>
      </c>
      <c r="AB159" s="63">
        <f t="shared" si="64"/>
        <v>0</v>
      </c>
      <c r="AC159" s="63">
        <f t="shared" si="64"/>
        <v>0</v>
      </c>
      <c r="AD159" s="63">
        <f t="shared" si="64"/>
        <v>0</v>
      </c>
      <c r="AE159" s="63">
        <f t="shared" si="64"/>
        <v>0</v>
      </c>
      <c r="AF159" s="63">
        <f>SUM(H159:AE159)</f>
        <v>8141535.9999999991</v>
      </c>
      <c r="AG159" s="58" t="str">
        <f>IF(ABS(AF159-F159)&lt;1,"ok","err")</f>
        <v>ok</v>
      </c>
    </row>
    <row r="160" spans="1:33">
      <c r="A160" s="60">
        <v>511</v>
      </c>
      <c r="B160" s="44" t="s">
        <v>213</v>
      </c>
      <c r="C160" s="44" t="s">
        <v>215</v>
      </c>
      <c r="D160" s="44" t="s">
        <v>624</v>
      </c>
      <c r="F160" s="79">
        <v>3444669</v>
      </c>
      <c r="H160" s="63">
        <f t="shared" si="63"/>
        <v>3444669</v>
      </c>
      <c r="I160" s="63">
        <f t="shared" si="63"/>
        <v>0</v>
      </c>
      <c r="J160" s="63">
        <f t="shared" si="63"/>
        <v>0</v>
      </c>
      <c r="K160" s="63">
        <f t="shared" si="63"/>
        <v>0</v>
      </c>
      <c r="L160" s="63">
        <f t="shared" si="63"/>
        <v>0</v>
      </c>
      <c r="M160" s="63">
        <f t="shared" si="63"/>
        <v>0</v>
      </c>
      <c r="N160" s="63">
        <f t="shared" si="63"/>
        <v>0</v>
      </c>
      <c r="O160" s="63">
        <f t="shared" si="63"/>
        <v>0</v>
      </c>
      <c r="P160" s="63">
        <f t="shared" si="63"/>
        <v>0</v>
      </c>
      <c r="Q160" s="63">
        <f t="shared" si="63"/>
        <v>0</v>
      </c>
      <c r="R160" s="63">
        <f t="shared" si="64"/>
        <v>0</v>
      </c>
      <c r="S160" s="63">
        <f t="shared" si="64"/>
        <v>0</v>
      </c>
      <c r="T160" s="63">
        <f t="shared" si="64"/>
        <v>0</v>
      </c>
      <c r="U160" s="63">
        <f t="shared" si="64"/>
        <v>0</v>
      </c>
      <c r="V160" s="63">
        <f t="shared" si="64"/>
        <v>0</v>
      </c>
      <c r="W160" s="63">
        <f t="shared" si="64"/>
        <v>0</v>
      </c>
      <c r="X160" s="63">
        <f t="shared" si="64"/>
        <v>0</v>
      </c>
      <c r="Y160" s="63">
        <f t="shared" si="64"/>
        <v>0</v>
      </c>
      <c r="Z160" s="63">
        <f t="shared" si="64"/>
        <v>0</v>
      </c>
      <c r="AA160" s="63">
        <f t="shared" si="64"/>
        <v>0</v>
      </c>
      <c r="AB160" s="63">
        <f t="shared" si="64"/>
        <v>0</v>
      </c>
      <c r="AC160" s="63">
        <f t="shared" si="64"/>
        <v>0</v>
      </c>
      <c r="AD160" s="63">
        <f t="shared" si="64"/>
        <v>0</v>
      </c>
      <c r="AE160" s="63">
        <f t="shared" si="64"/>
        <v>0</v>
      </c>
      <c r="AF160" s="63">
        <f>SUM(H160:AE160)</f>
        <v>3444669</v>
      </c>
      <c r="AG160" s="58" t="str">
        <f>IF(ABS(AF160-F160)&lt;1,"ok","err")</f>
        <v>ok</v>
      </c>
    </row>
    <row r="161" spans="1:33">
      <c r="A161" s="60">
        <v>512</v>
      </c>
      <c r="B161" s="44" t="s">
        <v>216</v>
      </c>
      <c r="C161" s="44" t="s">
        <v>218</v>
      </c>
      <c r="D161" s="44" t="s">
        <v>854</v>
      </c>
      <c r="F161" s="79">
        <f>35468576-1126079</f>
        <v>34342497</v>
      </c>
      <c r="H161" s="63">
        <f t="shared" si="63"/>
        <v>0</v>
      </c>
      <c r="I161" s="63">
        <f t="shared" si="63"/>
        <v>0</v>
      </c>
      <c r="J161" s="63">
        <f t="shared" si="63"/>
        <v>0</v>
      </c>
      <c r="K161" s="63">
        <f t="shared" si="63"/>
        <v>34342497</v>
      </c>
      <c r="L161" s="63">
        <f t="shared" si="63"/>
        <v>0</v>
      </c>
      <c r="M161" s="63">
        <f t="shared" si="63"/>
        <v>0</v>
      </c>
      <c r="N161" s="63">
        <f t="shared" si="63"/>
        <v>0</v>
      </c>
      <c r="O161" s="63">
        <f t="shared" si="63"/>
        <v>0</v>
      </c>
      <c r="P161" s="63">
        <f t="shared" si="63"/>
        <v>0</v>
      </c>
      <c r="Q161" s="63">
        <f t="shared" si="63"/>
        <v>0</v>
      </c>
      <c r="R161" s="63">
        <f t="shared" si="64"/>
        <v>0</v>
      </c>
      <c r="S161" s="63">
        <f t="shared" si="64"/>
        <v>0</v>
      </c>
      <c r="T161" s="63">
        <f t="shared" si="64"/>
        <v>0</v>
      </c>
      <c r="U161" s="63">
        <f t="shared" si="64"/>
        <v>0</v>
      </c>
      <c r="V161" s="63">
        <f t="shared" si="64"/>
        <v>0</v>
      </c>
      <c r="W161" s="63">
        <f t="shared" si="64"/>
        <v>0</v>
      </c>
      <c r="X161" s="63">
        <f t="shared" si="64"/>
        <v>0</v>
      </c>
      <c r="Y161" s="63">
        <f t="shared" si="64"/>
        <v>0</v>
      </c>
      <c r="Z161" s="63">
        <f t="shared" si="64"/>
        <v>0</v>
      </c>
      <c r="AA161" s="63">
        <f t="shared" si="64"/>
        <v>0</v>
      </c>
      <c r="AB161" s="63">
        <f t="shared" si="64"/>
        <v>0</v>
      </c>
      <c r="AC161" s="63">
        <f t="shared" si="64"/>
        <v>0</v>
      </c>
      <c r="AD161" s="63">
        <f t="shared" si="64"/>
        <v>0</v>
      </c>
      <c r="AE161" s="63">
        <f t="shared" si="64"/>
        <v>0</v>
      </c>
      <c r="AF161" s="63">
        <f>SUM(H161:AE161)</f>
        <v>34342497</v>
      </c>
      <c r="AG161" s="58" t="str">
        <f>IF(ABS(AF161-F161)&lt;1,"ok","err")</f>
        <v>ok</v>
      </c>
    </row>
    <row r="162" spans="1:33">
      <c r="A162" s="60">
        <v>513</v>
      </c>
      <c r="B162" s="44" t="s">
        <v>217</v>
      </c>
      <c r="C162" s="44" t="s">
        <v>219</v>
      </c>
      <c r="D162" s="44" t="s">
        <v>854</v>
      </c>
      <c r="F162" s="79">
        <v>14018415</v>
      </c>
      <c r="H162" s="63">
        <f t="shared" si="63"/>
        <v>0</v>
      </c>
      <c r="I162" s="63">
        <f t="shared" si="63"/>
        <v>0</v>
      </c>
      <c r="J162" s="63">
        <f t="shared" si="63"/>
        <v>0</v>
      </c>
      <c r="K162" s="63">
        <f t="shared" si="63"/>
        <v>14018415</v>
      </c>
      <c r="L162" s="63">
        <f t="shared" si="63"/>
        <v>0</v>
      </c>
      <c r="M162" s="63">
        <f t="shared" si="63"/>
        <v>0</v>
      </c>
      <c r="N162" s="63">
        <f t="shared" si="63"/>
        <v>0</v>
      </c>
      <c r="O162" s="63">
        <f t="shared" si="63"/>
        <v>0</v>
      </c>
      <c r="P162" s="63">
        <f t="shared" si="63"/>
        <v>0</v>
      </c>
      <c r="Q162" s="63">
        <f t="shared" si="63"/>
        <v>0</v>
      </c>
      <c r="R162" s="63">
        <f t="shared" si="64"/>
        <v>0</v>
      </c>
      <c r="S162" s="63">
        <f t="shared" si="64"/>
        <v>0</v>
      </c>
      <c r="T162" s="63">
        <f t="shared" si="64"/>
        <v>0</v>
      </c>
      <c r="U162" s="63">
        <f t="shared" si="64"/>
        <v>0</v>
      </c>
      <c r="V162" s="63">
        <f t="shared" si="64"/>
        <v>0</v>
      </c>
      <c r="W162" s="63">
        <f t="shared" si="64"/>
        <v>0</v>
      </c>
      <c r="X162" s="63">
        <f t="shared" si="64"/>
        <v>0</v>
      </c>
      <c r="Y162" s="63">
        <f t="shared" si="64"/>
        <v>0</v>
      </c>
      <c r="Z162" s="63">
        <f t="shared" si="64"/>
        <v>0</v>
      </c>
      <c r="AA162" s="63">
        <f t="shared" si="64"/>
        <v>0</v>
      </c>
      <c r="AB162" s="63">
        <f t="shared" si="64"/>
        <v>0</v>
      </c>
      <c r="AC162" s="63">
        <f t="shared" si="64"/>
        <v>0</v>
      </c>
      <c r="AD162" s="63">
        <f t="shared" si="64"/>
        <v>0</v>
      </c>
      <c r="AE162" s="63">
        <f t="shared" si="64"/>
        <v>0</v>
      </c>
      <c r="AF162" s="63">
        <f>SUM(H162:AE162)</f>
        <v>14018415</v>
      </c>
      <c r="AG162" s="58" t="str">
        <f>IF(ABS(AF162-F162)&lt;1,"ok","err")</f>
        <v>ok</v>
      </c>
    </row>
    <row r="163" spans="1:33">
      <c r="A163" s="60">
        <v>514</v>
      </c>
      <c r="B163" s="44" t="s">
        <v>220</v>
      </c>
      <c r="C163" s="44" t="s">
        <v>221</v>
      </c>
      <c r="D163" s="44" t="s">
        <v>854</v>
      </c>
      <c r="F163" s="79">
        <v>1551793</v>
      </c>
      <c r="H163" s="63">
        <f t="shared" si="63"/>
        <v>0</v>
      </c>
      <c r="I163" s="63">
        <f t="shared" si="63"/>
        <v>0</v>
      </c>
      <c r="J163" s="63">
        <f t="shared" si="63"/>
        <v>0</v>
      </c>
      <c r="K163" s="63">
        <f t="shared" si="63"/>
        <v>1551793</v>
      </c>
      <c r="L163" s="63">
        <f t="shared" si="63"/>
        <v>0</v>
      </c>
      <c r="M163" s="63">
        <f t="shared" si="63"/>
        <v>0</v>
      </c>
      <c r="N163" s="63">
        <f t="shared" si="63"/>
        <v>0</v>
      </c>
      <c r="O163" s="63">
        <f t="shared" si="63"/>
        <v>0</v>
      </c>
      <c r="P163" s="63">
        <f t="shared" si="63"/>
        <v>0</v>
      </c>
      <c r="Q163" s="63">
        <f t="shared" si="63"/>
        <v>0</v>
      </c>
      <c r="R163" s="63">
        <f t="shared" si="64"/>
        <v>0</v>
      </c>
      <c r="S163" s="63">
        <f t="shared" si="64"/>
        <v>0</v>
      </c>
      <c r="T163" s="63">
        <f t="shared" si="64"/>
        <v>0</v>
      </c>
      <c r="U163" s="63">
        <f t="shared" si="64"/>
        <v>0</v>
      </c>
      <c r="V163" s="63">
        <f t="shared" si="64"/>
        <v>0</v>
      </c>
      <c r="W163" s="63">
        <f t="shared" si="64"/>
        <v>0</v>
      </c>
      <c r="X163" s="63">
        <f t="shared" si="64"/>
        <v>0</v>
      </c>
      <c r="Y163" s="63">
        <f t="shared" si="64"/>
        <v>0</v>
      </c>
      <c r="Z163" s="63">
        <f t="shared" si="64"/>
        <v>0</v>
      </c>
      <c r="AA163" s="63">
        <f t="shared" si="64"/>
        <v>0</v>
      </c>
      <c r="AB163" s="63">
        <f t="shared" si="64"/>
        <v>0</v>
      </c>
      <c r="AC163" s="63">
        <f t="shared" si="64"/>
        <v>0</v>
      </c>
      <c r="AD163" s="63">
        <f t="shared" si="64"/>
        <v>0</v>
      </c>
      <c r="AE163" s="63">
        <f t="shared" si="64"/>
        <v>0</v>
      </c>
      <c r="AF163" s="63">
        <f>SUM(H163:AE163)</f>
        <v>1551793</v>
      </c>
      <c r="AG163" s="58" t="str">
        <f>IF(ABS(AF163-F163)&lt;1,"ok","err")</f>
        <v>ok</v>
      </c>
    </row>
    <row r="164" spans="1:33">
      <c r="A164" s="60"/>
      <c r="F164" s="76"/>
      <c r="W164" s="44"/>
      <c r="AF164" s="63"/>
      <c r="AG164" s="58"/>
    </row>
    <row r="165" spans="1:33">
      <c r="A165" s="60"/>
      <c r="B165" s="44" t="s">
        <v>222</v>
      </c>
      <c r="F165" s="76">
        <f>SUM(F159:F164)</f>
        <v>61498910</v>
      </c>
      <c r="H165" s="62">
        <f t="shared" ref="H165:M165" si="65">SUM(H159:H164)</f>
        <v>3476622.4732590099</v>
      </c>
      <c r="I165" s="62">
        <f t="shared" si="65"/>
        <v>0</v>
      </c>
      <c r="J165" s="62">
        <f t="shared" si="65"/>
        <v>0</v>
      </c>
      <c r="K165" s="62">
        <f t="shared" si="65"/>
        <v>58022287.526740991</v>
      </c>
      <c r="L165" s="62">
        <f t="shared" si="65"/>
        <v>0</v>
      </c>
      <c r="M165" s="62">
        <f t="shared" si="65"/>
        <v>0</v>
      </c>
      <c r="N165" s="62">
        <f>SUM(N159:N164)</f>
        <v>0</v>
      </c>
      <c r="O165" s="62">
        <f>SUM(O159:O164)</f>
        <v>0</v>
      </c>
      <c r="P165" s="62">
        <f>SUM(P159:P164)</f>
        <v>0</v>
      </c>
      <c r="Q165" s="62">
        <f t="shared" ref="Q165:AB165" si="66">SUM(Q159:Q164)</f>
        <v>0</v>
      </c>
      <c r="R165" s="62">
        <f t="shared" si="66"/>
        <v>0</v>
      </c>
      <c r="S165" s="62">
        <f t="shared" si="66"/>
        <v>0</v>
      </c>
      <c r="T165" s="62">
        <f t="shared" si="66"/>
        <v>0</v>
      </c>
      <c r="U165" s="62">
        <f t="shared" si="66"/>
        <v>0</v>
      </c>
      <c r="V165" s="62">
        <f t="shared" si="66"/>
        <v>0</v>
      </c>
      <c r="W165" s="62">
        <f t="shared" si="66"/>
        <v>0</v>
      </c>
      <c r="X165" s="62">
        <f t="shared" si="66"/>
        <v>0</v>
      </c>
      <c r="Y165" s="62">
        <f t="shared" si="66"/>
        <v>0</v>
      </c>
      <c r="Z165" s="62">
        <f t="shared" si="66"/>
        <v>0</v>
      </c>
      <c r="AA165" s="62">
        <f t="shared" si="66"/>
        <v>0</v>
      </c>
      <c r="AB165" s="62">
        <f t="shared" si="66"/>
        <v>0</v>
      </c>
      <c r="AC165" s="62">
        <f>SUM(AC159:AC164)</f>
        <v>0</v>
      </c>
      <c r="AD165" s="62">
        <f>SUM(AD159:AD164)</f>
        <v>0</v>
      </c>
      <c r="AE165" s="62">
        <f>SUM(AE159:AE164)</f>
        <v>0</v>
      </c>
      <c r="AF165" s="63">
        <f>SUM(H165:AE165)</f>
        <v>61498910</v>
      </c>
      <c r="AG165" s="58" t="str">
        <f>IF(ABS(AF165-F165)&lt;1,"ok","err")</f>
        <v>ok</v>
      </c>
    </row>
    <row r="166" spans="1:33">
      <c r="A166" s="60"/>
      <c r="F166" s="76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3"/>
      <c r="AG166" s="58"/>
    </row>
    <row r="167" spans="1:33">
      <c r="A167" s="60"/>
      <c r="B167" s="44" t="s">
        <v>223</v>
      </c>
      <c r="F167" s="173">
        <f>F156+F165</f>
        <v>358500575.07078803</v>
      </c>
      <c r="H167" s="62">
        <f t="shared" ref="H167:M167" si="67">H156+H165</f>
        <v>45634521.065196142</v>
      </c>
      <c r="I167" s="62">
        <f t="shared" si="67"/>
        <v>0</v>
      </c>
      <c r="J167" s="62">
        <f t="shared" si="67"/>
        <v>0</v>
      </c>
      <c r="K167" s="62">
        <f t="shared" si="67"/>
        <v>312866054.00559181</v>
      </c>
      <c r="L167" s="62">
        <f t="shared" si="67"/>
        <v>0</v>
      </c>
      <c r="M167" s="62">
        <f t="shared" si="67"/>
        <v>0</v>
      </c>
      <c r="N167" s="62">
        <f>N156+N165</f>
        <v>0</v>
      </c>
      <c r="O167" s="62">
        <f>O156+O165</f>
        <v>0</v>
      </c>
      <c r="P167" s="62">
        <f>P156+P165</f>
        <v>0</v>
      </c>
      <c r="Q167" s="62">
        <f t="shared" ref="Q167:AB167" si="68">Q156+Q165</f>
        <v>0</v>
      </c>
      <c r="R167" s="62">
        <f t="shared" si="68"/>
        <v>0</v>
      </c>
      <c r="S167" s="62">
        <f t="shared" si="68"/>
        <v>0</v>
      </c>
      <c r="T167" s="62">
        <f t="shared" si="68"/>
        <v>0</v>
      </c>
      <c r="U167" s="62">
        <f t="shared" si="68"/>
        <v>0</v>
      </c>
      <c r="V167" s="62">
        <f t="shared" si="68"/>
        <v>0</v>
      </c>
      <c r="W167" s="62">
        <f t="shared" si="68"/>
        <v>0</v>
      </c>
      <c r="X167" s="62">
        <f t="shared" si="68"/>
        <v>0</v>
      </c>
      <c r="Y167" s="62">
        <f t="shared" si="68"/>
        <v>0</v>
      </c>
      <c r="Z167" s="62">
        <f t="shared" si="68"/>
        <v>0</v>
      </c>
      <c r="AA167" s="62">
        <f t="shared" si="68"/>
        <v>0</v>
      </c>
      <c r="AB167" s="62">
        <f t="shared" si="68"/>
        <v>0</v>
      </c>
      <c r="AC167" s="62">
        <f>AC156+AC165</f>
        <v>0</v>
      </c>
      <c r="AD167" s="62">
        <f>AD156+AD165</f>
        <v>0</v>
      </c>
      <c r="AE167" s="62">
        <f>AE156+AE165</f>
        <v>0</v>
      </c>
      <c r="AF167" s="63">
        <f>SUM(H167:AE167)</f>
        <v>358500575.07078797</v>
      </c>
      <c r="AG167" s="58" t="str">
        <f>IF(ABS(AF167-F167)&lt;1,"ok","err")</f>
        <v>ok</v>
      </c>
    </row>
    <row r="168" spans="1:33">
      <c r="A168" s="60"/>
      <c r="F168" s="76"/>
      <c r="W168" s="44"/>
      <c r="AG168" s="58"/>
    </row>
    <row r="169" spans="1:33" ht="14.1">
      <c r="A169" s="65" t="s">
        <v>309</v>
      </c>
      <c r="W169" s="44"/>
      <c r="AG169" s="58"/>
    </row>
    <row r="170" spans="1:33">
      <c r="A170" s="70">
        <v>535</v>
      </c>
      <c r="B170" s="44" t="s">
        <v>199</v>
      </c>
      <c r="C170" s="44" t="s">
        <v>319</v>
      </c>
      <c r="D170" s="44" t="s">
        <v>630</v>
      </c>
      <c r="F170" s="76">
        <v>116778</v>
      </c>
      <c r="H170" s="63">
        <f t="shared" ref="H170:Q175" si="69">IF(VLOOKUP($D170,$C$6:$AE$653,H$2,)=0,0,((VLOOKUP($D170,$C$6:$AE$653,H$2,)/VLOOKUP($D170,$C$6:$AE$653,4,))*$F170))</f>
        <v>116778</v>
      </c>
      <c r="I170" s="63">
        <f t="shared" si="69"/>
        <v>0</v>
      </c>
      <c r="J170" s="63">
        <f t="shared" si="69"/>
        <v>0</v>
      </c>
      <c r="K170" s="63">
        <f t="shared" si="69"/>
        <v>0</v>
      </c>
      <c r="L170" s="63">
        <f t="shared" si="69"/>
        <v>0</v>
      </c>
      <c r="M170" s="63">
        <f t="shared" si="69"/>
        <v>0</v>
      </c>
      <c r="N170" s="63">
        <f t="shared" si="69"/>
        <v>0</v>
      </c>
      <c r="O170" s="63">
        <f t="shared" si="69"/>
        <v>0</v>
      </c>
      <c r="P170" s="63">
        <f t="shared" si="69"/>
        <v>0</v>
      </c>
      <c r="Q170" s="63">
        <f t="shared" si="69"/>
        <v>0</v>
      </c>
      <c r="R170" s="63">
        <f t="shared" ref="R170:AE175" si="70">IF(VLOOKUP($D170,$C$6:$AE$653,R$2,)=0,0,((VLOOKUP($D170,$C$6:$AE$653,R$2,)/VLOOKUP($D170,$C$6:$AE$653,4,))*$F170))</f>
        <v>0</v>
      </c>
      <c r="S170" s="63">
        <f t="shared" si="70"/>
        <v>0</v>
      </c>
      <c r="T170" s="63">
        <f t="shared" si="70"/>
        <v>0</v>
      </c>
      <c r="U170" s="63">
        <f t="shared" si="70"/>
        <v>0</v>
      </c>
      <c r="V170" s="63">
        <f t="shared" si="70"/>
        <v>0</v>
      </c>
      <c r="W170" s="63">
        <f t="shared" si="70"/>
        <v>0</v>
      </c>
      <c r="X170" s="63">
        <f t="shared" si="70"/>
        <v>0</v>
      </c>
      <c r="Y170" s="63">
        <f t="shared" si="70"/>
        <v>0</v>
      </c>
      <c r="Z170" s="63">
        <f t="shared" si="70"/>
        <v>0</v>
      </c>
      <c r="AA170" s="63">
        <f t="shared" si="70"/>
        <v>0</v>
      </c>
      <c r="AB170" s="63">
        <f t="shared" si="70"/>
        <v>0</v>
      </c>
      <c r="AC170" s="63">
        <f t="shared" si="70"/>
        <v>0</v>
      </c>
      <c r="AD170" s="63">
        <f t="shared" si="70"/>
        <v>0</v>
      </c>
      <c r="AE170" s="63">
        <f t="shared" si="70"/>
        <v>0</v>
      </c>
      <c r="AF170" s="63">
        <f t="shared" ref="AF170:AF175" si="71">SUM(H170:AE170)</f>
        <v>116778</v>
      </c>
      <c r="AG170" s="58" t="str">
        <f t="shared" ref="AG170:AG175" si="72">IF(ABS(AF170-F170)&lt;1,"ok","err")</f>
        <v>ok</v>
      </c>
    </row>
    <row r="171" spans="1:33">
      <c r="A171" s="276">
        <v>536</v>
      </c>
      <c r="B171" s="44" t="s">
        <v>316</v>
      </c>
      <c r="C171" s="44" t="s">
        <v>320</v>
      </c>
      <c r="D171" s="44" t="s">
        <v>624</v>
      </c>
      <c r="F171" s="79">
        <v>43212</v>
      </c>
      <c r="H171" s="63">
        <f t="shared" si="69"/>
        <v>43212</v>
      </c>
      <c r="I171" s="63">
        <f t="shared" si="69"/>
        <v>0</v>
      </c>
      <c r="J171" s="63">
        <f t="shared" si="69"/>
        <v>0</v>
      </c>
      <c r="K171" s="63">
        <f t="shared" si="69"/>
        <v>0</v>
      </c>
      <c r="L171" s="63">
        <f t="shared" si="69"/>
        <v>0</v>
      </c>
      <c r="M171" s="63">
        <f t="shared" si="69"/>
        <v>0</v>
      </c>
      <c r="N171" s="63">
        <f t="shared" si="69"/>
        <v>0</v>
      </c>
      <c r="O171" s="63">
        <f t="shared" si="69"/>
        <v>0</v>
      </c>
      <c r="P171" s="63">
        <f t="shared" si="69"/>
        <v>0</v>
      </c>
      <c r="Q171" s="63">
        <f t="shared" si="69"/>
        <v>0</v>
      </c>
      <c r="R171" s="63">
        <f t="shared" si="70"/>
        <v>0</v>
      </c>
      <c r="S171" s="63">
        <f t="shared" si="70"/>
        <v>0</v>
      </c>
      <c r="T171" s="63">
        <f t="shared" si="70"/>
        <v>0</v>
      </c>
      <c r="U171" s="63">
        <f t="shared" si="70"/>
        <v>0</v>
      </c>
      <c r="V171" s="63">
        <f t="shared" si="70"/>
        <v>0</v>
      </c>
      <c r="W171" s="63">
        <f t="shared" si="70"/>
        <v>0</v>
      </c>
      <c r="X171" s="63">
        <f t="shared" si="70"/>
        <v>0</v>
      </c>
      <c r="Y171" s="63">
        <f t="shared" si="70"/>
        <v>0</v>
      </c>
      <c r="Z171" s="63">
        <f t="shared" si="70"/>
        <v>0</v>
      </c>
      <c r="AA171" s="63">
        <f t="shared" si="70"/>
        <v>0</v>
      </c>
      <c r="AB171" s="63">
        <f t="shared" si="70"/>
        <v>0</v>
      </c>
      <c r="AC171" s="63">
        <f t="shared" si="70"/>
        <v>0</v>
      </c>
      <c r="AD171" s="63">
        <f t="shared" si="70"/>
        <v>0</v>
      </c>
      <c r="AE171" s="63">
        <f t="shared" si="70"/>
        <v>0</v>
      </c>
      <c r="AF171" s="63">
        <f t="shared" si="71"/>
        <v>43212</v>
      </c>
      <c r="AG171" s="58" t="str">
        <f t="shared" si="72"/>
        <v>ok</v>
      </c>
    </row>
    <row r="172" spans="1:33">
      <c r="A172" s="60">
        <v>537</v>
      </c>
      <c r="B172" s="44" t="s">
        <v>315</v>
      </c>
      <c r="C172" s="44" t="s">
        <v>321</v>
      </c>
      <c r="D172" s="44" t="s">
        <v>624</v>
      </c>
      <c r="F172" s="79">
        <v>0</v>
      </c>
      <c r="H172" s="63">
        <f t="shared" si="69"/>
        <v>0</v>
      </c>
      <c r="I172" s="63">
        <f t="shared" si="69"/>
        <v>0</v>
      </c>
      <c r="J172" s="63">
        <f t="shared" si="69"/>
        <v>0</v>
      </c>
      <c r="K172" s="63">
        <f t="shared" si="69"/>
        <v>0</v>
      </c>
      <c r="L172" s="63">
        <f t="shared" si="69"/>
        <v>0</v>
      </c>
      <c r="M172" s="63">
        <f t="shared" si="69"/>
        <v>0</v>
      </c>
      <c r="N172" s="63">
        <f t="shared" si="69"/>
        <v>0</v>
      </c>
      <c r="O172" s="63">
        <f t="shared" si="69"/>
        <v>0</v>
      </c>
      <c r="P172" s="63">
        <f t="shared" si="69"/>
        <v>0</v>
      </c>
      <c r="Q172" s="63">
        <f t="shared" si="69"/>
        <v>0</v>
      </c>
      <c r="R172" s="63">
        <f t="shared" si="70"/>
        <v>0</v>
      </c>
      <c r="S172" s="63">
        <f t="shared" si="70"/>
        <v>0</v>
      </c>
      <c r="T172" s="63">
        <f t="shared" si="70"/>
        <v>0</v>
      </c>
      <c r="U172" s="63">
        <f t="shared" si="70"/>
        <v>0</v>
      </c>
      <c r="V172" s="63">
        <f t="shared" si="70"/>
        <v>0</v>
      </c>
      <c r="W172" s="63">
        <f t="shared" si="70"/>
        <v>0</v>
      </c>
      <c r="X172" s="63">
        <f t="shared" si="70"/>
        <v>0</v>
      </c>
      <c r="Y172" s="63">
        <f t="shared" si="70"/>
        <v>0</v>
      </c>
      <c r="Z172" s="63">
        <f t="shared" si="70"/>
        <v>0</v>
      </c>
      <c r="AA172" s="63">
        <f t="shared" si="70"/>
        <v>0</v>
      </c>
      <c r="AB172" s="63">
        <f t="shared" si="70"/>
        <v>0</v>
      </c>
      <c r="AC172" s="63">
        <f t="shared" si="70"/>
        <v>0</v>
      </c>
      <c r="AD172" s="63">
        <f t="shared" si="70"/>
        <v>0</v>
      </c>
      <c r="AE172" s="63">
        <f t="shared" si="70"/>
        <v>0</v>
      </c>
      <c r="AF172" s="63">
        <f t="shared" si="71"/>
        <v>0</v>
      </c>
      <c r="AG172" s="58" t="str">
        <f t="shared" si="72"/>
        <v>ok</v>
      </c>
    </row>
    <row r="173" spans="1:33">
      <c r="A173" s="275">
        <v>538</v>
      </c>
      <c r="B173" s="44" t="s">
        <v>205</v>
      </c>
      <c r="C173" s="44" t="s">
        <v>322</v>
      </c>
      <c r="D173" s="44" t="s">
        <v>624</v>
      </c>
      <c r="F173" s="79">
        <v>324155</v>
      </c>
      <c r="H173" s="63">
        <f t="shared" si="69"/>
        <v>324155</v>
      </c>
      <c r="I173" s="63">
        <f t="shared" si="69"/>
        <v>0</v>
      </c>
      <c r="J173" s="63">
        <f t="shared" si="69"/>
        <v>0</v>
      </c>
      <c r="K173" s="63">
        <f t="shared" si="69"/>
        <v>0</v>
      </c>
      <c r="L173" s="63">
        <f t="shared" si="69"/>
        <v>0</v>
      </c>
      <c r="M173" s="63">
        <f t="shared" si="69"/>
        <v>0</v>
      </c>
      <c r="N173" s="63">
        <f t="shared" si="69"/>
        <v>0</v>
      </c>
      <c r="O173" s="63">
        <f t="shared" si="69"/>
        <v>0</v>
      </c>
      <c r="P173" s="63">
        <f t="shared" si="69"/>
        <v>0</v>
      </c>
      <c r="Q173" s="63">
        <f t="shared" si="69"/>
        <v>0</v>
      </c>
      <c r="R173" s="63">
        <f t="shared" si="70"/>
        <v>0</v>
      </c>
      <c r="S173" s="63">
        <f t="shared" si="70"/>
        <v>0</v>
      </c>
      <c r="T173" s="63">
        <f t="shared" si="70"/>
        <v>0</v>
      </c>
      <c r="U173" s="63">
        <f t="shared" si="70"/>
        <v>0</v>
      </c>
      <c r="V173" s="63">
        <f t="shared" si="70"/>
        <v>0</v>
      </c>
      <c r="W173" s="63">
        <f t="shared" si="70"/>
        <v>0</v>
      </c>
      <c r="X173" s="63">
        <f t="shared" si="70"/>
        <v>0</v>
      </c>
      <c r="Y173" s="63">
        <f t="shared" si="70"/>
        <v>0</v>
      </c>
      <c r="Z173" s="63">
        <f t="shared" si="70"/>
        <v>0</v>
      </c>
      <c r="AA173" s="63">
        <f t="shared" si="70"/>
        <v>0</v>
      </c>
      <c r="AB173" s="63">
        <f t="shared" si="70"/>
        <v>0</v>
      </c>
      <c r="AC173" s="63">
        <f t="shared" si="70"/>
        <v>0</v>
      </c>
      <c r="AD173" s="63">
        <f t="shared" si="70"/>
        <v>0</v>
      </c>
      <c r="AE173" s="63">
        <f t="shared" si="70"/>
        <v>0</v>
      </c>
      <c r="AF173" s="63">
        <f t="shared" si="71"/>
        <v>324155</v>
      </c>
      <c r="AG173" s="58" t="str">
        <f t="shared" si="72"/>
        <v>ok</v>
      </c>
    </row>
    <row r="174" spans="1:33">
      <c r="A174" s="60">
        <v>539</v>
      </c>
      <c r="B174" s="44" t="s">
        <v>317</v>
      </c>
      <c r="C174" s="44" t="s">
        <v>323</v>
      </c>
      <c r="D174" s="44" t="s">
        <v>624</v>
      </c>
      <c r="F174" s="79">
        <v>213613</v>
      </c>
      <c r="H174" s="63">
        <f t="shared" si="69"/>
        <v>213613</v>
      </c>
      <c r="I174" s="63">
        <f t="shared" si="69"/>
        <v>0</v>
      </c>
      <c r="J174" s="63">
        <f t="shared" si="69"/>
        <v>0</v>
      </c>
      <c r="K174" s="63">
        <f t="shared" si="69"/>
        <v>0</v>
      </c>
      <c r="L174" s="63">
        <f t="shared" si="69"/>
        <v>0</v>
      </c>
      <c r="M174" s="63">
        <f t="shared" si="69"/>
        <v>0</v>
      </c>
      <c r="N174" s="63">
        <f t="shared" si="69"/>
        <v>0</v>
      </c>
      <c r="O174" s="63">
        <f t="shared" si="69"/>
        <v>0</v>
      </c>
      <c r="P174" s="63">
        <f t="shared" si="69"/>
        <v>0</v>
      </c>
      <c r="Q174" s="63">
        <f t="shared" si="69"/>
        <v>0</v>
      </c>
      <c r="R174" s="63">
        <f t="shared" si="70"/>
        <v>0</v>
      </c>
      <c r="S174" s="63">
        <f t="shared" si="70"/>
        <v>0</v>
      </c>
      <c r="T174" s="63">
        <f t="shared" si="70"/>
        <v>0</v>
      </c>
      <c r="U174" s="63">
        <f t="shared" si="70"/>
        <v>0</v>
      </c>
      <c r="V174" s="63">
        <f t="shared" si="70"/>
        <v>0</v>
      </c>
      <c r="W174" s="63">
        <f t="shared" si="70"/>
        <v>0</v>
      </c>
      <c r="X174" s="63">
        <f t="shared" si="70"/>
        <v>0</v>
      </c>
      <c r="Y174" s="63">
        <f t="shared" si="70"/>
        <v>0</v>
      </c>
      <c r="Z174" s="63">
        <f t="shared" si="70"/>
        <v>0</v>
      </c>
      <c r="AA174" s="63">
        <f t="shared" si="70"/>
        <v>0</v>
      </c>
      <c r="AB174" s="63">
        <f t="shared" si="70"/>
        <v>0</v>
      </c>
      <c r="AC174" s="63">
        <f t="shared" si="70"/>
        <v>0</v>
      </c>
      <c r="AD174" s="63">
        <f t="shared" si="70"/>
        <v>0</v>
      </c>
      <c r="AE174" s="63">
        <f t="shared" si="70"/>
        <v>0</v>
      </c>
      <c r="AF174" s="63">
        <f t="shared" si="71"/>
        <v>213613</v>
      </c>
      <c r="AG174" s="58" t="str">
        <f t="shared" si="72"/>
        <v>ok</v>
      </c>
    </row>
    <row r="175" spans="1:33">
      <c r="A175" s="275">
        <v>540</v>
      </c>
      <c r="B175" s="44" t="s">
        <v>928</v>
      </c>
      <c r="D175" s="44" t="s">
        <v>624</v>
      </c>
      <c r="F175" s="79">
        <v>568902</v>
      </c>
      <c r="H175" s="63">
        <f t="shared" si="69"/>
        <v>568902</v>
      </c>
      <c r="I175" s="63">
        <f t="shared" si="69"/>
        <v>0</v>
      </c>
      <c r="J175" s="63">
        <f t="shared" si="69"/>
        <v>0</v>
      </c>
      <c r="K175" s="63">
        <f t="shared" si="69"/>
        <v>0</v>
      </c>
      <c r="L175" s="63">
        <f t="shared" si="69"/>
        <v>0</v>
      </c>
      <c r="M175" s="63">
        <f t="shared" si="69"/>
        <v>0</v>
      </c>
      <c r="N175" s="63">
        <f t="shared" si="69"/>
        <v>0</v>
      </c>
      <c r="O175" s="63">
        <f t="shared" si="69"/>
        <v>0</v>
      </c>
      <c r="P175" s="63">
        <f t="shared" si="69"/>
        <v>0</v>
      </c>
      <c r="Q175" s="63">
        <f t="shared" si="69"/>
        <v>0</v>
      </c>
      <c r="R175" s="63">
        <f t="shared" si="70"/>
        <v>0</v>
      </c>
      <c r="S175" s="63">
        <f t="shared" si="70"/>
        <v>0</v>
      </c>
      <c r="T175" s="63">
        <f t="shared" si="70"/>
        <v>0</v>
      </c>
      <c r="U175" s="63">
        <f t="shared" si="70"/>
        <v>0</v>
      </c>
      <c r="V175" s="63">
        <f t="shared" si="70"/>
        <v>0</v>
      </c>
      <c r="W175" s="63">
        <f t="shared" si="70"/>
        <v>0</v>
      </c>
      <c r="X175" s="63">
        <f t="shared" si="70"/>
        <v>0</v>
      </c>
      <c r="Y175" s="63">
        <f t="shared" si="70"/>
        <v>0</v>
      </c>
      <c r="Z175" s="63">
        <f t="shared" si="70"/>
        <v>0</v>
      </c>
      <c r="AA175" s="63">
        <f t="shared" si="70"/>
        <v>0</v>
      </c>
      <c r="AB175" s="63">
        <f t="shared" si="70"/>
        <v>0</v>
      </c>
      <c r="AC175" s="63">
        <f t="shared" si="70"/>
        <v>0</v>
      </c>
      <c r="AD175" s="63">
        <f t="shared" si="70"/>
        <v>0</v>
      </c>
      <c r="AE175" s="63">
        <f t="shared" si="70"/>
        <v>0</v>
      </c>
      <c r="AF175" s="63">
        <f t="shared" si="71"/>
        <v>568902</v>
      </c>
      <c r="AG175" s="58" t="str">
        <f t="shared" si="72"/>
        <v>ok</v>
      </c>
    </row>
    <row r="176" spans="1:33">
      <c r="A176" s="60"/>
      <c r="F176" s="79"/>
      <c r="W176" s="44"/>
      <c r="AF176" s="63"/>
      <c r="AG176" s="58"/>
    </row>
    <row r="177" spans="1:33">
      <c r="A177" s="60"/>
      <c r="B177" s="44" t="s">
        <v>312</v>
      </c>
      <c r="F177" s="76">
        <f>SUM(F170:F176)</f>
        <v>1266660</v>
      </c>
      <c r="H177" s="62">
        <f t="shared" ref="H177:M177" si="73">SUM(H170:H176)</f>
        <v>1266660</v>
      </c>
      <c r="I177" s="62">
        <f t="shared" si="73"/>
        <v>0</v>
      </c>
      <c r="J177" s="62">
        <f t="shared" si="73"/>
        <v>0</v>
      </c>
      <c r="K177" s="62">
        <f t="shared" si="73"/>
        <v>0</v>
      </c>
      <c r="L177" s="62">
        <f t="shared" si="73"/>
        <v>0</v>
      </c>
      <c r="M177" s="62">
        <f t="shared" si="73"/>
        <v>0</v>
      </c>
      <c r="N177" s="62">
        <f>SUM(N170:N176)</f>
        <v>0</v>
      </c>
      <c r="O177" s="62">
        <f>SUM(O170:O176)</f>
        <v>0</v>
      </c>
      <c r="P177" s="62">
        <f>SUM(P170:P176)</f>
        <v>0</v>
      </c>
      <c r="Q177" s="62">
        <f t="shared" ref="Q177:AB177" si="74">SUM(Q170:Q176)</f>
        <v>0</v>
      </c>
      <c r="R177" s="62">
        <f t="shared" si="74"/>
        <v>0</v>
      </c>
      <c r="S177" s="62">
        <f t="shared" si="74"/>
        <v>0</v>
      </c>
      <c r="T177" s="62">
        <f t="shared" si="74"/>
        <v>0</v>
      </c>
      <c r="U177" s="62">
        <f t="shared" si="74"/>
        <v>0</v>
      </c>
      <c r="V177" s="62">
        <f t="shared" si="74"/>
        <v>0</v>
      </c>
      <c r="W177" s="62">
        <f t="shared" si="74"/>
        <v>0</v>
      </c>
      <c r="X177" s="62">
        <f t="shared" si="74"/>
        <v>0</v>
      </c>
      <c r="Y177" s="62">
        <f t="shared" si="74"/>
        <v>0</v>
      </c>
      <c r="Z177" s="62">
        <f t="shared" si="74"/>
        <v>0</v>
      </c>
      <c r="AA177" s="62">
        <f t="shared" si="74"/>
        <v>0</v>
      </c>
      <c r="AB177" s="62">
        <f t="shared" si="74"/>
        <v>0</v>
      </c>
      <c r="AC177" s="62">
        <f>SUM(AC170:AC176)</f>
        <v>0</v>
      </c>
      <c r="AD177" s="62">
        <f>SUM(AD170:AD176)</f>
        <v>0</v>
      </c>
      <c r="AE177" s="62">
        <f>SUM(AE170:AE176)</f>
        <v>0</v>
      </c>
      <c r="AF177" s="63">
        <f>SUM(H177:AE177)</f>
        <v>1266660</v>
      </c>
      <c r="AG177" s="58" t="str">
        <f>IF(ABS(AF177-F177)&lt;1,"ok","err")</f>
        <v>ok</v>
      </c>
    </row>
    <row r="178" spans="1:33">
      <c r="A178" s="60"/>
      <c r="F178" s="76"/>
      <c r="W178" s="44"/>
      <c r="AG178" s="58"/>
    </row>
    <row r="179" spans="1:33" ht="14.1">
      <c r="A179" s="65" t="s">
        <v>310</v>
      </c>
      <c r="F179" s="76"/>
      <c r="W179" s="44"/>
      <c r="AG179" s="58"/>
    </row>
    <row r="180" spans="1:33">
      <c r="A180" s="70">
        <v>541</v>
      </c>
      <c r="B180" s="44" t="s">
        <v>214</v>
      </c>
      <c r="C180" s="44" t="s">
        <v>324</v>
      </c>
      <c r="D180" s="44" t="s">
        <v>631</v>
      </c>
      <c r="F180" s="76">
        <v>0</v>
      </c>
      <c r="H180" s="63">
        <f t="shared" ref="H180:Q184" si="75">IF(VLOOKUP($D180,$C$6:$AE$653,H$2,)=0,0,((VLOOKUP($D180,$C$6:$AE$653,H$2,)/VLOOKUP($D180,$C$6:$AE$653,4,))*$F180))</f>
        <v>0</v>
      </c>
      <c r="I180" s="63">
        <f t="shared" si="75"/>
        <v>0</v>
      </c>
      <c r="J180" s="63">
        <f t="shared" si="75"/>
        <v>0</v>
      </c>
      <c r="K180" s="63">
        <f t="shared" si="75"/>
        <v>0</v>
      </c>
      <c r="L180" s="63">
        <f t="shared" si="75"/>
        <v>0</v>
      </c>
      <c r="M180" s="63">
        <f t="shared" si="75"/>
        <v>0</v>
      </c>
      <c r="N180" s="63">
        <f t="shared" si="75"/>
        <v>0</v>
      </c>
      <c r="O180" s="63">
        <f t="shared" si="75"/>
        <v>0</v>
      </c>
      <c r="P180" s="63">
        <f t="shared" si="75"/>
        <v>0</v>
      </c>
      <c r="Q180" s="63">
        <f t="shared" si="75"/>
        <v>0</v>
      </c>
      <c r="R180" s="63">
        <f t="shared" ref="R180:AE184" si="76">IF(VLOOKUP($D180,$C$6:$AE$653,R$2,)=0,0,((VLOOKUP($D180,$C$6:$AE$653,R$2,)/VLOOKUP($D180,$C$6:$AE$653,4,))*$F180))</f>
        <v>0</v>
      </c>
      <c r="S180" s="63">
        <f t="shared" si="76"/>
        <v>0</v>
      </c>
      <c r="T180" s="63">
        <f t="shared" si="76"/>
        <v>0</v>
      </c>
      <c r="U180" s="63">
        <f t="shared" si="76"/>
        <v>0</v>
      </c>
      <c r="V180" s="63">
        <f t="shared" si="76"/>
        <v>0</v>
      </c>
      <c r="W180" s="63">
        <f t="shared" si="76"/>
        <v>0</v>
      </c>
      <c r="X180" s="63">
        <f t="shared" si="76"/>
        <v>0</v>
      </c>
      <c r="Y180" s="63">
        <f t="shared" si="76"/>
        <v>0</v>
      </c>
      <c r="Z180" s="63">
        <f t="shared" si="76"/>
        <v>0</v>
      </c>
      <c r="AA180" s="63">
        <f t="shared" si="76"/>
        <v>0</v>
      </c>
      <c r="AB180" s="63">
        <f t="shared" si="76"/>
        <v>0</v>
      </c>
      <c r="AC180" s="63">
        <f t="shared" si="76"/>
        <v>0</v>
      </c>
      <c r="AD180" s="63">
        <f t="shared" si="76"/>
        <v>0</v>
      </c>
      <c r="AE180" s="63">
        <f t="shared" si="76"/>
        <v>0</v>
      </c>
      <c r="AF180" s="63">
        <f>SUM(H180:AE180)</f>
        <v>0</v>
      </c>
      <c r="AG180" s="58" t="str">
        <f>IF(ABS(AF180-F180)&lt;1,"ok","err")</f>
        <v>ok</v>
      </c>
    </row>
    <row r="181" spans="1:33">
      <c r="A181" s="70">
        <v>542</v>
      </c>
      <c r="B181" s="44" t="s">
        <v>213</v>
      </c>
      <c r="C181" s="44" t="s">
        <v>325</v>
      </c>
      <c r="D181" s="44" t="s">
        <v>624</v>
      </c>
      <c r="F181" s="79">
        <v>323993</v>
      </c>
      <c r="H181" s="63">
        <f t="shared" si="75"/>
        <v>323993</v>
      </c>
      <c r="I181" s="63">
        <f t="shared" si="75"/>
        <v>0</v>
      </c>
      <c r="J181" s="63">
        <f t="shared" si="75"/>
        <v>0</v>
      </c>
      <c r="K181" s="63">
        <f t="shared" si="75"/>
        <v>0</v>
      </c>
      <c r="L181" s="63">
        <f t="shared" si="75"/>
        <v>0</v>
      </c>
      <c r="M181" s="63">
        <f t="shared" si="75"/>
        <v>0</v>
      </c>
      <c r="N181" s="63">
        <f t="shared" si="75"/>
        <v>0</v>
      </c>
      <c r="O181" s="63">
        <f t="shared" si="75"/>
        <v>0</v>
      </c>
      <c r="P181" s="63">
        <f t="shared" si="75"/>
        <v>0</v>
      </c>
      <c r="Q181" s="63">
        <f t="shared" si="75"/>
        <v>0</v>
      </c>
      <c r="R181" s="63">
        <f t="shared" si="76"/>
        <v>0</v>
      </c>
      <c r="S181" s="63">
        <f t="shared" si="76"/>
        <v>0</v>
      </c>
      <c r="T181" s="63">
        <f t="shared" si="76"/>
        <v>0</v>
      </c>
      <c r="U181" s="63">
        <f t="shared" si="76"/>
        <v>0</v>
      </c>
      <c r="V181" s="63">
        <f t="shared" si="76"/>
        <v>0</v>
      </c>
      <c r="W181" s="63">
        <f t="shared" si="76"/>
        <v>0</v>
      </c>
      <c r="X181" s="63">
        <f t="shared" si="76"/>
        <v>0</v>
      </c>
      <c r="Y181" s="63">
        <f t="shared" si="76"/>
        <v>0</v>
      </c>
      <c r="Z181" s="63">
        <f t="shared" si="76"/>
        <v>0</v>
      </c>
      <c r="AA181" s="63">
        <f t="shared" si="76"/>
        <v>0</v>
      </c>
      <c r="AB181" s="63">
        <f t="shared" si="76"/>
        <v>0</v>
      </c>
      <c r="AC181" s="63">
        <f t="shared" si="76"/>
        <v>0</v>
      </c>
      <c r="AD181" s="63">
        <f t="shared" si="76"/>
        <v>0</v>
      </c>
      <c r="AE181" s="63">
        <f t="shared" si="76"/>
        <v>0</v>
      </c>
      <c r="AF181" s="63">
        <f>SUM(H181:AE181)</f>
        <v>323993</v>
      </c>
      <c r="AG181" s="58" t="str">
        <f>IF(ABS(AF181-F181)&lt;1,"ok","err")</f>
        <v>ok</v>
      </c>
    </row>
    <row r="182" spans="1:33">
      <c r="A182" s="70">
        <v>543</v>
      </c>
      <c r="B182" s="44" t="s">
        <v>311</v>
      </c>
      <c r="C182" s="44" t="s">
        <v>326</v>
      </c>
      <c r="D182" s="44" t="s">
        <v>624</v>
      </c>
      <c r="F182" s="79">
        <v>222489</v>
      </c>
      <c r="H182" s="63">
        <f t="shared" si="75"/>
        <v>222489</v>
      </c>
      <c r="I182" s="63">
        <f t="shared" si="75"/>
        <v>0</v>
      </c>
      <c r="J182" s="63">
        <f t="shared" si="75"/>
        <v>0</v>
      </c>
      <c r="K182" s="63">
        <f t="shared" si="75"/>
        <v>0</v>
      </c>
      <c r="L182" s="63">
        <f t="shared" si="75"/>
        <v>0</v>
      </c>
      <c r="M182" s="63">
        <f t="shared" si="75"/>
        <v>0</v>
      </c>
      <c r="N182" s="63">
        <f t="shared" si="75"/>
        <v>0</v>
      </c>
      <c r="O182" s="63">
        <f t="shared" si="75"/>
        <v>0</v>
      </c>
      <c r="P182" s="63">
        <f t="shared" si="75"/>
        <v>0</v>
      </c>
      <c r="Q182" s="63">
        <f t="shared" si="75"/>
        <v>0</v>
      </c>
      <c r="R182" s="63">
        <f t="shared" si="76"/>
        <v>0</v>
      </c>
      <c r="S182" s="63">
        <f t="shared" si="76"/>
        <v>0</v>
      </c>
      <c r="T182" s="63">
        <f t="shared" si="76"/>
        <v>0</v>
      </c>
      <c r="U182" s="63">
        <f t="shared" si="76"/>
        <v>0</v>
      </c>
      <c r="V182" s="63">
        <f t="shared" si="76"/>
        <v>0</v>
      </c>
      <c r="W182" s="63">
        <f t="shared" si="76"/>
        <v>0</v>
      </c>
      <c r="X182" s="63">
        <f t="shared" si="76"/>
        <v>0</v>
      </c>
      <c r="Y182" s="63">
        <f t="shared" si="76"/>
        <v>0</v>
      </c>
      <c r="Z182" s="63">
        <f t="shared" si="76"/>
        <v>0</v>
      </c>
      <c r="AA182" s="63">
        <f t="shared" si="76"/>
        <v>0</v>
      </c>
      <c r="AB182" s="63">
        <f t="shared" si="76"/>
        <v>0</v>
      </c>
      <c r="AC182" s="63">
        <f t="shared" si="76"/>
        <v>0</v>
      </c>
      <c r="AD182" s="63">
        <f t="shared" si="76"/>
        <v>0</v>
      </c>
      <c r="AE182" s="63">
        <f t="shared" si="76"/>
        <v>0</v>
      </c>
      <c r="AF182" s="63">
        <f>SUM(H182:AE182)</f>
        <v>222489</v>
      </c>
      <c r="AG182" s="58" t="str">
        <f>IF(ABS(AF182-F182)&lt;1,"ok","err")</f>
        <v>ok</v>
      </c>
    </row>
    <row r="183" spans="1:33">
      <c r="A183" s="60">
        <v>544</v>
      </c>
      <c r="B183" s="44" t="s">
        <v>217</v>
      </c>
      <c r="C183" s="44" t="s">
        <v>327</v>
      </c>
      <c r="D183" s="44" t="s">
        <v>854</v>
      </c>
      <c r="F183" s="79">
        <v>327894</v>
      </c>
      <c r="H183" s="63">
        <f t="shared" si="75"/>
        <v>0</v>
      </c>
      <c r="I183" s="63">
        <f t="shared" si="75"/>
        <v>0</v>
      </c>
      <c r="J183" s="63">
        <f t="shared" si="75"/>
        <v>0</v>
      </c>
      <c r="K183" s="63">
        <f t="shared" si="75"/>
        <v>327894</v>
      </c>
      <c r="L183" s="63">
        <f t="shared" si="75"/>
        <v>0</v>
      </c>
      <c r="M183" s="63">
        <f t="shared" si="75"/>
        <v>0</v>
      </c>
      <c r="N183" s="63">
        <f t="shared" si="75"/>
        <v>0</v>
      </c>
      <c r="O183" s="63">
        <f t="shared" si="75"/>
        <v>0</v>
      </c>
      <c r="P183" s="63">
        <f t="shared" si="75"/>
        <v>0</v>
      </c>
      <c r="Q183" s="63">
        <f t="shared" si="75"/>
        <v>0</v>
      </c>
      <c r="R183" s="63">
        <f t="shared" si="76"/>
        <v>0</v>
      </c>
      <c r="S183" s="63">
        <f t="shared" si="76"/>
        <v>0</v>
      </c>
      <c r="T183" s="63">
        <f t="shared" si="76"/>
        <v>0</v>
      </c>
      <c r="U183" s="63">
        <f t="shared" si="76"/>
        <v>0</v>
      </c>
      <c r="V183" s="63">
        <f t="shared" si="76"/>
        <v>0</v>
      </c>
      <c r="W183" s="63">
        <f t="shared" si="76"/>
        <v>0</v>
      </c>
      <c r="X183" s="63">
        <f t="shared" si="76"/>
        <v>0</v>
      </c>
      <c r="Y183" s="63">
        <f t="shared" si="76"/>
        <v>0</v>
      </c>
      <c r="Z183" s="63">
        <f t="shared" si="76"/>
        <v>0</v>
      </c>
      <c r="AA183" s="63">
        <f t="shared" si="76"/>
        <v>0</v>
      </c>
      <c r="AB183" s="63">
        <f t="shared" si="76"/>
        <v>0</v>
      </c>
      <c r="AC183" s="63">
        <f t="shared" si="76"/>
        <v>0</v>
      </c>
      <c r="AD183" s="63">
        <f t="shared" si="76"/>
        <v>0</v>
      </c>
      <c r="AE183" s="63">
        <f t="shared" si="76"/>
        <v>0</v>
      </c>
      <c r="AF183" s="63">
        <f>SUM(H183:AE183)</f>
        <v>327894</v>
      </c>
      <c r="AG183" s="58" t="str">
        <f>IF(ABS(AF183-F183)&lt;1,"ok","err")</f>
        <v>ok</v>
      </c>
    </row>
    <row r="184" spans="1:33">
      <c r="A184" s="60">
        <v>545</v>
      </c>
      <c r="B184" s="44" t="s">
        <v>318</v>
      </c>
      <c r="C184" s="44" t="s">
        <v>328</v>
      </c>
      <c r="D184" s="44" t="s">
        <v>854</v>
      </c>
      <c r="F184" s="79">
        <v>56196</v>
      </c>
      <c r="H184" s="63">
        <f t="shared" si="75"/>
        <v>0</v>
      </c>
      <c r="I184" s="63">
        <f t="shared" si="75"/>
        <v>0</v>
      </c>
      <c r="J184" s="63">
        <f t="shared" si="75"/>
        <v>0</v>
      </c>
      <c r="K184" s="63">
        <f t="shared" si="75"/>
        <v>56196</v>
      </c>
      <c r="L184" s="63">
        <f t="shared" si="75"/>
        <v>0</v>
      </c>
      <c r="M184" s="63">
        <f t="shared" si="75"/>
        <v>0</v>
      </c>
      <c r="N184" s="63">
        <f t="shared" si="75"/>
        <v>0</v>
      </c>
      <c r="O184" s="63">
        <f t="shared" si="75"/>
        <v>0</v>
      </c>
      <c r="P184" s="63">
        <f t="shared" si="75"/>
        <v>0</v>
      </c>
      <c r="Q184" s="63">
        <f t="shared" si="75"/>
        <v>0</v>
      </c>
      <c r="R184" s="63">
        <f t="shared" si="76"/>
        <v>0</v>
      </c>
      <c r="S184" s="63">
        <f t="shared" si="76"/>
        <v>0</v>
      </c>
      <c r="T184" s="63">
        <f t="shared" si="76"/>
        <v>0</v>
      </c>
      <c r="U184" s="63">
        <f t="shared" si="76"/>
        <v>0</v>
      </c>
      <c r="V184" s="63">
        <f t="shared" si="76"/>
        <v>0</v>
      </c>
      <c r="W184" s="63">
        <f t="shared" si="76"/>
        <v>0</v>
      </c>
      <c r="X184" s="63">
        <f t="shared" si="76"/>
        <v>0</v>
      </c>
      <c r="Y184" s="63">
        <f t="shared" si="76"/>
        <v>0</v>
      </c>
      <c r="Z184" s="63">
        <f t="shared" si="76"/>
        <v>0</v>
      </c>
      <c r="AA184" s="63">
        <f t="shared" si="76"/>
        <v>0</v>
      </c>
      <c r="AB184" s="63">
        <f t="shared" si="76"/>
        <v>0</v>
      </c>
      <c r="AC184" s="63">
        <f t="shared" si="76"/>
        <v>0</v>
      </c>
      <c r="AD184" s="63">
        <f t="shared" si="76"/>
        <v>0</v>
      </c>
      <c r="AE184" s="63">
        <f t="shared" si="76"/>
        <v>0</v>
      </c>
      <c r="AF184" s="63">
        <f>SUM(H184:AE184)</f>
        <v>56196</v>
      </c>
      <c r="AG184" s="58" t="str">
        <f>IF(ABS(AF184-F184)&lt;1,"ok","err")</f>
        <v>ok</v>
      </c>
    </row>
    <row r="185" spans="1:33">
      <c r="A185" s="60"/>
      <c r="F185" s="76"/>
      <c r="W185" s="44"/>
      <c r="AG185" s="58"/>
    </row>
    <row r="186" spans="1:33">
      <c r="A186" s="60"/>
      <c r="B186" s="44" t="s">
        <v>314</v>
      </c>
      <c r="F186" s="76">
        <f>SUM(F180:F185)</f>
        <v>930572</v>
      </c>
      <c r="H186" s="62">
        <f t="shared" ref="H186:M186" si="77">SUM(H180:H185)</f>
        <v>546482</v>
      </c>
      <c r="I186" s="62">
        <f t="shared" si="77"/>
        <v>0</v>
      </c>
      <c r="J186" s="62">
        <f t="shared" si="77"/>
        <v>0</v>
      </c>
      <c r="K186" s="62">
        <f t="shared" si="77"/>
        <v>384090</v>
      </c>
      <c r="L186" s="62">
        <f t="shared" si="77"/>
        <v>0</v>
      </c>
      <c r="M186" s="62">
        <f t="shared" si="77"/>
        <v>0</v>
      </c>
      <c r="N186" s="62">
        <f>SUM(N180:N185)</f>
        <v>0</v>
      </c>
      <c r="O186" s="62">
        <f>SUM(O180:O185)</f>
        <v>0</v>
      </c>
      <c r="P186" s="62">
        <f>SUM(P180:P185)</f>
        <v>0</v>
      </c>
      <c r="Q186" s="62">
        <f t="shared" ref="Q186:AB186" si="78">SUM(Q180:Q185)</f>
        <v>0</v>
      </c>
      <c r="R186" s="62">
        <f t="shared" si="78"/>
        <v>0</v>
      </c>
      <c r="S186" s="62">
        <f t="shared" si="78"/>
        <v>0</v>
      </c>
      <c r="T186" s="62">
        <f t="shared" si="78"/>
        <v>0</v>
      </c>
      <c r="U186" s="62">
        <f t="shared" si="78"/>
        <v>0</v>
      </c>
      <c r="V186" s="62">
        <f t="shared" si="78"/>
        <v>0</v>
      </c>
      <c r="W186" s="62">
        <f t="shared" si="78"/>
        <v>0</v>
      </c>
      <c r="X186" s="62">
        <f t="shared" si="78"/>
        <v>0</v>
      </c>
      <c r="Y186" s="62">
        <f t="shared" si="78"/>
        <v>0</v>
      </c>
      <c r="Z186" s="62">
        <f t="shared" si="78"/>
        <v>0</v>
      </c>
      <c r="AA186" s="62">
        <f t="shared" si="78"/>
        <v>0</v>
      </c>
      <c r="AB186" s="62">
        <f t="shared" si="78"/>
        <v>0</v>
      </c>
      <c r="AC186" s="62">
        <f>SUM(AC180:AC185)</f>
        <v>0</v>
      </c>
      <c r="AD186" s="62">
        <f>SUM(AD180:AD185)</f>
        <v>0</v>
      </c>
      <c r="AE186" s="62">
        <f>SUM(AE180:AE185)</f>
        <v>0</v>
      </c>
      <c r="AF186" s="63">
        <f>SUM(H186:AE186)</f>
        <v>930572</v>
      </c>
      <c r="AG186" s="58" t="str">
        <f>IF(ABS(AF186-F186)&lt;1,"ok","err")</f>
        <v>ok</v>
      </c>
    </row>
    <row r="187" spans="1:33">
      <c r="A187" s="60"/>
      <c r="F187" s="76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3"/>
      <c r="AG187" s="58"/>
    </row>
    <row r="188" spans="1:33">
      <c r="A188" s="60"/>
      <c r="B188" s="44" t="s">
        <v>313</v>
      </c>
      <c r="F188" s="173">
        <f>F177+F186</f>
        <v>2197232</v>
      </c>
      <c r="H188" s="62">
        <f t="shared" ref="H188:M188" si="79">H177+H186</f>
        <v>1813142</v>
      </c>
      <c r="I188" s="62">
        <f t="shared" si="79"/>
        <v>0</v>
      </c>
      <c r="J188" s="62">
        <f t="shared" si="79"/>
        <v>0</v>
      </c>
      <c r="K188" s="62">
        <f t="shared" si="79"/>
        <v>384090</v>
      </c>
      <c r="L188" s="62">
        <f t="shared" si="79"/>
        <v>0</v>
      </c>
      <c r="M188" s="62">
        <f t="shared" si="79"/>
        <v>0</v>
      </c>
      <c r="N188" s="62">
        <f>N177+N186</f>
        <v>0</v>
      </c>
      <c r="O188" s="62">
        <f>O177+O186</f>
        <v>0</v>
      </c>
      <c r="P188" s="62">
        <f>P177+P186</f>
        <v>0</v>
      </c>
      <c r="Q188" s="62">
        <f t="shared" ref="Q188:AB188" si="80">Q177+Q186</f>
        <v>0</v>
      </c>
      <c r="R188" s="62">
        <f t="shared" si="80"/>
        <v>0</v>
      </c>
      <c r="S188" s="62">
        <f t="shared" si="80"/>
        <v>0</v>
      </c>
      <c r="T188" s="62">
        <f t="shared" si="80"/>
        <v>0</v>
      </c>
      <c r="U188" s="62">
        <f t="shared" si="80"/>
        <v>0</v>
      </c>
      <c r="V188" s="62">
        <f t="shared" si="80"/>
        <v>0</v>
      </c>
      <c r="W188" s="62">
        <f t="shared" si="80"/>
        <v>0</v>
      </c>
      <c r="X188" s="62">
        <f t="shared" si="80"/>
        <v>0</v>
      </c>
      <c r="Y188" s="62">
        <f t="shared" si="80"/>
        <v>0</v>
      </c>
      <c r="Z188" s="62">
        <f t="shared" si="80"/>
        <v>0</v>
      </c>
      <c r="AA188" s="62">
        <f t="shared" si="80"/>
        <v>0</v>
      </c>
      <c r="AB188" s="62">
        <f t="shared" si="80"/>
        <v>0</v>
      </c>
      <c r="AC188" s="62">
        <f>AC177+AC186</f>
        <v>0</v>
      </c>
      <c r="AD188" s="62">
        <f>AD177+AD186</f>
        <v>0</v>
      </c>
      <c r="AE188" s="62">
        <f>AE177+AE186</f>
        <v>0</v>
      </c>
      <c r="AF188" s="63">
        <f>SUM(H188:AE188)</f>
        <v>2197232</v>
      </c>
      <c r="AG188" s="58" t="str">
        <f>IF(ABS(AF188-F188)&lt;1,"ok","err")</f>
        <v>ok</v>
      </c>
    </row>
    <row r="189" spans="1:33">
      <c r="A189" s="60"/>
      <c r="F189" s="76"/>
      <c r="W189" s="44"/>
      <c r="AG189" s="58"/>
    </row>
    <row r="190" spans="1:33" ht="14.1">
      <c r="A190" s="65" t="s">
        <v>224</v>
      </c>
      <c r="F190" s="76"/>
      <c r="W190" s="44"/>
      <c r="AG190" s="58"/>
    </row>
    <row r="191" spans="1:33">
      <c r="A191" s="60">
        <v>546</v>
      </c>
      <c r="B191" s="44" t="s">
        <v>199</v>
      </c>
      <c r="C191" s="44" t="s">
        <v>225</v>
      </c>
      <c r="D191" s="44" t="s">
        <v>632</v>
      </c>
      <c r="F191" s="76">
        <v>187484</v>
      </c>
      <c r="H191" s="63">
        <f t="shared" ref="H191:Q195" si="81">IF(VLOOKUP($D191,$C$6:$AE$653,H$2,)=0,0,((VLOOKUP($D191,$C$6:$AE$653,H$2,)/VLOOKUP($D191,$C$6:$AE$653,4,))*$F191))</f>
        <v>187484</v>
      </c>
      <c r="I191" s="63">
        <f t="shared" si="81"/>
        <v>0</v>
      </c>
      <c r="J191" s="63">
        <f t="shared" si="81"/>
        <v>0</v>
      </c>
      <c r="K191" s="63">
        <f t="shared" si="81"/>
        <v>0</v>
      </c>
      <c r="L191" s="63">
        <f t="shared" si="81"/>
        <v>0</v>
      </c>
      <c r="M191" s="63">
        <f t="shared" si="81"/>
        <v>0</v>
      </c>
      <c r="N191" s="63">
        <f t="shared" si="81"/>
        <v>0</v>
      </c>
      <c r="O191" s="63">
        <f t="shared" si="81"/>
        <v>0</v>
      </c>
      <c r="P191" s="63">
        <f t="shared" si="81"/>
        <v>0</v>
      </c>
      <c r="Q191" s="63">
        <f t="shared" si="81"/>
        <v>0</v>
      </c>
      <c r="R191" s="63">
        <f t="shared" ref="R191:AE195" si="82">IF(VLOOKUP($D191,$C$6:$AE$653,R$2,)=0,0,((VLOOKUP($D191,$C$6:$AE$653,R$2,)/VLOOKUP($D191,$C$6:$AE$653,4,))*$F191))</f>
        <v>0</v>
      </c>
      <c r="S191" s="63">
        <f t="shared" si="82"/>
        <v>0</v>
      </c>
      <c r="T191" s="63">
        <f t="shared" si="82"/>
        <v>0</v>
      </c>
      <c r="U191" s="63">
        <f t="shared" si="82"/>
        <v>0</v>
      </c>
      <c r="V191" s="63">
        <f t="shared" si="82"/>
        <v>0</v>
      </c>
      <c r="W191" s="63">
        <f t="shared" si="82"/>
        <v>0</v>
      </c>
      <c r="X191" s="63">
        <f t="shared" si="82"/>
        <v>0</v>
      </c>
      <c r="Y191" s="63">
        <f t="shared" si="82"/>
        <v>0</v>
      </c>
      <c r="Z191" s="63">
        <f t="shared" si="82"/>
        <v>0</v>
      </c>
      <c r="AA191" s="63">
        <f t="shared" si="82"/>
        <v>0</v>
      </c>
      <c r="AB191" s="63">
        <f t="shared" si="82"/>
        <v>0</v>
      </c>
      <c r="AC191" s="63">
        <f t="shared" si="82"/>
        <v>0</v>
      </c>
      <c r="AD191" s="63">
        <f t="shared" si="82"/>
        <v>0</v>
      </c>
      <c r="AE191" s="63">
        <f t="shared" si="82"/>
        <v>0</v>
      </c>
      <c r="AF191" s="63">
        <f>SUM(H191:AE191)</f>
        <v>187484</v>
      </c>
      <c r="AG191" s="58" t="str">
        <f>IF(ABS(AF191-F191)&lt;1,"ok","err")</f>
        <v>ok</v>
      </c>
    </row>
    <row r="192" spans="1:33">
      <c r="A192" s="60">
        <v>547</v>
      </c>
      <c r="B192" s="44" t="s">
        <v>201</v>
      </c>
      <c r="C192" s="44" t="s">
        <v>226</v>
      </c>
      <c r="D192" s="44" t="s">
        <v>854</v>
      </c>
      <c r="F192" s="79">
        <v>43921446.457389697</v>
      </c>
      <c r="H192" s="63">
        <f t="shared" si="81"/>
        <v>0</v>
      </c>
      <c r="I192" s="63">
        <f t="shared" si="81"/>
        <v>0</v>
      </c>
      <c r="J192" s="63">
        <f t="shared" si="81"/>
        <v>0</v>
      </c>
      <c r="K192" s="63">
        <f t="shared" si="81"/>
        <v>43921446.457389697</v>
      </c>
      <c r="L192" s="63">
        <f t="shared" si="81"/>
        <v>0</v>
      </c>
      <c r="M192" s="63">
        <f t="shared" si="81"/>
        <v>0</v>
      </c>
      <c r="N192" s="63">
        <f t="shared" si="81"/>
        <v>0</v>
      </c>
      <c r="O192" s="63">
        <f t="shared" si="81"/>
        <v>0</v>
      </c>
      <c r="P192" s="63">
        <f t="shared" si="81"/>
        <v>0</v>
      </c>
      <c r="Q192" s="63">
        <f t="shared" si="81"/>
        <v>0</v>
      </c>
      <c r="R192" s="63">
        <f t="shared" si="82"/>
        <v>0</v>
      </c>
      <c r="S192" s="63">
        <f t="shared" si="82"/>
        <v>0</v>
      </c>
      <c r="T192" s="63">
        <f t="shared" si="82"/>
        <v>0</v>
      </c>
      <c r="U192" s="63">
        <f t="shared" si="82"/>
        <v>0</v>
      </c>
      <c r="V192" s="63">
        <f t="shared" si="82"/>
        <v>0</v>
      </c>
      <c r="W192" s="63">
        <f t="shared" si="82"/>
        <v>0</v>
      </c>
      <c r="X192" s="63">
        <f t="shared" si="82"/>
        <v>0</v>
      </c>
      <c r="Y192" s="63">
        <f t="shared" si="82"/>
        <v>0</v>
      </c>
      <c r="Z192" s="63">
        <f t="shared" si="82"/>
        <v>0</v>
      </c>
      <c r="AA192" s="63">
        <f t="shared" si="82"/>
        <v>0</v>
      </c>
      <c r="AB192" s="63">
        <f t="shared" si="82"/>
        <v>0</v>
      </c>
      <c r="AC192" s="63">
        <f t="shared" si="82"/>
        <v>0</v>
      </c>
      <c r="AD192" s="63">
        <f t="shared" si="82"/>
        <v>0</v>
      </c>
      <c r="AE192" s="63">
        <f t="shared" si="82"/>
        <v>0</v>
      </c>
      <c r="AF192" s="63">
        <f>SUM(H192:AE192)</f>
        <v>43921446.457389697</v>
      </c>
      <c r="AG192" s="58" t="str">
        <f>IF(ABS(AF192-F192)&lt;1,"ok","err")</f>
        <v>ok</v>
      </c>
    </row>
    <row r="193" spans="1:33">
      <c r="A193" s="60">
        <v>548</v>
      </c>
      <c r="B193" s="44" t="s">
        <v>227</v>
      </c>
      <c r="C193" s="44" t="s">
        <v>228</v>
      </c>
      <c r="D193" s="44" t="s">
        <v>624</v>
      </c>
      <c r="F193" s="79">
        <v>300829</v>
      </c>
      <c r="H193" s="63">
        <f t="shared" si="81"/>
        <v>300829</v>
      </c>
      <c r="I193" s="63">
        <f t="shared" si="81"/>
        <v>0</v>
      </c>
      <c r="J193" s="63">
        <f t="shared" si="81"/>
        <v>0</v>
      </c>
      <c r="K193" s="63">
        <f t="shared" si="81"/>
        <v>0</v>
      </c>
      <c r="L193" s="63">
        <f t="shared" si="81"/>
        <v>0</v>
      </c>
      <c r="M193" s="63">
        <f t="shared" si="81"/>
        <v>0</v>
      </c>
      <c r="N193" s="63">
        <f t="shared" si="81"/>
        <v>0</v>
      </c>
      <c r="O193" s="63">
        <f t="shared" si="81"/>
        <v>0</v>
      </c>
      <c r="P193" s="63">
        <f t="shared" si="81"/>
        <v>0</v>
      </c>
      <c r="Q193" s="63">
        <f t="shared" si="81"/>
        <v>0</v>
      </c>
      <c r="R193" s="63">
        <f t="shared" si="82"/>
        <v>0</v>
      </c>
      <c r="S193" s="63">
        <f t="shared" si="82"/>
        <v>0</v>
      </c>
      <c r="T193" s="63">
        <f t="shared" si="82"/>
        <v>0</v>
      </c>
      <c r="U193" s="63">
        <f t="shared" si="82"/>
        <v>0</v>
      </c>
      <c r="V193" s="63">
        <f t="shared" si="82"/>
        <v>0</v>
      </c>
      <c r="W193" s="63">
        <f t="shared" si="82"/>
        <v>0</v>
      </c>
      <c r="X193" s="63">
        <f t="shared" si="82"/>
        <v>0</v>
      </c>
      <c r="Y193" s="63">
        <f t="shared" si="82"/>
        <v>0</v>
      </c>
      <c r="Z193" s="63">
        <f t="shared" si="82"/>
        <v>0</v>
      </c>
      <c r="AA193" s="63">
        <f t="shared" si="82"/>
        <v>0</v>
      </c>
      <c r="AB193" s="63">
        <f t="shared" si="82"/>
        <v>0</v>
      </c>
      <c r="AC193" s="63">
        <f t="shared" si="82"/>
        <v>0</v>
      </c>
      <c r="AD193" s="63">
        <f t="shared" si="82"/>
        <v>0</v>
      </c>
      <c r="AE193" s="63">
        <f t="shared" si="82"/>
        <v>0</v>
      </c>
      <c r="AF193" s="63">
        <f>SUM(H193:AE193)</f>
        <v>300829</v>
      </c>
      <c r="AG193" s="58" t="str">
        <f>IF(ABS(AF193-F193)&lt;1,"ok","err")</f>
        <v>ok</v>
      </c>
    </row>
    <row r="194" spans="1:33">
      <c r="A194" s="60">
        <v>549</v>
      </c>
      <c r="B194" s="44" t="s">
        <v>229</v>
      </c>
      <c r="C194" s="44" t="s">
        <v>230</v>
      </c>
      <c r="D194" s="44" t="s">
        <v>624</v>
      </c>
      <c r="F194" s="79">
        <v>1742424</v>
      </c>
      <c r="H194" s="63">
        <f t="shared" si="81"/>
        <v>1742424</v>
      </c>
      <c r="I194" s="63">
        <f t="shared" si="81"/>
        <v>0</v>
      </c>
      <c r="J194" s="63">
        <f t="shared" si="81"/>
        <v>0</v>
      </c>
      <c r="K194" s="63">
        <f t="shared" si="81"/>
        <v>0</v>
      </c>
      <c r="L194" s="63">
        <f t="shared" si="81"/>
        <v>0</v>
      </c>
      <c r="M194" s="63">
        <f t="shared" si="81"/>
        <v>0</v>
      </c>
      <c r="N194" s="63">
        <f t="shared" si="81"/>
        <v>0</v>
      </c>
      <c r="O194" s="63">
        <f t="shared" si="81"/>
        <v>0</v>
      </c>
      <c r="P194" s="63">
        <f t="shared" si="81"/>
        <v>0</v>
      </c>
      <c r="Q194" s="63">
        <f t="shared" si="81"/>
        <v>0</v>
      </c>
      <c r="R194" s="63">
        <f t="shared" si="82"/>
        <v>0</v>
      </c>
      <c r="S194" s="63">
        <f t="shared" si="82"/>
        <v>0</v>
      </c>
      <c r="T194" s="63">
        <f t="shared" si="82"/>
        <v>0</v>
      </c>
      <c r="U194" s="63">
        <f t="shared" si="82"/>
        <v>0</v>
      </c>
      <c r="V194" s="63">
        <f t="shared" si="82"/>
        <v>0</v>
      </c>
      <c r="W194" s="63">
        <f t="shared" si="82"/>
        <v>0</v>
      </c>
      <c r="X194" s="63">
        <f t="shared" si="82"/>
        <v>0</v>
      </c>
      <c r="Y194" s="63">
        <f t="shared" si="82"/>
        <v>0</v>
      </c>
      <c r="Z194" s="63">
        <f t="shared" si="82"/>
        <v>0</v>
      </c>
      <c r="AA194" s="63">
        <f t="shared" si="82"/>
        <v>0</v>
      </c>
      <c r="AB194" s="63">
        <f t="shared" si="82"/>
        <v>0</v>
      </c>
      <c r="AC194" s="63">
        <f t="shared" si="82"/>
        <v>0</v>
      </c>
      <c r="AD194" s="63">
        <f t="shared" si="82"/>
        <v>0</v>
      </c>
      <c r="AE194" s="63">
        <f t="shared" si="82"/>
        <v>0</v>
      </c>
      <c r="AF194" s="63">
        <f>SUM(H194:AE194)</f>
        <v>1742424</v>
      </c>
      <c r="AG194" s="58" t="str">
        <f>IF(ABS(AF194-F194)&lt;1,"ok","err")</f>
        <v>ok</v>
      </c>
    </row>
    <row r="195" spans="1:33">
      <c r="A195" s="60">
        <v>550</v>
      </c>
      <c r="B195" s="44" t="s">
        <v>928</v>
      </c>
      <c r="C195" s="44" t="s">
        <v>231</v>
      </c>
      <c r="D195" s="44" t="s">
        <v>624</v>
      </c>
      <c r="F195" s="79">
        <v>11652</v>
      </c>
      <c r="H195" s="63">
        <f t="shared" si="81"/>
        <v>11652</v>
      </c>
      <c r="I195" s="63">
        <f t="shared" si="81"/>
        <v>0</v>
      </c>
      <c r="J195" s="63">
        <f t="shared" si="81"/>
        <v>0</v>
      </c>
      <c r="K195" s="63">
        <f t="shared" si="81"/>
        <v>0</v>
      </c>
      <c r="L195" s="63">
        <f t="shared" si="81"/>
        <v>0</v>
      </c>
      <c r="M195" s="63">
        <f t="shared" si="81"/>
        <v>0</v>
      </c>
      <c r="N195" s="63">
        <f t="shared" si="81"/>
        <v>0</v>
      </c>
      <c r="O195" s="63">
        <f t="shared" si="81"/>
        <v>0</v>
      </c>
      <c r="P195" s="63">
        <f t="shared" si="81"/>
        <v>0</v>
      </c>
      <c r="Q195" s="63">
        <f t="shared" si="81"/>
        <v>0</v>
      </c>
      <c r="R195" s="63">
        <f t="shared" si="82"/>
        <v>0</v>
      </c>
      <c r="S195" s="63">
        <f t="shared" si="82"/>
        <v>0</v>
      </c>
      <c r="T195" s="63">
        <f t="shared" si="82"/>
        <v>0</v>
      </c>
      <c r="U195" s="63">
        <f t="shared" si="82"/>
        <v>0</v>
      </c>
      <c r="V195" s="63">
        <f t="shared" si="82"/>
        <v>0</v>
      </c>
      <c r="W195" s="63">
        <f t="shared" si="82"/>
        <v>0</v>
      </c>
      <c r="X195" s="63">
        <f t="shared" si="82"/>
        <v>0</v>
      </c>
      <c r="Y195" s="63">
        <f t="shared" si="82"/>
        <v>0</v>
      </c>
      <c r="Z195" s="63">
        <f t="shared" si="82"/>
        <v>0</v>
      </c>
      <c r="AA195" s="63">
        <f t="shared" si="82"/>
        <v>0</v>
      </c>
      <c r="AB195" s="63">
        <f t="shared" si="82"/>
        <v>0</v>
      </c>
      <c r="AC195" s="63">
        <f t="shared" si="82"/>
        <v>0</v>
      </c>
      <c r="AD195" s="63">
        <f t="shared" si="82"/>
        <v>0</v>
      </c>
      <c r="AE195" s="63">
        <f t="shared" si="82"/>
        <v>0</v>
      </c>
      <c r="AF195" s="63">
        <f>SUM(H195:AE195)</f>
        <v>11652</v>
      </c>
      <c r="AG195" s="58" t="str">
        <f>IF(ABS(AF195-F195)&lt;1,"ok","err")</f>
        <v>ok</v>
      </c>
    </row>
    <row r="196" spans="1:33">
      <c r="A196" s="60"/>
      <c r="F196" s="76"/>
      <c r="W196" s="44"/>
      <c r="AF196" s="63"/>
      <c r="AG196" s="58"/>
    </row>
    <row r="197" spans="1:33">
      <c r="A197" s="60"/>
      <c r="B197" s="44" t="s">
        <v>232</v>
      </c>
      <c r="F197" s="76">
        <f>SUM(F191:F196)</f>
        <v>46163835.457389697</v>
      </c>
      <c r="H197" s="62">
        <f t="shared" ref="H197:M197" si="83">SUM(H191:H196)</f>
        <v>2242389</v>
      </c>
      <c r="I197" s="62">
        <f t="shared" si="83"/>
        <v>0</v>
      </c>
      <c r="J197" s="62">
        <f t="shared" si="83"/>
        <v>0</v>
      </c>
      <c r="K197" s="62">
        <f t="shared" si="83"/>
        <v>43921446.457389697</v>
      </c>
      <c r="L197" s="62">
        <f t="shared" si="83"/>
        <v>0</v>
      </c>
      <c r="M197" s="62">
        <f t="shared" si="83"/>
        <v>0</v>
      </c>
      <c r="N197" s="62">
        <f>SUM(N191:N196)</f>
        <v>0</v>
      </c>
      <c r="O197" s="62">
        <f>SUM(O191:O196)</f>
        <v>0</v>
      </c>
      <c r="P197" s="62">
        <f>SUM(P191:P196)</f>
        <v>0</v>
      </c>
      <c r="Q197" s="62">
        <f t="shared" ref="Q197:AB197" si="84">SUM(Q191:Q196)</f>
        <v>0</v>
      </c>
      <c r="R197" s="62">
        <f t="shared" si="84"/>
        <v>0</v>
      </c>
      <c r="S197" s="62">
        <f t="shared" si="84"/>
        <v>0</v>
      </c>
      <c r="T197" s="62">
        <f t="shared" si="84"/>
        <v>0</v>
      </c>
      <c r="U197" s="62">
        <f t="shared" si="84"/>
        <v>0</v>
      </c>
      <c r="V197" s="62">
        <f t="shared" si="84"/>
        <v>0</v>
      </c>
      <c r="W197" s="62">
        <f t="shared" si="84"/>
        <v>0</v>
      </c>
      <c r="X197" s="62">
        <f t="shared" si="84"/>
        <v>0</v>
      </c>
      <c r="Y197" s="62">
        <f t="shared" si="84"/>
        <v>0</v>
      </c>
      <c r="Z197" s="62">
        <f t="shared" si="84"/>
        <v>0</v>
      </c>
      <c r="AA197" s="62">
        <f t="shared" si="84"/>
        <v>0</v>
      </c>
      <c r="AB197" s="62">
        <f t="shared" si="84"/>
        <v>0</v>
      </c>
      <c r="AC197" s="62">
        <f>SUM(AC191:AC196)</f>
        <v>0</v>
      </c>
      <c r="AD197" s="62">
        <f>SUM(AD191:AD196)</f>
        <v>0</v>
      </c>
      <c r="AE197" s="62">
        <f>SUM(AE191:AE196)</f>
        <v>0</v>
      </c>
      <c r="AF197" s="63">
        <f>SUM(H197:AE197)</f>
        <v>46163835.457389697</v>
      </c>
      <c r="AG197" s="58" t="str">
        <f>IF(ABS(AF197-F197)&lt;1,"ok","err")</f>
        <v>ok</v>
      </c>
    </row>
    <row r="198" spans="1:33">
      <c r="A198" s="60"/>
      <c r="F198" s="76"/>
      <c r="W198" s="44"/>
      <c r="AG198" s="58"/>
    </row>
    <row r="199" spans="1:33" ht="14.1">
      <c r="A199" s="59" t="s">
        <v>948</v>
      </c>
      <c r="F199" s="76"/>
      <c r="W199" s="44"/>
      <c r="AG199" s="58"/>
    </row>
    <row r="200" spans="1:33">
      <c r="A200" s="60"/>
      <c r="F200" s="76"/>
      <c r="W200" s="44"/>
      <c r="AG200" s="58"/>
    </row>
    <row r="201" spans="1:33" ht="14.1">
      <c r="A201" s="65" t="s">
        <v>233</v>
      </c>
      <c r="F201" s="76"/>
      <c r="W201" s="44"/>
      <c r="AG201" s="58"/>
    </row>
    <row r="202" spans="1:33">
      <c r="A202" s="60">
        <v>551</v>
      </c>
      <c r="B202" s="44" t="s">
        <v>214</v>
      </c>
      <c r="C202" s="44" t="s">
        <v>234</v>
      </c>
      <c r="D202" s="44" t="s">
        <v>624</v>
      </c>
      <c r="F202" s="76">
        <v>272764</v>
      </c>
      <c r="H202" s="63">
        <f t="shared" ref="H202:Q205" si="85">IF(VLOOKUP($D202,$C$6:$AE$653,H$2,)=0,0,((VLOOKUP($D202,$C$6:$AE$653,H$2,)/VLOOKUP($D202,$C$6:$AE$653,4,))*$F202))</f>
        <v>272764</v>
      </c>
      <c r="I202" s="63">
        <f t="shared" si="85"/>
        <v>0</v>
      </c>
      <c r="J202" s="63">
        <f t="shared" si="85"/>
        <v>0</v>
      </c>
      <c r="K202" s="63">
        <f t="shared" si="85"/>
        <v>0</v>
      </c>
      <c r="L202" s="63">
        <f t="shared" si="85"/>
        <v>0</v>
      </c>
      <c r="M202" s="63">
        <f t="shared" si="85"/>
        <v>0</v>
      </c>
      <c r="N202" s="63">
        <f t="shared" si="85"/>
        <v>0</v>
      </c>
      <c r="O202" s="63">
        <f t="shared" si="85"/>
        <v>0</v>
      </c>
      <c r="P202" s="63">
        <f t="shared" si="85"/>
        <v>0</v>
      </c>
      <c r="Q202" s="63">
        <f t="shared" si="85"/>
        <v>0</v>
      </c>
      <c r="R202" s="63">
        <f t="shared" ref="R202:AE205" si="86">IF(VLOOKUP($D202,$C$6:$AE$653,R$2,)=0,0,((VLOOKUP($D202,$C$6:$AE$653,R$2,)/VLOOKUP($D202,$C$6:$AE$653,4,))*$F202))</f>
        <v>0</v>
      </c>
      <c r="S202" s="63">
        <f t="shared" si="86"/>
        <v>0</v>
      </c>
      <c r="T202" s="63">
        <f t="shared" si="86"/>
        <v>0</v>
      </c>
      <c r="U202" s="63">
        <f t="shared" si="86"/>
        <v>0</v>
      </c>
      <c r="V202" s="63">
        <f t="shared" si="86"/>
        <v>0</v>
      </c>
      <c r="W202" s="63">
        <f t="shared" si="86"/>
        <v>0</v>
      </c>
      <c r="X202" s="63">
        <f t="shared" si="86"/>
        <v>0</v>
      </c>
      <c r="Y202" s="63">
        <f t="shared" si="86"/>
        <v>0</v>
      </c>
      <c r="Z202" s="63">
        <f t="shared" si="86"/>
        <v>0</v>
      </c>
      <c r="AA202" s="63">
        <f t="shared" si="86"/>
        <v>0</v>
      </c>
      <c r="AB202" s="63">
        <f t="shared" si="86"/>
        <v>0</v>
      </c>
      <c r="AC202" s="63">
        <f t="shared" si="86"/>
        <v>0</v>
      </c>
      <c r="AD202" s="63">
        <f t="shared" si="86"/>
        <v>0</v>
      </c>
      <c r="AE202" s="63">
        <f t="shared" si="86"/>
        <v>0</v>
      </c>
      <c r="AF202" s="63">
        <f>SUM(H202:AE202)</f>
        <v>272764</v>
      </c>
      <c r="AG202" s="58" t="str">
        <f>IF(ABS(AF202-F202)&lt;1,"ok","err")</f>
        <v>ok</v>
      </c>
    </row>
    <row r="203" spans="1:33">
      <c r="A203" s="60">
        <v>552</v>
      </c>
      <c r="B203" s="44" t="s">
        <v>213</v>
      </c>
      <c r="C203" s="44" t="s">
        <v>235</v>
      </c>
      <c r="D203" s="44" t="s">
        <v>624</v>
      </c>
      <c r="F203" s="79">
        <v>235911</v>
      </c>
      <c r="H203" s="63">
        <f t="shared" si="85"/>
        <v>235911</v>
      </c>
      <c r="I203" s="63">
        <f t="shared" si="85"/>
        <v>0</v>
      </c>
      <c r="J203" s="63">
        <f t="shared" si="85"/>
        <v>0</v>
      </c>
      <c r="K203" s="63">
        <f t="shared" si="85"/>
        <v>0</v>
      </c>
      <c r="L203" s="63">
        <f t="shared" si="85"/>
        <v>0</v>
      </c>
      <c r="M203" s="63">
        <f t="shared" si="85"/>
        <v>0</v>
      </c>
      <c r="N203" s="63">
        <f t="shared" si="85"/>
        <v>0</v>
      </c>
      <c r="O203" s="63">
        <f t="shared" si="85"/>
        <v>0</v>
      </c>
      <c r="P203" s="63">
        <f t="shared" si="85"/>
        <v>0</v>
      </c>
      <c r="Q203" s="63">
        <f t="shared" si="85"/>
        <v>0</v>
      </c>
      <c r="R203" s="63">
        <f t="shared" si="86"/>
        <v>0</v>
      </c>
      <c r="S203" s="63">
        <f t="shared" si="86"/>
        <v>0</v>
      </c>
      <c r="T203" s="63">
        <f t="shared" si="86"/>
        <v>0</v>
      </c>
      <c r="U203" s="63">
        <f t="shared" si="86"/>
        <v>0</v>
      </c>
      <c r="V203" s="63">
        <f t="shared" si="86"/>
        <v>0</v>
      </c>
      <c r="W203" s="63">
        <f t="shared" si="86"/>
        <v>0</v>
      </c>
      <c r="X203" s="63">
        <f t="shared" si="86"/>
        <v>0</v>
      </c>
      <c r="Y203" s="63">
        <f t="shared" si="86"/>
        <v>0</v>
      </c>
      <c r="Z203" s="63">
        <f t="shared" si="86"/>
        <v>0</v>
      </c>
      <c r="AA203" s="63">
        <f t="shared" si="86"/>
        <v>0</v>
      </c>
      <c r="AB203" s="63">
        <f t="shared" si="86"/>
        <v>0</v>
      </c>
      <c r="AC203" s="63">
        <f t="shared" si="86"/>
        <v>0</v>
      </c>
      <c r="AD203" s="63">
        <f t="shared" si="86"/>
        <v>0</v>
      </c>
      <c r="AE203" s="63">
        <f t="shared" si="86"/>
        <v>0</v>
      </c>
      <c r="AF203" s="63">
        <f>SUM(H203:AE203)</f>
        <v>235911</v>
      </c>
      <c r="AG203" s="58" t="str">
        <f>IF(ABS(AF203-F203)&lt;1,"ok","err")</f>
        <v>ok</v>
      </c>
    </row>
    <row r="204" spans="1:33">
      <c r="A204" s="60">
        <v>553</v>
      </c>
      <c r="B204" s="44" t="s">
        <v>236</v>
      </c>
      <c r="C204" s="44" t="s">
        <v>237</v>
      </c>
      <c r="D204" s="44" t="s">
        <v>624</v>
      </c>
      <c r="F204" s="79">
        <v>3098761</v>
      </c>
      <c r="H204" s="63">
        <f t="shared" si="85"/>
        <v>3098761</v>
      </c>
      <c r="I204" s="63">
        <f t="shared" si="85"/>
        <v>0</v>
      </c>
      <c r="J204" s="63">
        <f t="shared" si="85"/>
        <v>0</v>
      </c>
      <c r="K204" s="63">
        <f t="shared" si="85"/>
        <v>0</v>
      </c>
      <c r="L204" s="63">
        <f t="shared" si="85"/>
        <v>0</v>
      </c>
      <c r="M204" s="63">
        <f t="shared" si="85"/>
        <v>0</v>
      </c>
      <c r="N204" s="63">
        <f t="shared" si="85"/>
        <v>0</v>
      </c>
      <c r="O204" s="63">
        <f t="shared" si="85"/>
        <v>0</v>
      </c>
      <c r="P204" s="63">
        <f t="shared" si="85"/>
        <v>0</v>
      </c>
      <c r="Q204" s="63">
        <f t="shared" si="85"/>
        <v>0</v>
      </c>
      <c r="R204" s="63">
        <f t="shared" si="86"/>
        <v>0</v>
      </c>
      <c r="S204" s="63">
        <f t="shared" si="86"/>
        <v>0</v>
      </c>
      <c r="T204" s="63">
        <f t="shared" si="86"/>
        <v>0</v>
      </c>
      <c r="U204" s="63">
        <f t="shared" si="86"/>
        <v>0</v>
      </c>
      <c r="V204" s="63">
        <f t="shared" si="86"/>
        <v>0</v>
      </c>
      <c r="W204" s="63">
        <f t="shared" si="86"/>
        <v>0</v>
      </c>
      <c r="X204" s="63">
        <f t="shared" si="86"/>
        <v>0</v>
      </c>
      <c r="Y204" s="63">
        <f t="shared" si="86"/>
        <v>0</v>
      </c>
      <c r="Z204" s="63">
        <f t="shared" si="86"/>
        <v>0</v>
      </c>
      <c r="AA204" s="63">
        <f t="shared" si="86"/>
        <v>0</v>
      </c>
      <c r="AB204" s="63">
        <f t="shared" si="86"/>
        <v>0</v>
      </c>
      <c r="AC204" s="63">
        <f t="shared" si="86"/>
        <v>0</v>
      </c>
      <c r="AD204" s="63">
        <f t="shared" si="86"/>
        <v>0</v>
      </c>
      <c r="AE204" s="63">
        <f t="shared" si="86"/>
        <v>0</v>
      </c>
      <c r="AF204" s="63">
        <f>SUM(H204:AE204)</f>
        <v>3098761</v>
      </c>
      <c r="AG204" s="58" t="str">
        <f>IF(ABS(AF204-F204)&lt;1,"ok","err")</f>
        <v>ok</v>
      </c>
    </row>
    <row r="205" spans="1:33">
      <c r="A205" s="60">
        <v>554</v>
      </c>
      <c r="B205" s="44" t="s">
        <v>238</v>
      </c>
      <c r="C205" s="44" t="s">
        <v>239</v>
      </c>
      <c r="D205" s="44" t="s">
        <v>624</v>
      </c>
      <c r="F205" s="79">
        <v>1896208.99999999</v>
      </c>
      <c r="H205" s="63">
        <f t="shared" si="85"/>
        <v>1896208.99999999</v>
      </c>
      <c r="I205" s="63">
        <f t="shared" si="85"/>
        <v>0</v>
      </c>
      <c r="J205" s="63">
        <f t="shared" si="85"/>
        <v>0</v>
      </c>
      <c r="K205" s="63">
        <f t="shared" si="85"/>
        <v>0</v>
      </c>
      <c r="L205" s="63">
        <f t="shared" si="85"/>
        <v>0</v>
      </c>
      <c r="M205" s="63">
        <f t="shared" si="85"/>
        <v>0</v>
      </c>
      <c r="N205" s="63">
        <f t="shared" si="85"/>
        <v>0</v>
      </c>
      <c r="O205" s="63">
        <f t="shared" si="85"/>
        <v>0</v>
      </c>
      <c r="P205" s="63">
        <f t="shared" si="85"/>
        <v>0</v>
      </c>
      <c r="Q205" s="63">
        <f t="shared" si="85"/>
        <v>0</v>
      </c>
      <c r="R205" s="63">
        <f t="shared" si="86"/>
        <v>0</v>
      </c>
      <c r="S205" s="63">
        <f t="shared" si="86"/>
        <v>0</v>
      </c>
      <c r="T205" s="63">
        <f t="shared" si="86"/>
        <v>0</v>
      </c>
      <c r="U205" s="63">
        <f t="shared" si="86"/>
        <v>0</v>
      </c>
      <c r="V205" s="63">
        <f t="shared" si="86"/>
        <v>0</v>
      </c>
      <c r="W205" s="63">
        <f t="shared" si="86"/>
        <v>0</v>
      </c>
      <c r="X205" s="63">
        <f t="shared" si="86"/>
        <v>0</v>
      </c>
      <c r="Y205" s="63">
        <f t="shared" si="86"/>
        <v>0</v>
      </c>
      <c r="Z205" s="63">
        <f t="shared" si="86"/>
        <v>0</v>
      </c>
      <c r="AA205" s="63">
        <f t="shared" si="86"/>
        <v>0</v>
      </c>
      <c r="AB205" s="63">
        <f t="shared" si="86"/>
        <v>0</v>
      </c>
      <c r="AC205" s="63">
        <f t="shared" si="86"/>
        <v>0</v>
      </c>
      <c r="AD205" s="63">
        <f t="shared" si="86"/>
        <v>0</v>
      </c>
      <c r="AE205" s="63">
        <f t="shared" si="86"/>
        <v>0</v>
      </c>
      <c r="AF205" s="63">
        <f>SUM(H205:AE205)</f>
        <v>1896208.99999999</v>
      </c>
      <c r="AG205" s="58" t="str">
        <f>IF(ABS(AF205-F205)&lt;1,"ok","err")</f>
        <v>ok</v>
      </c>
    </row>
    <row r="206" spans="1:33">
      <c r="A206" s="60"/>
      <c r="F206" s="76"/>
      <c r="W206" s="44"/>
      <c r="AG206" s="58"/>
    </row>
    <row r="207" spans="1:33">
      <c r="A207" s="60"/>
      <c r="B207" s="44" t="s">
        <v>241</v>
      </c>
      <c r="F207" s="76">
        <f>SUM(F202:F206)</f>
        <v>5503644.9999999898</v>
      </c>
      <c r="H207" s="62">
        <f t="shared" ref="H207:M207" si="87">SUM(H202:H206)</f>
        <v>5503644.9999999898</v>
      </c>
      <c r="I207" s="62">
        <f t="shared" si="87"/>
        <v>0</v>
      </c>
      <c r="J207" s="62">
        <f t="shared" si="87"/>
        <v>0</v>
      </c>
      <c r="K207" s="62">
        <f t="shared" si="87"/>
        <v>0</v>
      </c>
      <c r="L207" s="62">
        <f t="shared" si="87"/>
        <v>0</v>
      </c>
      <c r="M207" s="62">
        <f t="shared" si="87"/>
        <v>0</v>
      </c>
      <c r="N207" s="62">
        <f>SUM(N202:N206)</f>
        <v>0</v>
      </c>
      <c r="O207" s="62">
        <f>SUM(O202:O206)</f>
        <v>0</v>
      </c>
      <c r="P207" s="62">
        <f>SUM(P202:P206)</f>
        <v>0</v>
      </c>
      <c r="Q207" s="62">
        <f t="shared" ref="Q207:AB207" si="88">SUM(Q202:Q206)</f>
        <v>0</v>
      </c>
      <c r="R207" s="62">
        <f t="shared" si="88"/>
        <v>0</v>
      </c>
      <c r="S207" s="62">
        <f t="shared" si="88"/>
        <v>0</v>
      </c>
      <c r="T207" s="62">
        <f t="shared" si="88"/>
        <v>0</v>
      </c>
      <c r="U207" s="62">
        <f t="shared" si="88"/>
        <v>0</v>
      </c>
      <c r="V207" s="62">
        <f t="shared" si="88"/>
        <v>0</v>
      </c>
      <c r="W207" s="62">
        <f t="shared" si="88"/>
        <v>0</v>
      </c>
      <c r="X207" s="62">
        <f t="shared" si="88"/>
        <v>0</v>
      </c>
      <c r="Y207" s="62">
        <f t="shared" si="88"/>
        <v>0</v>
      </c>
      <c r="Z207" s="62">
        <f t="shared" si="88"/>
        <v>0</v>
      </c>
      <c r="AA207" s="62">
        <f t="shared" si="88"/>
        <v>0</v>
      </c>
      <c r="AB207" s="62">
        <f t="shared" si="88"/>
        <v>0</v>
      </c>
      <c r="AC207" s="62">
        <f>SUM(AC202:AC206)</f>
        <v>0</v>
      </c>
      <c r="AD207" s="62">
        <f>SUM(AD202:AD206)</f>
        <v>0</v>
      </c>
      <c r="AE207" s="62">
        <f>SUM(AE202:AE206)</f>
        <v>0</v>
      </c>
      <c r="AF207" s="63">
        <f>SUM(H207:AE207)</f>
        <v>5503644.9999999898</v>
      </c>
      <c r="AG207" s="58" t="str">
        <f>IF(ABS(AF207-F207)&lt;1,"ok","err")</f>
        <v>ok</v>
      </c>
    </row>
    <row r="208" spans="1:33">
      <c r="A208" s="60"/>
      <c r="F208" s="76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3"/>
      <c r="AG208" s="58"/>
    </row>
    <row r="209" spans="1:33">
      <c r="A209" s="60"/>
      <c r="B209" s="44" t="s">
        <v>240</v>
      </c>
      <c r="F209" s="173">
        <f>F197+F207</f>
        <v>51667480.45738969</v>
      </c>
      <c r="H209" s="62">
        <f t="shared" ref="H209:M209" si="89">H197+H207</f>
        <v>7746033.9999999898</v>
      </c>
      <c r="I209" s="62">
        <f t="shared" si="89"/>
        <v>0</v>
      </c>
      <c r="J209" s="62">
        <f t="shared" si="89"/>
        <v>0</v>
      </c>
      <c r="K209" s="62">
        <f t="shared" si="89"/>
        <v>43921446.457389697</v>
      </c>
      <c r="L209" s="62">
        <f t="shared" si="89"/>
        <v>0</v>
      </c>
      <c r="M209" s="62">
        <f t="shared" si="89"/>
        <v>0</v>
      </c>
      <c r="N209" s="62">
        <f>N197+N207</f>
        <v>0</v>
      </c>
      <c r="O209" s="62">
        <f>O197+O207</f>
        <v>0</v>
      </c>
      <c r="P209" s="62">
        <f>P197+P207</f>
        <v>0</v>
      </c>
      <c r="Q209" s="62">
        <f t="shared" ref="Q209:AB209" si="90">Q197+Q207</f>
        <v>0</v>
      </c>
      <c r="R209" s="62">
        <f t="shared" si="90"/>
        <v>0</v>
      </c>
      <c r="S209" s="62">
        <f t="shared" si="90"/>
        <v>0</v>
      </c>
      <c r="T209" s="62">
        <f t="shared" si="90"/>
        <v>0</v>
      </c>
      <c r="U209" s="62">
        <f t="shared" si="90"/>
        <v>0</v>
      </c>
      <c r="V209" s="62">
        <f t="shared" si="90"/>
        <v>0</v>
      </c>
      <c r="W209" s="62">
        <f t="shared" si="90"/>
        <v>0</v>
      </c>
      <c r="X209" s="62">
        <f t="shared" si="90"/>
        <v>0</v>
      </c>
      <c r="Y209" s="62">
        <f t="shared" si="90"/>
        <v>0</v>
      </c>
      <c r="Z209" s="62">
        <f t="shared" si="90"/>
        <v>0</v>
      </c>
      <c r="AA209" s="62">
        <f t="shared" si="90"/>
        <v>0</v>
      </c>
      <c r="AB209" s="62">
        <f t="shared" si="90"/>
        <v>0</v>
      </c>
      <c r="AC209" s="62">
        <f>AC197+AC207</f>
        <v>0</v>
      </c>
      <c r="AD209" s="62">
        <f>AD197+AD207</f>
        <v>0</v>
      </c>
      <c r="AE209" s="62">
        <f>AE197+AE207</f>
        <v>0</v>
      </c>
      <c r="AF209" s="63">
        <f>SUM(H209:AE209)</f>
        <v>51667480.45738969</v>
      </c>
      <c r="AG209" s="58" t="str">
        <f>IF(ABS(AF209-F209)&lt;1,"ok","err")</f>
        <v>ok</v>
      </c>
    </row>
    <row r="210" spans="1:33">
      <c r="A210" s="60"/>
      <c r="F210" s="76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3"/>
      <c r="AG210" s="58"/>
    </row>
    <row r="211" spans="1:33">
      <c r="A211" s="60"/>
      <c r="B211" s="44" t="s">
        <v>242</v>
      </c>
      <c r="F211" s="76">
        <f>F167+F188+F209</f>
        <v>412365287.52817774</v>
      </c>
      <c r="H211" s="62">
        <f t="shared" ref="H211:M211" si="91">H167+H188+H209</f>
        <v>55193697.065196134</v>
      </c>
      <c r="I211" s="62">
        <f t="shared" si="91"/>
        <v>0</v>
      </c>
      <c r="J211" s="62">
        <f t="shared" si="91"/>
        <v>0</v>
      </c>
      <c r="K211" s="62">
        <f t="shared" si="91"/>
        <v>357171590.46298152</v>
      </c>
      <c r="L211" s="62">
        <f t="shared" si="91"/>
        <v>0</v>
      </c>
      <c r="M211" s="62">
        <f t="shared" si="91"/>
        <v>0</v>
      </c>
      <c r="N211" s="62">
        <f>N167+N188+N209</f>
        <v>0</v>
      </c>
      <c r="O211" s="62">
        <f>O167+O188+O209</f>
        <v>0</v>
      </c>
      <c r="P211" s="62">
        <f>P167+P188+P209</f>
        <v>0</v>
      </c>
      <c r="Q211" s="62">
        <f t="shared" ref="Q211:AB211" si="92">Q167+Q188+Q209</f>
        <v>0</v>
      </c>
      <c r="R211" s="62">
        <f t="shared" si="92"/>
        <v>0</v>
      </c>
      <c r="S211" s="62">
        <f t="shared" si="92"/>
        <v>0</v>
      </c>
      <c r="T211" s="62">
        <f t="shared" si="92"/>
        <v>0</v>
      </c>
      <c r="U211" s="62">
        <f t="shared" si="92"/>
        <v>0</v>
      </c>
      <c r="V211" s="62">
        <f t="shared" si="92"/>
        <v>0</v>
      </c>
      <c r="W211" s="62">
        <f t="shared" si="92"/>
        <v>0</v>
      </c>
      <c r="X211" s="62">
        <f t="shared" si="92"/>
        <v>0</v>
      </c>
      <c r="Y211" s="62">
        <f t="shared" si="92"/>
        <v>0</v>
      </c>
      <c r="Z211" s="62">
        <f t="shared" si="92"/>
        <v>0</v>
      </c>
      <c r="AA211" s="62">
        <f t="shared" si="92"/>
        <v>0</v>
      </c>
      <c r="AB211" s="62">
        <f t="shared" si="92"/>
        <v>0</v>
      </c>
      <c r="AC211" s="62">
        <f>AC167+AC188+AC209</f>
        <v>0</v>
      </c>
      <c r="AD211" s="62">
        <f>AD167+AD188+AD209</f>
        <v>0</v>
      </c>
      <c r="AE211" s="62">
        <f>AE167+AE188+AE209</f>
        <v>0</v>
      </c>
      <c r="AF211" s="63">
        <f>SUM(H211:AE211)</f>
        <v>412365287.52817768</v>
      </c>
      <c r="AG211" s="58" t="str">
        <f>IF(ABS(AF211-F211)&lt;1,"ok","err")</f>
        <v>ok</v>
      </c>
    </row>
    <row r="212" spans="1:33">
      <c r="A212" s="60"/>
      <c r="W212" s="44"/>
      <c r="AG212" s="58"/>
    </row>
    <row r="213" spans="1:33" ht="14.1">
      <c r="A213" s="65" t="s">
        <v>243</v>
      </c>
      <c r="W213" s="44"/>
      <c r="AG213" s="58"/>
    </row>
    <row r="214" spans="1:33">
      <c r="A214" s="60">
        <v>555</v>
      </c>
      <c r="B214" s="44" t="s">
        <v>1075</v>
      </c>
      <c r="C214" s="44" t="s">
        <v>6</v>
      </c>
      <c r="D214" s="44" t="s">
        <v>910</v>
      </c>
      <c r="F214" s="76">
        <f>44518297.2428655-1241626</f>
        <v>43276671.242865503</v>
      </c>
      <c r="G214" s="62"/>
      <c r="H214" s="63">
        <f t="shared" ref="H214:Q220" si="93">IF(VLOOKUP($D214,$C$6:$AE$653,H$2,)=0,0,((VLOOKUP($D214,$C$6:$AE$653,H$2,)/VLOOKUP($D214,$C$6:$AE$653,4,))*$F214))</f>
        <v>23686710.739299577</v>
      </c>
      <c r="I214" s="63">
        <f t="shared" si="93"/>
        <v>0</v>
      </c>
      <c r="J214" s="63">
        <f t="shared" si="93"/>
        <v>0</v>
      </c>
      <c r="K214" s="63">
        <f t="shared" si="93"/>
        <v>19589960.50356593</v>
      </c>
      <c r="L214" s="63">
        <f t="shared" si="93"/>
        <v>0</v>
      </c>
      <c r="M214" s="63">
        <f t="shared" si="93"/>
        <v>0</v>
      </c>
      <c r="N214" s="63">
        <f t="shared" si="93"/>
        <v>0</v>
      </c>
      <c r="O214" s="63">
        <f t="shared" si="93"/>
        <v>0</v>
      </c>
      <c r="P214" s="63">
        <f t="shared" si="93"/>
        <v>0</v>
      </c>
      <c r="Q214" s="63">
        <f t="shared" si="93"/>
        <v>0</v>
      </c>
      <c r="R214" s="63">
        <f t="shared" ref="R214:AE220" si="94">IF(VLOOKUP($D214,$C$6:$AE$653,R$2,)=0,0,((VLOOKUP($D214,$C$6:$AE$653,R$2,)/VLOOKUP($D214,$C$6:$AE$653,4,))*$F214))</f>
        <v>0</v>
      </c>
      <c r="S214" s="63">
        <f t="shared" si="94"/>
        <v>0</v>
      </c>
      <c r="T214" s="63">
        <f t="shared" si="94"/>
        <v>0</v>
      </c>
      <c r="U214" s="63">
        <f t="shared" si="94"/>
        <v>0</v>
      </c>
      <c r="V214" s="63">
        <f t="shared" si="94"/>
        <v>0</v>
      </c>
      <c r="W214" s="63">
        <f t="shared" si="94"/>
        <v>0</v>
      </c>
      <c r="X214" s="63">
        <f t="shared" si="94"/>
        <v>0</v>
      </c>
      <c r="Y214" s="63">
        <f t="shared" si="94"/>
        <v>0</v>
      </c>
      <c r="Z214" s="63">
        <f t="shared" si="94"/>
        <v>0</v>
      </c>
      <c r="AA214" s="63">
        <f t="shared" si="94"/>
        <v>0</v>
      </c>
      <c r="AB214" s="63">
        <f t="shared" si="94"/>
        <v>0</v>
      </c>
      <c r="AC214" s="63">
        <f t="shared" si="94"/>
        <v>0</v>
      </c>
      <c r="AD214" s="63">
        <f t="shared" si="94"/>
        <v>0</v>
      </c>
      <c r="AE214" s="63">
        <f t="shared" si="94"/>
        <v>0</v>
      </c>
      <c r="AF214" s="63">
        <f t="shared" ref="AF214:AF220" si="95">SUM(H214:AE214)</f>
        <v>43276671.242865503</v>
      </c>
      <c r="AG214" s="58" t="str">
        <f t="shared" ref="AG214:AG220" si="96">IF(ABS(AF214-F214)&lt;1,"ok","err")</f>
        <v>ok</v>
      </c>
    </row>
    <row r="215" spans="1:33">
      <c r="A215" s="60">
        <v>555</v>
      </c>
      <c r="B215" s="44" t="s">
        <v>244</v>
      </c>
      <c r="C215" s="44" t="s">
        <v>245</v>
      </c>
      <c r="D215" s="44" t="s">
        <v>910</v>
      </c>
      <c r="F215" s="79">
        <v>0</v>
      </c>
      <c r="G215" s="62"/>
      <c r="H215" s="63">
        <f t="shared" si="93"/>
        <v>0</v>
      </c>
      <c r="I215" s="63">
        <f t="shared" si="93"/>
        <v>0</v>
      </c>
      <c r="J215" s="63">
        <f t="shared" si="93"/>
        <v>0</v>
      </c>
      <c r="K215" s="63">
        <f t="shared" si="93"/>
        <v>0</v>
      </c>
      <c r="L215" s="63">
        <f t="shared" si="93"/>
        <v>0</v>
      </c>
      <c r="M215" s="63">
        <f t="shared" si="93"/>
        <v>0</v>
      </c>
      <c r="N215" s="63">
        <f t="shared" si="93"/>
        <v>0</v>
      </c>
      <c r="O215" s="63">
        <f t="shared" si="93"/>
        <v>0</v>
      </c>
      <c r="P215" s="63">
        <f t="shared" si="93"/>
        <v>0</v>
      </c>
      <c r="Q215" s="63">
        <f t="shared" si="93"/>
        <v>0</v>
      </c>
      <c r="R215" s="63">
        <f t="shared" si="94"/>
        <v>0</v>
      </c>
      <c r="S215" s="63">
        <f t="shared" si="94"/>
        <v>0</v>
      </c>
      <c r="T215" s="63">
        <f t="shared" si="94"/>
        <v>0</v>
      </c>
      <c r="U215" s="63">
        <f t="shared" si="94"/>
        <v>0</v>
      </c>
      <c r="V215" s="63">
        <f t="shared" si="94"/>
        <v>0</v>
      </c>
      <c r="W215" s="63">
        <f t="shared" si="94"/>
        <v>0</v>
      </c>
      <c r="X215" s="63">
        <f t="shared" si="94"/>
        <v>0</v>
      </c>
      <c r="Y215" s="63">
        <f t="shared" si="94"/>
        <v>0</v>
      </c>
      <c r="Z215" s="63">
        <f t="shared" si="94"/>
        <v>0</v>
      </c>
      <c r="AA215" s="63">
        <f t="shared" si="94"/>
        <v>0</v>
      </c>
      <c r="AB215" s="63">
        <f t="shared" si="94"/>
        <v>0</v>
      </c>
      <c r="AC215" s="63">
        <f t="shared" si="94"/>
        <v>0</v>
      </c>
      <c r="AD215" s="63">
        <f t="shared" si="94"/>
        <v>0</v>
      </c>
      <c r="AE215" s="63">
        <f t="shared" si="94"/>
        <v>0</v>
      </c>
      <c r="AF215" s="63">
        <f t="shared" si="95"/>
        <v>0</v>
      </c>
      <c r="AG215" s="58" t="str">
        <f t="shared" si="96"/>
        <v>ok</v>
      </c>
    </row>
    <row r="216" spans="1:33">
      <c r="A216" s="60">
        <v>555</v>
      </c>
      <c r="B216" s="44" t="s">
        <v>246</v>
      </c>
      <c r="C216" s="44" t="s">
        <v>247</v>
      </c>
      <c r="D216" s="44" t="s">
        <v>910</v>
      </c>
      <c r="F216" s="79">
        <v>0</v>
      </c>
      <c r="G216" s="62"/>
      <c r="H216" s="63">
        <f t="shared" si="93"/>
        <v>0</v>
      </c>
      <c r="I216" s="63">
        <f t="shared" si="93"/>
        <v>0</v>
      </c>
      <c r="J216" s="63">
        <f t="shared" si="93"/>
        <v>0</v>
      </c>
      <c r="K216" s="63">
        <f t="shared" si="93"/>
        <v>0</v>
      </c>
      <c r="L216" s="63">
        <f t="shared" si="93"/>
        <v>0</v>
      </c>
      <c r="M216" s="63">
        <f t="shared" si="93"/>
        <v>0</v>
      </c>
      <c r="N216" s="63">
        <f t="shared" si="93"/>
        <v>0</v>
      </c>
      <c r="O216" s="63">
        <f t="shared" si="93"/>
        <v>0</v>
      </c>
      <c r="P216" s="63">
        <f t="shared" si="93"/>
        <v>0</v>
      </c>
      <c r="Q216" s="63">
        <f t="shared" si="93"/>
        <v>0</v>
      </c>
      <c r="R216" s="63">
        <f t="shared" si="94"/>
        <v>0</v>
      </c>
      <c r="S216" s="63">
        <f t="shared" si="94"/>
        <v>0</v>
      </c>
      <c r="T216" s="63">
        <f t="shared" si="94"/>
        <v>0</v>
      </c>
      <c r="U216" s="63">
        <f t="shared" si="94"/>
        <v>0</v>
      </c>
      <c r="V216" s="63">
        <f t="shared" si="94"/>
        <v>0</v>
      </c>
      <c r="W216" s="63">
        <f t="shared" si="94"/>
        <v>0</v>
      </c>
      <c r="X216" s="63">
        <f t="shared" si="94"/>
        <v>0</v>
      </c>
      <c r="Y216" s="63">
        <f t="shared" si="94"/>
        <v>0</v>
      </c>
      <c r="Z216" s="63">
        <f t="shared" si="94"/>
        <v>0</v>
      </c>
      <c r="AA216" s="63">
        <f t="shared" si="94"/>
        <v>0</v>
      </c>
      <c r="AB216" s="63">
        <f t="shared" si="94"/>
        <v>0</v>
      </c>
      <c r="AC216" s="63">
        <f t="shared" si="94"/>
        <v>0</v>
      </c>
      <c r="AD216" s="63">
        <f t="shared" si="94"/>
        <v>0</v>
      </c>
      <c r="AE216" s="63">
        <f t="shared" si="94"/>
        <v>0</v>
      </c>
      <c r="AF216" s="63">
        <f t="shared" si="95"/>
        <v>0</v>
      </c>
      <c r="AG216" s="58" t="str">
        <f t="shared" si="96"/>
        <v>ok</v>
      </c>
    </row>
    <row r="217" spans="1:33">
      <c r="A217" s="60">
        <v>555</v>
      </c>
      <c r="B217" s="44" t="s">
        <v>248</v>
      </c>
      <c r="C217" s="44" t="s">
        <v>249</v>
      </c>
      <c r="D217" s="44" t="s">
        <v>910</v>
      </c>
      <c r="F217" s="79">
        <v>0</v>
      </c>
      <c r="G217" s="62"/>
      <c r="H217" s="63">
        <f t="shared" si="93"/>
        <v>0</v>
      </c>
      <c r="I217" s="63">
        <f t="shared" si="93"/>
        <v>0</v>
      </c>
      <c r="J217" s="63">
        <f t="shared" si="93"/>
        <v>0</v>
      </c>
      <c r="K217" s="63">
        <f t="shared" si="93"/>
        <v>0</v>
      </c>
      <c r="L217" s="63">
        <f t="shared" si="93"/>
        <v>0</v>
      </c>
      <c r="M217" s="63">
        <f t="shared" si="93"/>
        <v>0</v>
      </c>
      <c r="N217" s="63">
        <f t="shared" si="93"/>
        <v>0</v>
      </c>
      <c r="O217" s="63">
        <f t="shared" si="93"/>
        <v>0</v>
      </c>
      <c r="P217" s="63">
        <f t="shared" si="93"/>
        <v>0</v>
      </c>
      <c r="Q217" s="63">
        <f t="shared" si="93"/>
        <v>0</v>
      </c>
      <c r="R217" s="63">
        <f t="shared" si="94"/>
        <v>0</v>
      </c>
      <c r="S217" s="63">
        <f t="shared" si="94"/>
        <v>0</v>
      </c>
      <c r="T217" s="63">
        <f t="shared" si="94"/>
        <v>0</v>
      </c>
      <c r="U217" s="63">
        <f t="shared" si="94"/>
        <v>0</v>
      </c>
      <c r="V217" s="63">
        <f t="shared" si="94"/>
        <v>0</v>
      </c>
      <c r="W217" s="63">
        <f t="shared" si="94"/>
        <v>0</v>
      </c>
      <c r="X217" s="63">
        <f t="shared" si="94"/>
        <v>0</v>
      </c>
      <c r="Y217" s="63">
        <f t="shared" si="94"/>
        <v>0</v>
      </c>
      <c r="Z217" s="63">
        <f t="shared" si="94"/>
        <v>0</v>
      </c>
      <c r="AA217" s="63">
        <f t="shared" si="94"/>
        <v>0</v>
      </c>
      <c r="AB217" s="63">
        <f t="shared" si="94"/>
        <v>0</v>
      </c>
      <c r="AC217" s="63">
        <f t="shared" si="94"/>
        <v>0</v>
      </c>
      <c r="AD217" s="63">
        <f t="shared" si="94"/>
        <v>0</v>
      </c>
      <c r="AE217" s="63">
        <f t="shared" si="94"/>
        <v>0</v>
      </c>
      <c r="AF217" s="63">
        <f t="shared" si="95"/>
        <v>0</v>
      </c>
      <c r="AG217" s="58" t="str">
        <f t="shared" si="96"/>
        <v>ok</v>
      </c>
    </row>
    <row r="218" spans="1:33">
      <c r="A218" s="60">
        <v>556</v>
      </c>
      <c r="B218" s="44" t="s">
        <v>250</v>
      </c>
      <c r="C218" s="44" t="s">
        <v>251</v>
      </c>
      <c r="D218" s="44" t="s">
        <v>624</v>
      </c>
      <c r="F218" s="79">
        <v>1775596.99999999</v>
      </c>
      <c r="G218" s="62"/>
      <c r="H218" s="63">
        <f t="shared" si="93"/>
        <v>1775596.99999999</v>
      </c>
      <c r="I218" s="63">
        <f t="shared" si="93"/>
        <v>0</v>
      </c>
      <c r="J218" s="63">
        <f t="shared" si="93"/>
        <v>0</v>
      </c>
      <c r="K218" s="63">
        <f t="shared" si="93"/>
        <v>0</v>
      </c>
      <c r="L218" s="63">
        <f t="shared" si="93"/>
        <v>0</v>
      </c>
      <c r="M218" s="63">
        <f t="shared" si="93"/>
        <v>0</v>
      </c>
      <c r="N218" s="63">
        <f t="shared" si="93"/>
        <v>0</v>
      </c>
      <c r="O218" s="63">
        <f t="shared" si="93"/>
        <v>0</v>
      </c>
      <c r="P218" s="63">
        <f t="shared" si="93"/>
        <v>0</v>
      </c>
      <c r="Q218" s="63">
        <f t="shared" si="93"/>
        <v>0</v>
      </c>
      <c r="R218" s="63">
        <f t="shared" si="94"/>
        <v>0</v>
      </c>
      <c r="S218" s="63">
        <f t="shared" si="94"/>
        <v>0</v>
      </c>
      <c r="T218" s="63">
        <f t="shared" si="94"/>
        <v>0</v>
      </c>
      <c r="U218" s="63">
        <f t="shared" si="94"/>
        <v>0</v>
      </c>
      <c r="V218" s="63">
        <f t="shared" si="94"/>
        <v>0</v>
      </c>
      <c r="W218" s="63">
        <f t="shared" si="94"/>
        <v>0</v>
      </c>
      <c r="X218" s="63">
        <f t="shared" si="94"/>
        <v>0</v>
      </c>
      <c r="Y218" s="63">
        <f t="shared" si="94"/>
        <v>0</v>
      </c>
      <c r="Z218" s="63">
        <f t="shared" si="94"/>
        <v>0</v>
      </c>
      <c r="AA218" s="63">
        <f t="shared" si="94"/>
        <v>0</v>
      </c>
      <c r="AB218" s="63">
        <f t="shared" si="94"/>
        <v>0</v>
      </c>
      <c r="AC218" s="63">
        <f t="shared" si="94"/>
        <v>0</v>
      </c>
      <c r="AD218" s="63">
        <f t="shared" si="94"/>
        <v>0</v>
      </c>
      <c r="AE218" s="63">
        <f t="shared" si="94"/>
        <v>0</v>
      </c>
      <c r="AF218" s="63">
        <f t="shared" si="95"/>
        <v>1775596.99999999</v>
      </c>
      <c r="AG218" s="58" t="str">
        <f t="shared" si="96"/>
        <v>ok</v>
      </c>
    </row>
    <row r="219" spans="1:33">
      <c r="A219" s="60">
        <v>557</v>
      </c>
      <c r="B219" s="44" t="s">
        <v>7</v>
      </c>
      <c r="C219" s="44" t="s">
        <v>8</v>
      </c>
      <c r="D219" s="44" t="s">
        <v>624</v>
      </c>
      <c r="F219" s="79">
        <f>194885-71936</f>
        <v>122949</v>
      </c>
      <c r="G219" s="62"/>
      <c r="H219" s="63">
        <f t="shared" si="93"/>
        <v>122949</v>
      </c>
      <c r="I219" s="63">
        <f t="shared" si="93"/>
        <v>0</v>
      </c>
      <c r="J219" s="63">
        <f t="shared" si="93"/>
        <v>0</v>
      </c>
      <c r="K219" s="63">
        <f t="shared" si="93"/>
        <v>0</v>
      </c>
      <c r="L219" s="63">
        <f t="shared" si="93"/>
        <v>0</v>
      </c>
      <c r="M219" s="63">
        <f t="shared" si="93"/>
        <v>0</v>
      </c>
      <c r="N219" s="63">
        <f t="shared" si="93"/>
        <v>0</v>
      </c>
      <c r="O219" s="63">
        <f t="shared" si="93"/>
        <v>0</v>
      </c>
      <c r="P219" s="63">
        <f t="shared" si="93"/>
        <v>0</v>
      </c>
      <c r="Q219" s="63">
        <f t="shared" si="93"/>
        <v>0</v>
      </c>
      <c r="R219" s="63">
        <f t="shared" si="94"/>
        <v>0</v>
      </c>
      <c r="S219" s="63">
        <f t="shared" si="94"/>
        <v>0</v>
      </c>
      <c r="T219" s="63">
        <f t="shared" si="94"/>
        <v>0</v>
      </c>
      <c r="U219" s="63">
        <f t="shared" si="94"/>
        <v>0</v>
      </c>
      <c r="V219" s="63">
        <f t="shared" si="94"/>
        <v>0</v>
      </c>
      <c r="W219" s="63">
        <f t="shared" si="94"/>
        <v>0</v>
      </c>
      <c r="X219" s="63">
        <f t="shared" si="94"/>
        <v>0</v>
      </c>
      <c r="Y219" s="63">
        <f t="shared" si="94"/>
        <v>0</v>
      </c>
      <c r="Z219" s="63">
        <f t="shared" si="94"/>
        <v>0</v>
      </c>
      <c r="AA219" s="63">
        <f t="shared" si="94"/>
        <v>0</v>
      </c>
      <c r="AB219" s="63">
        <f t="shared" si="94"/>
        <v>0</v>
      </c>
      <c r="AC219" s="63">
        <f t="shared" si="94"/>
        <v>0</v>
      </c>
      <c r="AD219" s="63">
        <f t="shared" si="94"/>
        <v>0</v>
      </c>
      <c r="AE219" s="63">
        <f t="shared" si="94"/>
        <v>0</v>
      </c>
      <c r="AF219" s="63">
        <f>SUM(H219:AE219)</f>
        <v>122949</v>
      </c>
      <c r="AG219" s="58" t="str">
        <f t="shared" si="96"/>
        <v>ok</v>
      </c>
    </row>
    <row r="220" spans="1:33">
      <c r="A220" s="60">
        <v>558</v>
      </c>
      <c r="B220" s="44" t="s">
        <v>643</v>
      </c>
      <c r="C220" s="44" t="s">
        <v>576</v>
      </c>
      <c r="D220" s="44" t="s">
        <v>854</v>
      </c>
      <c r="F220" s="79">
        <v>0</v>
      </c>
      <c r="G220" s="62"/>
      <c r="H220" s="63">
        <f t="shared" si="93"/>
        <v>0</v>
      </c>
      <c r="I220" s="63">
        <f t="shared" si="93"/>
        <v>0</v>
      </c>
      <c r="J220" s="63">
        <f t="shared" si="93"/>
        <v>0</v>
      </c>
      <c r="K220" s="63">
        <f t="shared" si="93"/>
        <v>0</v>
      </c>
      <c r="L220" s="63">
        <f t="shared" si="93"/>
        <v>0</v>
      </c>
      <c r="M220" s="63">
        <f t="shared" si="93"/>
        <v>0</v>
      </c>
      <c r="N220" s="63">
        <f t="shared" si="93"/>
        <v>0</v>
      </c>
      <c r="O220" s="63">
        <f t="shared" si="93"/>
        <v>0</v>
      </c>
      <c r="P220" s="63">
        <f t="shared" si="93"/>
        <v>0</v>
      </c>
      <c r="Q220" s="63">
        <f t="shared" si="93"/>
        <v>0</v>
      </c>
      <c r="R220" s="63">
        <f t="shared" si="94"/>
        <v>0</v>
      </c>
      <c r="S220" s="63">
        <f t="shared" si="94"/>
        <v>0</v>
      </c>
      <c r="T220" s="63">
        <f t="shared" si="94"/>
        <v>0</v>
      </c>
      <c r="U220" s="63">
        <f t="shared" si="94"/>
        <v>0</v>
      </c>
      <c r="V220" s="63">
        <f t="shared" si="94"/>
        <v>0</v>
      </c>
      <c r="W220" s="63">
        <f t="shared" si="94"/>
        <v>0</v>
      </c>
      <c r="X220" s="63">
        <f t="shared" si="94"/>
        <v>0</v>
      </c>
      <c r="Y220" s="63">
        <f t="shared" si="94"/>
        <v>0</v>
      </c>
      <c r="Z220" s="63">
        <f t="shared" si="94"/>
        <v>0</v>
      </c>
      <c r="AA220" s="63">
        <f t="shared" si="94"/>
        <v>0</v>
      </c>
      <c r="AB220" s="63">
        <f t="shared" si="94"/>
        <v>0</v>
      </c>
      <c r="AC220" s="63">
        <f t="shared" si="94"/>
        <v>0</v>
      </c>
      <c r="AD220" s="63">
        <f t="shared" si="94"/>
        <v>0</v>
      </c>
      <c r="AE220" s="63">
        <f t="shared" si="94"/>
        <v>0</v>
      </c>
      <c r="AF220" s="63">
        <f t="shared" si="95"/>
        <v>0</v>
      </c>
      <c r="AG220" s="58" t="str">
        <f t="shared" si="96"/>
        <v>ok</v>
      </c>
    </row>
    <row r="221" spans="1:33">
      <c r="A221" s="60"/>
      <c r="F221" s="79"/>
      <c r="G221" s="62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58"/>
    </row>
    <row r="222" spans="1:33">
      <c r="A222" s="60"/>
      <c r="B222" s="44" t="s">
        <v>265</v>
      </c>
      <c r="C222" s="44" t="s">
        <v>9</v>
      </c>
      <c r="F222" s="76">
        <f>SUM(F214:F221)</f>
        <v>45175217.242865495</v>
      </c>
      <c r="G222" s="62"/>
      <c r="H222" s="62">
        <f t="shared" ref="H222:M222" si="97">SUM(H214:H221)</f>
        <v>25585256.739299566</v>
      </c>
      <c r="I222" s="62">
        <f t="shared" si="97"/>
        <v>0</v>
      </c>
      <c r="J222" s="62">
        <f t="shared" si="97"/>
        <v>0</v>
      </c>
      <c r="K222" s="62">
        <f t="shared" si="97"/>
        <v>19589960.50356593</v>
      </c>
      <c r="L222" s="62">
        <f t="shared" si="97"/>
        <v>0</v>
      </c>
      <c r="M222" s="62">
        <f t="shared" si="97"/>
        <v>0</v>
      </c>
      <c r="N222" s="62">
        <f>SUM(N214:N221)</f>
        <v>0</v>
      </c>
      <c r="O222" s="62">
        <f>SUM(O214:O221)</f>
        <v>0</v>
      </c>
      <c r="P222" s="62">
        <f>SUM(P214:P221)</f>
        <v>0</v>
      </c>
      <c r="Q222" s="62">
        <f t="shared" ref="Q222:AB222" si="98">SUM(Q214:Q221)</f>
        <v>0</v>
      </c>
      <c r="R222" s="62">
        <f t="shared" si="98"/>
        <v>0</v>
      </c>
      <c r="S222" s="62">
        <f t="shared" si="98"/>
        <v>0</v>
      </c>
      <c r="T222" s="62">
        <f t="shared" si="98"/>
        <v>0</v>
      </c>
      <c r="U222" s="62">
        <f t="shared" si="98"/>
        <v>0</v>
      </c>
      <c r="V222" s="62">
        <f t="shared" si="98"/>
        <v>0</v>
      </c>
      <c r="W222" s="62">
        <f t="shared" si="98"/>
        <v>0</v>
      </c>
      <c r="X222" s="62">
        <f t="shared" si="98"/>
        <v>0</v>
      </c>
      <c r="Y222" s="62">
        <f t="shared" si="98"/>
        <v>0</v>
      </c>
      <c r="Z222" s="62">
        <f t="shared" si="98"/>
        <v>0</v>
      </c>
      <c r="AA222" s="62">
        <f t="shared" si="98"/>
        <v>0</v>
      </c>
      <c r="AB222" s="62">
        <f t="shared" si="98"/>
        <v>0</v>
      </c>
      <c r="AC222" s="62">
        <f>SUM(AC214:AC221)</f>
        <v>0</v>
      </c>
      <c r="AD222" s="62">
        <f>SUM(AD214:AD221)</f>
        <v>0</v>
      </c>
      <c r="AE222" s="62">
        <f>SUM(AE214:AE221)</f>
        <v>0</v>
      </c>
      <c r="AF222" s="63">
        <f>SUM(H222:AE222)</f>
        <v>45175217.242865495</v>
      </c>
      <c r="AG222" s="58" t="str">
        <f>IF(ABS(AF222-F222)&lt;1,"ok","err")</f>
        <v>ok</v>
      </c>
    </row>
    <row r="223" spans="1:33">
      <c r="A223" s="60"/>
      <c r="F223" s="76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3"/>
      <c r="AG223" s="58"/>
    </row>
    <row r="224" spans="1:33">
      <c r="A224" s="60"/>
      <c r="B224" s="44" t="s">
        <v>252</v>
      </c>
      <c r="F224" s="173">
        <f>F211+F222</f>
        <v>457540504.77104324</v>
      </c>
      <c r="G224" s="62"/>
      <c r="H224" s="62">
        <f t="shared" ref="H224:M224" si="99">H211+H222</f>
        <v>80778953.804495692</v>
      </c>
      <c r="I224" s="62">
        <f t="shared" si="99"/>
        <v>0</v>
      </c>
      <c r="J224" s="62">
        <f t="shared" si="99"/>
        <v>0</v>
      </c>
      <c r="K224" s="62">
        <f t="shared" si="99"/>
        <v>376761550.96654743</v>
      </c>
      <c r="L224" s="62">
        <f t="shared" si="99"/>
        <v>0</v>
      </c>
      <c r="M224" s="62">
        <f t="shared" si="99"/>
        <v>0</v>
      </c>
      <c r="N224" s="62">
        <f>N211+N222</f>
        <v>0</v>
      </c>
      <c r="O224" s="62">
        <f>O211+O222</f>
        <v>0</v>
      </c>
      <c r="P224" s="62">
        <f>P211+P222</f>
        <v>0</v>
      </c>
      <c r="Q224" s="62">
        <f t="shared" ref="Q224:AB224" si="100">Q211+Q222</f>
        <v>0</v>
      </c>
      <c r="R224" s="62">
        <f t="shared" si="100"/>
        <v>0</v>
      </c>
      <c r="S224" s="62">
        <f t="shared" si="100"/>
        <v>0</v>
      </c>
      <c r="T224" s="62">
        <f t="shared" si="100"/>
        <v>0</v>
      </c>
      <c r="U224" s="62">
        <f t="shared" si="100"/>
        <v>0</v>
      </c>
      <c r="V224" s="62">
        <f t="shared" si="100"/>
        <v>0</v>
      </c>
      <c r="W224" s="62">
        <f t="shared" si="100"/>
        <v>0</v>
      </c>
      <c r="X224" s="62">
        <f t="shared" si="100"/>
        <v>0</v>
      </c>
      <c r="Y224" s="62">
        <f t="shared" si="100"/>
        <v>0</v>
      </c>
      <c r="Z224" s="62">
        <f t="shared" si="100"/>
        <v>0</v>
      </c>
      <c r="AA224" s="62">
        <f t="shared" si="100"/>
        <v>0</v>
      </c>
      <c r="AB224" s="62">
        <f t="shared" si="100"/>
        <v>0</v>
      </c>
      <c r="AC224" s="62">
        <f>AC211+AC222</f>
        <v>0</v>
      </c>
      <c r="AD224" s="62">
        <f>AD211+AD222</f>
        <v>0</v>
      </c>
      <c r="AE224" s="62">
        <f>AE211+AE222</f>
        <v>0</v>
      </c>
      <c r="AF224" s="63">
        <f>SUM(H224:AE224)</f>
        <v>457540504.77104312</v>
      </c>
      <c r="AG224" s="58" t="str">
        <f>IF(ABS(AF224-F224)&lt;1,"ok","err")</f>
        <v>ok</v>
      </c>
    </row>
    <row r="225" spans="1:33">
      <c r="A225" s="60"/>
      <c r="F225" s="76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3"/>
      <c r="AG225" s="58"/>
    </row>
    <row r="226" spans="1:33" ht="14.1">
      <c r="A226" s="65" t="s">
        <v>1067</v>
      </c>
      <c r="F226" s="76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3"/>
      <c r="AG226" s="58"/>
    </row>
    <row r="227" spans="1:33">
      <c r="A227" s="60">
        <v>560</v>
      </c>
      <c r="B227" s="44" t="s">
        <v>1070</v>
      </c>
      <c r="C227" s="44" t="s">
        <v>11</v>
      </c>
      <c r="D227" s="44" t="s">
        <v>644</v>
      </c>
      <c r="F227" s="76">
        <v>1374229</v>
      </c>
      <c r="G227" s="62"/>
      <c r="H227" s="63">
        <f t="shared" ref="H227:Q240" si="101">IF(VLOOKUP($D227,$C$6:$AE$653,H$2,)=0,0,((VLOOKUP($D227,$C$6:$AE$653,H$2,)/VLOOKUP($D227,$C$6:$AE$653,4,))*$F227))</f>
        <v>0</v>
      </c>
      <c r="I227" s="63">
        <f t="shared" si="101"/>
        <v>0</v>
      </c>
      <c r="J227" s="63">
        <f t="shared" si="101"/>
        <v>0</v>
      </c>
      <c r="K227" s="63">
        <f t="shared" si="101"/>
        <v>0</v>
      </c>
      <c r="L227" s="63">
        <f t="shared" si="101"/>
        <v>0</v>
      </c>
      <c r="M227" s="63">
        <f t="shared" si="101"/>
        <v>0</v>
      </c>
      <c r="N227" s="63">
        <f t="shared" si="101"/>
        <v>1374229</v>
      </c>
      <c r="O227" s="63">
        <f t="shared" si="101"/>
        <v>0</v>
      </c>
      <c r="P227" s="63">
        <f t="shared" si="101"/>
        <v>0</v>
      </c>
      <c r="Q227" s="63">
        <f t="shared" si="101"/>
        <v>0</v>
      </c>
      <c r="R227" s="63">
        <f t="shared" ref="R227:AE240" si="102">IF(VLOOKUP($D227,$C$6:$AE$653,R$2,)=0,0,((VLOOKUP($D227,$C$6:$AE$653,R$2,)/VLOOKUP($D227,$C$6:$AE$653,4,))*$F227))</f>
        <v>0</v>
      </c>
      <c r="S227" s="63">
        <f t="shared" si="102"/>
        <v>0</v>
      </c>
      <c r="T227" s="63">
        <f t="shared" si="102"/>
        <v>0</v>
      </c>
      <c r="U227" s="63">
        <f t="shared" si="102"/>
        <v>0</v>
      </c>
      <c r="V227" s="63">
        <f t="shared" si="102"/>
        <v>0</v>
      </c>
      <c r="W227" s="63">
        <f t="shared" si="102"/>
        <v>0</v>
      </c>
      <c r="X227" s="63">
        <f t="shared" si="102"/>
        <v>0</v>
      </c>
      <c r="Y227" s="63">
        <f t="shared" si="102"/>
        <v>0</v>
      </c>
      <c r="Z227" s="63">
        <f t="shared" si="102"/>
        <v>0</v>
      </c>
      <c r="AA227" s="63">
        <f t="shared" si="102"/>
        <v>0</v>
      </c>
      <c r="AB227" s="63">
        <f t="shared" si="102"/>
        <v>0</v>
      </c>
      <c r="AC227" s="63">
        <f t="shared" si="102"/>
        <v>0</v>
      </c>
      <c r="AD227" s="63">
        <f t="shared" si="102"/>
        <v>0</v>
      </c>
      <c r="AE227" s="63">
        <f t="shared" si="102"/>
        <v>0</v>
      </c>
      <c r="AF227" s="63">
        <f t="shared" ref="AF227:AF232" si="103">SUM(H227:AE227)</f>
        <v>1374229</v>
      </c>
      <c r="AG227" s="58" t="str">
        <f t="shared" ref="AG227:AG240" si="104">IF(ABS(AF227-F227)&lt;1,"ok","err")</f>
        <v>ok</v>
      </c>
    </row>
    <row r="228" spans="1:33">
      <c r="A228" s="60">
        <v>561</v>
      </c>
      <c r="B228" s="44" t="s">
        <v>914</v>
      </c>
      <c r="C228" s="44" t="s">
        <v>12</v>
      </c>
      <c r="D228" s="44" t="s">
        <v>644</v>
      </c>
      <c r="F228" s="79">
        <v>2719716</v>
      </c>
      <c r="G228" s="62"/>
      <c r="H228" s="63">
        <f t="shared" si="101"/>
        <v>0</v>
      </c>
      <c r="I228" s="63">
        <f t="shared" si="101"/>
        <v>0</v>
      </c>
      <c r="J228" s="63">
        <f t="shared" si="101"/>
        <v>0</v>
      </c>
      <c r="K228" s="63">
        <f t="shared" si="101"/>
        <v>0</v>
      </c>
      <c r="L228" s="63">
        <f t="shared" si="101"/>
        <v>0</v>
      </c>
      <c r="M228" s="63">
        <f t="shared" si="101"/>
        <v>0</v>
      </c>
      <c r="N228" s="63">
        <f t="shared" si="101"/>
        <v>2719716</v>
      </c>
      <c r="O228" s="63">
        <f t="shared" si="101"/>
        <v>0</v>
      </c>
      <c r="P228" s="63">
        <f t="shared" si="101"/>
        <v>0</v>
      </c>
      <c r="Q228" s="63">
        <f t="shared" si="101"/>
        <v>0</v>
      </c>
      <c r="R228" s="63">
        <f t="shared" si="102"/>
        <v>0</v>
      </c>
      <c r="S228" s="63">
        <f t="shared" si="102"/>
        <v>0</v>
      </c>
      <c r="T228" s="63">
        <f t="shared" si="102"/>
        <v>0</v>
      </c>
      <c r="U228" s="63">
        <f t="shared" si="102"/>
        <v>0</v>
      </c>
      <c r="V228" s="63">
        <f t="shared" si="102"/>
        <v>0</v>
      </c>
      <c r="W228" s="63">
        <f t="shared" si="102"/>
        <v>0</v>
      </c>
      <c r="X228" s="63">
        <f t="shared" si="102"/>
        <v>0</v>
      </c>
      <c r="Y228" s="63">
        <f t="shared" si="102"/>
        <v>0</v>
      </c>
      <c r="Z228" s="63">
        <f t="shared" si="102"/>
        <v>0</v>
      </c>
      <c r="AA228" s="63">
        <f t="shared" si="102"/>
        <v>0</v>
      </c>
      <c r="AB228" s="63">
        <f t="shared" si="102"/>
        <v>0</v>
      </c>
      <c r="AC228" s="63">
        <f t="shared" si="102"/>
        <v>0</v>
      </c>
      <c r="AD228" s="63">
        <f t="shared" si="102"/>
        <v>0</v>
      </c>
      <c r="AE228" s="63">
        <f t="shared" si="102"/>
        <v>0</v>
      </c>
      <c r="AF228" s="63">
        <f t="shared" si="103"/>
        <v>2719716</v>
      </c>
      <c r="AG228" s="58" t="str">
        <f t="shared" si="104"/>
        <v>ok</v>
      </c>
    </row>
    <row r="229" spans="1:33">
      <c r="A229" s="60">
        <v>562</v>
      </c>
      <c r="B229" s="44" t="s">
        <v>1068</v>
      </c>
      <c r="C229" s="44" t="s">
        <v>13</v>
      </c>
      <c r="D229" s="44" t="s">
        <v>644</v>
      </c>
      <c r="F229" s="79">
        <v>1022714</v>
      </c>
      <c r="G229" s="62"/>
      <c r="H229" s="63">
        <f t="shared" si="101"/>
        <v>0</v>
      </c>
      <c r="I229" s="63">
        <f t="shared" si="101"/>
        <v>0</v>
      </c>
      <c r="J229" s="63">
        <f t="shared" si="101"/>
        <v>0</v>
      </c>
      <c r="K229" s="63">
        <f t="shared" si="101"/>
        <v>0</v>
      </c>
      <c r="L229" s="63">
        <f t="shared" si="101"/>
        <v>0</v>
      </c>
      <c r="M229" s="63">
        <f t="shared" si="101"/>
        <v>0</v>
      </c>
      <c r="N229" s="63">
        <f t="shared" si="101"/>
        <v>1022714</v>
      </c>
      <c r="O229" s="63">
        <f t="shared" si="101"/>
        <v>0</v>
      </c>
      <c r="P229" s="63">
        <f t="shared" si="101"/>
        <v>0</v>
      </c>
      <c r="Q229" s="63">
        <f t="shared" si="101"/>
        <v>0</v>
      </c>
      <c r="R229" s="63">
        <f t="shared" si="102"/>
        <v>0</v>
      </c>
      <c r="S229" s="63">
        <f t="shared" si="102"/>
        <v>0</v>
      </c>
      <c r="T229" s="63">
        <f t="shared" si="102"/>
        <v>0</v>
      </c>
      <c r="U229" s="63">
        <f t="shared" si="102"/>
        <v>0</v>
      </c>
      <c r="V229" s="63">
        <f t="shared" si="102"/>
        <v>0</v>
      </c>
      <c r="W229" s="63">
        <f t="shared" si="102"/>
        <v>0</v>
      </c>
      <c r="X229" s="63">
        <f t="shared" si="102"/>
        <v>0</v>
      </c>
      <c r="Y229" s="63">
        <f t="shared" si="102"/>
        <v>0</v>
      </c>
      <c r="Z229" s="63">
        <f t="shared" si="102"/>
        <v>0</v>
      </c>
      <c r="AA229" s="63">
        <f t="shared" si="102"/>
        <v>0</v>
      </c>
      <c r="AB229" s="63">
        <f t="shared" si="102"/>
        <v>0</v>
      </c>
      <c r="AC229" s="63">
        <f t="shared" si="102"/>
        <v>0</v>
      </c>
      <c r="AD229" s="63">
        <f t="shared" si="102"/>
        <v>0</v>
      </c>
      <c r="AE229" s="63">
        <f t="shared" si="102"/>
        <v>0</v>
      </c>
      <c r="AF229" s="63">
        <f t="shared" si="103"/>
        <v>1022714</v>
      </c>
      <c r="AG229" s="58" t="str">
        <f t="shared" si="104"/>
        <v>ok</v>
      </c>
    </row>
    <row r="230" spans="1:33">
      <c r="A230" s="60">
        <v>563</v>
      </c>
      <c r="B230" s="44" t="s">
        <v>916</v>
      </c>
      <c r="C230" s="44" t="s">
        <v>14</v>
      </c>
      <c r="D230" s="44" t="s">
        <v>644</v>
      </c>
      <c r="F230" s="79">
        <v>293742</v>
      </c>
      <c r="G230" s="62"/>
      <c r="H230" s="63">
        <f t="shared" si="101"/>
        <v>0</v>
      </c>
      <c r="I230" s="63">
        <f t="shared" si="101"/>
        <v>0</v>
      </c>
      <c r="J230" s="63">
        <f t="shared" si="101"/>
        <v>0</v>
      </c>
      <c r="K230" s="63">
        <f t="shared" si="101"/>
        <v>0</v>
      </c>
      <c r="L230" s="63">
        <f t="shared" si="101"/>
        <v>0</v>
      </c>
      <c r="M230" s="63">
        <f t="shared" si="101"/>
        <v>0</v>
      </c>
      <c r="N230" s="63">
        <f t="shared" si="101"/>
        <v>293742</v>
      </c>
      <c r="O230" s="63">
        <f t="shared" si="101"/>
        <v>0</v>
      </c>
      <c r="P230" s="63">
        <f t="shared" si="101"/>
        <v>0</v>
      </c>
      <c r="Q230" s="63">
        <f t="shared" si="101"/>
        <v>0</v>
      </c>
      <c r="R230" s="63">
        <f t="shared" si="102"/>
        <v>0</v>
      </c>
      <c r="S230" s="63">
        <f t="shared" si="102"/>
        <v>0</v>
      </c>
      <c r="T230" s="63">
        <f t="shared" si="102"/>
        <v>0</v>
      </c>
      <c r="U230" s="63">
        <f t="shared" si="102"/>
        <v>0</v>
      </c>
      <c r="V230" s="63">
        <f t="shared" si="102"/>
        <v>0</v>
      </c>
      <c r="W230" s="63">
        <f t="shared" si="102"/>
        <v>0</v>
      </c>
      <c r="X230" s="63">
        <f t="shared" si="102"/>
        <v>0</v>
      </c>
      <c r="Y230" s="63">
        <f t="shared" si="102"/>
        <v>0</v>
      </c>
      <c r="Z230" s="63">
        <f t="shared" si="102"/>
        <v>0</v>
      </c>
      <c r="AA230" s="63">
        <f t="shared" si="102"/>
        <v>0</v>
      </c>
      <c r="AB230" s="63">
        <f t="shared" si="102"/>
        <v>0</v>
      </c>
      <c r="AC230" s="63">
        <f t="shared" si="102"/>
        <v>0</v>
      </c>
      <c r="AD230" s="63">
        <f t="shared" si="102"/>
        <v>0</v>
      </c>
      <c r="AE230" s="63">
        <f t="shared" si="102"/>
        <v>0</v>
      </c>
      <c r="AF230" s="63">
        <f t="shared" si="103"/>
        <v>293742</v>
      </c>
      <c r="AG230" s="58" t="str">
        <f t="shared" si="104"/>
        <v>ok</v>
      </c>
    </row>
    <row r="231" spans="1:33">
      <c r="A231" s="60">
        <v>565</v>
      </c>
      <c r="B231" s="44" t="s">
        <v>253</v>
      </c>
      <c r="C231" s="44" t="s">
        <v>254</v>
      </c>
      <c r="D231" s="44" t="s">
        <v>644</v>
      </c>
      <c r="F231" s="79">
        <f>998725-986881</f>
        <v>11844</v>
      </c>
      <c r="G231" s="62"/>
      <c r="H231" s="63">
        <f t="shared" si="101"/>
        <v>0</v>
      </c>
      <c r="I231" s="63">
        <f t="shared" si="101"/>
        <v>0</v>
      </c>
      <c r="J231" s="63">
        <f t="shared" si="101"/>
        <v>0</v>
      </c>
      <c r="K231" s="63">
        <f t="shared" si="101"/>
        <v>0</v>
      </c>
      <c r="L231" s="63">
        <f t="shared" si="101"/>
        <v>0</v>
      </c>
      <c r="M231" s="63">
        <f t="shared" si="101"/>
        <v>0</v>
      </c>
      <c r="N231" s="63">
        <f t="shared" si="101"/>
        <v>11844</v>
      </c>
      <c r="O231" s="63">
        <f t="shared" si="101"/>
        <v>0</v>
      </c>
      <c r="P231" s="63">
        <f t="shared" si="101"/>
        <v>0</v>
      </c>
      <c r="Q231" s="63">
        <f t="shared" si="101"/>
        <v>0</v>
      </c>
      <c r="R231" s="63">
        <f t="shared" si="102"/>
        <v>0</v>
      </c>
      <c r="S231" s="63">
        <f t="shared" si="102"/>
        <v>0</v>
      </c>
      <c r="T231" s="63">
        <f t="shared" si="102"/>
        <v>0</v>
      </c>
      <c r="U231" s="63">
        <f t="shared" si="102"/>
        <v>0</v>
      </c>
      <c r="V231" s="63">
        <f t="shared" si="102"/>
        <v>0</v>
      </c>
      <c r="W231" s="63">
        <f t="shared" si="102"/>
        <v>0</v>
      </c>
      <c r="X231" s="63">
        <f t="shared" si="102"/>
        <v>0</v>
      </c>
      <c r="Y231" s="63">
        <f t="shared" si="102"/>
        <v>0</v>
      </c>
      <c r="Z231" s="63">
        <f t="shared" si="102"/>
        <v>0</v>
      </c>
      <c r="AA231" s="63">
        <f t="shared" si="102"/>
        <v>0</v>
      </c>
      <c r="AB231" s="63">
        <f t="shared" si="102"/>
        <v>0</v>
      </c>
      <c r="AC231" s="63">
        <f t="shared" si="102"/>
        <v>0</v>
      </c>
      <c r="AD231" s="63">
        <f t="shared" si="102"/>
        <v>0</v>
      </c>
      <c r="AE231" s="63">
        <f t="shared" si="102"/>
        <v>0</v>
      </c>
      <c r="AF231" s="63">
        <f t="shared" si="103"/>
        <v>11844</v>
      </c>
      <c r="AG231" s="58" t="str">
        <f t="shared" si="104"/>
        <v>ok</v>
      </c>
    </row>
    <row r="232" spans="1:33">
      <c r="A232" s="60">
        <v>566</v>
      </c>
      <c r="B232" s="44" t="s">
        <v>145</v>
      </c>
      <c r="C232" s="44" t="s">
        <v>146</v>
      </c>
      <c r="D232" s="44" t="s">
        <v>1085</v>
      </c>
      <c r="F232" s="79">
        <v>12977685.999999899</v>
      </c>
      <c r="G232" s="62"/>
      <c r="H232" s="63">
        <f t="shared" si="101"/>
        <v>0</v>
      </c>
      <c r="I232" s="63">
        <f t="shared" si="101"/>
        <v>0</v>
      </c>
      <c r="J232" s="63">
        <f t="shared" si="101"/>
        <v>0</v>
      </c>
      <c r="K232" s="63">
        <f t="shared" si="101"/>
        <v>0</v>
      </c>
      <c r="L232" s="63">
        <f t="shared" si="101"/>
        <v>0</v>
      </c>
      <c r="M232" s="63">
        <f t="shared" si="101"/>
        <v>0</v>
      </c>
      <c r="N232" s="63">
        <f t="shared" si="101"/>
        <v>12977685.999999899</v>
      </c>
      <c r="O232" s="63">
        <f t="shared" si="101"/>
        <v>0</v>
      </c>
      <c r="P232" s="63">
        <f t="shared" si="101"/>
        <v>0</v>
      </c>
      <c r="Q232" s="63">
        <f t="shared" si="101"/>
        <v>0</v>
      </c>
      <c r="R232" s="63">
        <f t="shared" si="102"/>
        <v>0</v>
      </c>
      <c r="S232" s="63">
        <f t="shared" si="102"/>
        <v>0</v>
      </c>
      <c r="T232" s="63">
        <f t="shared" si="102"/>
        <v>0</v>
      </c>
      <c r="U232" s="63">
        <f t="shared" si="102"/>
        <v>0</v>
      </c>
      <c r="V232" s="63">
        <f t="shared" si="102"/>
        <v>0</v>
      </c>
      <c r="W232" s="63">
        <f t="shared" si="102"/>
        <v>0</v>
      </c>
      <c r="X232" s="63">
        <f t="shared" si="102"/>
        <v>0</v>
      </c>
      <c r="Y232" s="63">
        <f t="shared" si="102"/>
        <v>0</v>
      </c>
      <c r="Z232" s="63">
        <f t="shared" si="102"/>
        <v>0</v>
      </c>
      <c r="AA232" s="63">
        <f t="shared" si="102"/>
        <v>0</v>
      </c>
      <c r="AB232" s="63">
        <f t="shared" si="102"/>
        <v>0</v>
      </c>
      <c r="AC232" s="63">
        <f t="shared" si="102"/>
        <v>0</v>
      </c>
      <c r="AD232" s="63">
        <f t="shared" si="102"/>
        <v>0</v>
      </c>
      <c r="AE232" s="63">
        <f t="shared" si="102"/>
        <v>0</v>
      </c>
      <c r="AF232" s="63">
        <f t="shared" si="103"/>
        <v>12977685.999999899</v>
      </c>
      <c r="AG232" s="58" t="str">
        <f t="shared" si="104"/>
        <v>ok</v>
      </c>
    </row>
    <row r="233" spans="1:33">
      <c r="A233" s="60">
        <v>567</v>
      </c>
      <c r="B233" s="44" t="s">
        <v>928</v>
      </c>
      <c r="C233" s="44" t="s">
        <v>255</v>
      </c>
      <c r="D233" s="44" t="s">
        <v>1085</v>
      </c>
      <c r="F233" s="79">
        <v>61385</v>
      </c>
      <c r="G233" s="62"/>
      <c r="H233" s="63">
        <f t="shared" si="101"/>
        <v>0</v>
      </c>
      <c r="I233" s="63">
        <f t="shared" si="101"/>
        <v>0</v>
      </c>
      <c r="J233" s="63">
        <f t="shared" si="101"/>
        <v>0</v>
      </c>
      <c r="K233" s="63">
        <f t="shared" si="101"/>
        <v>0</v>
      </c>
      <c r="L233" s="63">
        <f t="shared" si="101"/>
        <v>0</v>
      </c>
      <c r="M233" s="63">
        <f t="shared" si="101"/>
        <v>0</v>
      </c>
      <c r="N233" s="63">
        <f t="shared" si="101"/>
        <v>61385</v>
      </c>
      <c r="O233" s="63">
        <f t="shared" si="101"/>
        <v>0</v>
      </c>
      <c r="P233" s="63">
        <f t="shared" si="101"/>
        <v>0</v>
      </c>
      <c r="Q233" s="63">
        <f t="shared" si="101"/>
        <v>0</v>
      </c>
      <c r="R233" s="63">
        <f t="shared" si="102"/>
        <v>0</v>
      </c>
      <c r="S233" s="63">
        <f t="shared" si="102"/>
        <v>0</v>
      </c>
      <c r="T233" s="63">
        <f t="shared" si="102"/>
        <v>0</v>
      </c>
      <c r="U233" s="63">
        <f t="shared" si="102"/>
        <v>0</v>
      </c>
      <c r="V233" s="63">
        <f t="shared" si="102"/>
        <v>0</v>
      </c>
      <c r="W233" s="63">
        <f t="shared" si="102"/>
        <v>0</v>
      </c>
      <c r="X233" s="63">
        <f t="shared" si="102"/>
        <v>0</v>
      </c>
      <c r="Y233" s="63">
        <f t="shared" si="102"/>
        <v>0</v>
      </c>
      <c r="Z233" s="63">
        <f t="shared" si="102"/>
        <v>0</v>
      </c>
      <c r="AA233" s="63">
        <f t="shared" si="102"/>
        <v>0</v>
      </c>
      <c r="AB233" s="63">
        <f t="shared" si="102"/>
        <v>0</v>
      </c>
      <c r="AC233" s="63">
        <f t="shared" si="102"/>
        <v>0</v>
      </c>
      <c r="AD233" s="63">
        <f t="shared" si="102"/>
        <v>0</v>
      </c>
      <c r="AE233" s="63">
        <f t="shared" si="102"/>
        <v>0</v>
      </c>
      <c r="AF233" s="63">
        <f t="shared" ref="AF233:AF239" si="105">SUM(H233:AE233)</f>
        <v>61385</v>
      </c>
      <c r="AG233" s="58" t="str">
        <f t="shared" si="104"/>
        <v>ok</v>
      </c>
    </row>
    <row r="234" spans="1:33">
      <c r="A234" s="60">
        <v>568</v>
      </c>
      <c r="B234" s="44" t="s">
        <v>1069</v>
      </c>
      <c r="C234" s="44" t="s">
        <v>15</v>
      </c>
      <c r="D234" s="44" t="s">
        <v>644</v>
      </c>
      <c r="F234" s="79">
        <v>0</v>
      </c>
      <c r="G234" s="62"/>
      <c r="H234" s="63">
        <f t="shared" si="101"/>
        <v>0</v>
      </c>
      <c r="I234" s="63">
        <f t="shared" si="101"/>
        <v>0</v>
      </c>
      <c r="J234" s="63">
        <f t="shared" si="101"/>
        <v>0</v>
      </c>
      <c r="K234" s="63">
        <f t="shared" si="101"/>
        <v>0</v>
      </c>
      <c r="L234" s="63">
        <f t="shared" si="101"/>
        <v>0</v>
      </c>
      <c r="M234" s="63">
        <f t="shared" si="101"/>
        <v>0</v>
      </c>
      <c r="N234" s="63">
        <f t="shared" si="101"/>
        <v>0</v>
      </c>
      <c r="O234" s="63">
        <f t="shared" si="101"/>
        <v>0</v>
      </c>
      <c r="P234" s="63">
        <f t="shared" si="101"/>
        <v>0</v>
      </c>
      <c r="Q234" s="63">
        <f t="shared" si="101"/>
        <v>0</v>
      </c>
      <c r="R234" s="63">
        <f t="shared" si="102"/>
        <v>0</v>
      </c>
      <c r="S234" s="63">
        <f t="shared" si="102"/>
        <v>0</v>
      </c>
      <c r="T234" s="63">
        <f t="shared" si="102"/>
        <v>0</v>
      </c>
      <c r="U234" s="63">
        <f t="shared" si="102"/>
        <v>0</v>
      </c>
      <c r="V234" s="63">
        <f t="shared" si="102"/>
        <v>0</v>
      </c>
      <c r="W234" s="63">
        <f t="shared" si="102"/>
        <v>0</v>
      </c>
      <c r="X234" s="63">
        <f t="shared" si="102"/>
        <v>0</v>
      </c>
      <c r="Y234" s="63">
        <f t="shared" si="102"/>
        <v>0</v>
      </c>
      <c r="Z234" s="63">
        <f t="shared" si="102"/>
        <v>0</v>
      </c>
      <c r="AA234" s="63">
        <f t="shared" si="102"/>
        <v>0</v>
      </c>
      <c r="AB234" s="63">
        <f t="shared" si="102"/>
        <v>0</v>
      </c>
      <c r="AC234" s="63">
        <f t="shared" si="102"/>
        <v>0</v>
      </c>
      <c r="AD234" s="63">
        <f t="shared" si="102"/>
        <v>0</v>
      </c>
      <c r="AE234" s="63">
        <f t="shared" si="102"/>
        <v>0</v>
      </c>
      <c r="AF234" s="63">
        <f t="shared" si="105"/>
        <v>0</v>
      </c>
      <c r="AG234" s="58" t="str">
        <f t="shared" si="104"/>
        <v>ok</v>
      </c>
    </row>
    <row r="235" spans="1:33">
      <c r="A235" s="60">
        <v>569</v>
      </c>
      <c r="B235" s="44" t="s">
        <v>256</v>
      </c>
      <c r="C235" s="44" t="s">
        <v>257</v>
      </c>
      <c r="D235" s="44" t="s">
        <v>644</v>
      </c>
      <c r="F235" s="79">
        <v>0</v>
      </c>
      <c r="G235" s="62"/>
      <c r="H235" s="63">
        <f t="shared" si="101"/>
        <v>0</v>
      </c>
      <c r="I235" s="63">
        <f t="shared" si="101"/>
        <v>0</v>
      </c>
      <c r="J235" s="63">
        <f t="shared" si="101"/>
        <v>0</v>
      </c>
      <c r="K235" s="63">
        <f t="shared" si="101"/>
        <v>0</v>
      </c>
      <c r="L235" s="63">
        <f t="shared" si="101"/>
        <v>0</v>
      </c>
      <c r="M235" s="63">
        <f t="shared" si="101"/>
        <v>0</v>
      </c>
      <c r="N235" s="63">
        <f t="shared" si="101"/>
        <v>0</v>
      </c>
      <c r="O235" s="63">
        <f t="shared" si="101"/>
        <v>0</v>
      </c>
      <c r="P235" s="63">
        <f t="shared" si="101"/>
        <v>0</v>
      </c>
      <c r="Q235" s="63">
        <f t="shared" si="101"/>
        <v>0</v>
      </c>
      <c r="R235" s="63">
        <f t="shared" si="102"/>
        <v>0</v>
      </c>
      <c r="S235" s="63">
        <f t="shared" si="102"/>
        <v>0</v>
      </c>
      <c r="T235" s="63">
        <f t="shared" si="102"/>
        <v>0</v>
      </c>
      <c r="U235" s="63">
        <f t="shared" si="102"/>
        <v>0</v>
      </c>
      <c r="V235" s="63">
        <f t="shared" si="102"/>
        <v>0</v>
      </c>
      <c r="W235" s="63">
        <f t="shared" si="102"/>
        <v>0</v>
      </c>
      <c r="X235" s="63">
        <f t="shared" si="102"/>
        <v>0</v>
      </c>
      <c r="Y235" s="63">
        <f t="shared" si="102"/>
        <v>0</v>
      </c>
      <c r="Z235" s="63">
        <f t="shared" si="102"/>
        <v>0</v>
      </c>
      <c r="AA235" s="63">
        <f t="shared" si="102"/>
        <v>0</v>
      </c>
      <c r="AB235" s="63">
        <f t="shared" si="102"/>
        <v>0</v>
      </c>
      <c r="AC235" s="63">
        <f t="shared" si="102"/>
        <v>0</v>
      </c>
      <c r="AD235" s="63">
        <f t="shared" si="102"/>
        <v>0</v>
      </c>
      <c r="AE235" s="63">
        <f t="shared" si="102"/>
        <v>0</v>
      </c>
      <c r="AF235" s="63">
        <f t="shared" si="105"/>
        <v>0</v>
      </c>
      <c r="AG235" s="58" t="str">
        <f t="shared" si="104"/>
        <v>ok</v>
      </c>
    </row>
    <row r="236" spans="1:33">
      <c r="A236" s="60">
        <v>570</v>
      </c>
      <c r="B236" s="44" t="s">
        <v>1071</v>
      </c>
      <c r="C236" s="44" t="s">
        <v>16</v>
      </c>
      <c r="D236" s="44" t="s">
        <v>644</v>
      </c>
      <c r="F236" s="79">
        <v>1720071</v>
      </c>
      <c r="G236" s="62"/>
      <c r="H236" s="63">
        <f t="shared" si="101"/>
        <v>0</v>
      </c>
      <c r="I236" s="63">
        <f t="shared" si="101"/>
        <v>0</v>
      </c>
      <c r="J236" s="63">
        <f t="shared" si="101"/>
        <v>0</v>
      </c>
      <c r="K236" s="63">
        <f t="shared" si="101"/>
        <v>0</v>
      </c>
      <c r="L236" s="63">
        <f t="shared" si="101"/>
        <v>0</v>
      </c>
      <c r="M236" s="63">
        <f t="shared" si="101"/>
        <v>0</v>
      </c>
      <c r="N236" s="63">
        <f t="shared" si="101"/>
        <v>1720071</v>
      </c>
      <c r="O236" s="63">
        <f t="shared" si="101"/>
        <v>0</v>
      </c>
      <c r="P236" s="63">
        <f t="shared" si="101"/>
        <v>0</v>
      </c>
      <c r="Q236" s="63">
        <f t="shared" si="101"/>
        <v>0</v>
      </c>
      <c r="R236" s="63">
        <f t="shared" si="102"/>
        <v>0</v>
      </c>
      <c r="S236" s="63">
        <f t="shared" si="102"/>
        <v>0</v>
      </c>
      <c r="T236" s="63">
        <f t="shared" si="102"/>
        <v>0</v>
      </c>
      <c r="U236" s="63">
        <f t="shared" si="102"/>
        <v>0</v>
      </c>
      <c r="V236" s="63">
        <f t="shared" si="102"/>
        <v>0</v>
      </c>
      <c r="W236" s="63">
        <f t="shared" si="102"/>
        <v>0</v>
      </c>
      <c r="X236" s="63">
        <f t="shared" si="102"/>
        <v>0</v>
      </c>
      <c r="Y236" s="63">
        <f t="shared" si="102"/>
        <v>0</v>
      </c>
      <c r="Z236" s="63">
        <f t="shared" si="102"/>
        <v>0</v>
      </c>
      <c r="AA236" s="63">
        <f t="shared" si="102"/>
        <v>0</v>
      </c>
      <c r="AB236" s="63">
        <f t="shared" si="102"/>
        <v>0</v>
      </c>
      <c r="AC236" s="63">
        <f t="shared" si="102"/>
        <v>0</v>
      </c>
      <c r="AD236" s="63">
        <f t="shared" si="102"/>
        <v>0</v>
      </c>
      <c r="AE236" s="63">
        <f t="shared" si="102"/>
        <v>0</v>
      </c>
      <c r="AF236" s="63">
        <f t="shared" si="105"/>
        <v>1720071</v>
      </c>
      <c r="AG236" s="58" t="str">
        <f t="shared" si="104"/>
        <v>ok</v>
      </c>
    </row>
    <row r="237" spans="1:33">
      <c r="A237" s="60">
        <v>571</v>
      </c>
      <c r="B237" s="44" t="s">
        <v>1072</v>
      </c>
      <c r="C237" s="44" t="s">
        <v>17</v>
      </c>
      <c r="D237" s="44" t="s">
        <v>644</v>
      </c>
      <c r="F237" s="79">
        <v>7356001</v>
      </c>
      <c r="G237" s="62"/>
      <c r="H237" s="63">
        <f t="shared" si="101"/>
        <v>0</v>
      </c>
      <c r="I237" s="63">
        <f t="shared" si="101"/>
        <v>0</v>
      </c>
      <c r="J237" s="63">
        <f t="shared" si="101"/>
        <v>0</v>
      </c>
      <c r="K237" s="63">
        <f t="shared" si="101"/>
        <v>0</v>
      </c>
      <c r="L237" s="63">
        <f t="shared" si="101"/>
        <v>0</v>
      </c>
      <c r="M237" s="63">
        <f t="shared" si="101"/>
        <v>0</v>
      </c>
      <c r="N237" s="63">
        <f t="shared" si="101"/>
        <v>7356001</v>
      </c>
      <c r="O237" s="63">
        <f t="shared" si="101"/>
        <v>0</v>
      </c>
      <c r="P237" s="63">
        <f t="shared" si="101"/>
        <v>0</v>
      </c>
      <c r="Q237" s="63">
        <f t="shared" si="101"/>
        <v>0</v>
      </c>
      <c r="R237" s="63">
        <f t="shared" si="102"/>
        <v>0</v>
      </c>
      <c r="S237" s="63">
        <f t="shared" si="102"/>
        <v>0</v>
      </c>
      <c r="T237" s="63">
        <f t="shared" si="102"/>
        <v>0</v>
      </c>
      <c r="U237" s="63">
        <f t="shared" si="102"/>
        <v>0</v>
      </c>
      <c r="V237" s="63">
        <f t="shared" si="102"/>
        <v>0</v>
      </c>
      <c r="W237" s="63">
        <f t="shared" si="102"/>
        <v>0</v>
      </c>
      <c r="X237" s="63">
        <f t="shared" si="102"/>
        <v>0</v>
      </c>
      <c r="Y237" s="63">
        <f t="shared" si="102"/>
        <v>0</v>
      </c>
      <c r="Z237" s="63">
        <f t="shared" si="102"/>
        <v>0</v>
      </c>
      <c r="AA237" s="63">
        <f t="shared" si="102"/>
        <v>0</v>
      </c>
      <c r="AB237" s="63">
        <f t="shared" si="102"/>
        <v>0</v>
      </c>
      <c r="AC237" s="63">
        <f t="shared" si="102"/>
        <v>0</v>
      </c>
      <c r="AD237" s="63">
        <f t="shared" si="102"/>
        <v>0</v>
      </c>
      <c r="AE237" s="63">
        <f t="shared" si="102"/>
        <v>0</v>
      </c>
      <c r="AF237" s="63">
        <f t="shared" si="105"/>
        <v>7356001</v>
      </c>
      <c r="AG237" s="58" t="str">
        <f t="shared" si="104"/>
        <v>ok</v>
      </c>
    </row>
    <row r="238" spans="1:33">
      <c r="A238" s="60">
        <v>572</v>
      </c>
      <c r="B238" s="44" t="s">
        <v>258</v>
      </c>
      <c r="C238" s="44" t="s">
        <v>259</v>
      </c>
      <c r="D238" s="44" t="s">
        <v>644</v>
      </c>
      <c r="F238" s="79">
        <v>0</v>
      </c>
      <c r="G238" s="62"/>
      <c r="H238" s="63">
        <f t="shared" si="101"/>
        <v>0</v>
      </c>
      <c r="I238" s="63">
        <f t="shared" si="101"/>
        <v>0</v>
      </c>
      <c r="J238" s="63">
        <f t="shared" si="101"/>
        <v>0</v>
      </c>
      <c r="K238" s="63">
        <f t="shared" si="101"/>
        <v>0</v>
      </c>
      <c r="L238" s="63">
        <f t="shared" si="101"/>
        <v>0</v>
      </c>
      <c r="M238" s="63">
        <f t="shared" si="101"/>
        <v>0</v>
      </c>
      <c r="N238" s="63">
        <f t="shared" si="101"/>
        <v>0</v>
      </c>
      <c r="O238" s="63">
        <f t="shared" si="101"/>
        <v>0</v>
      </c>
      <c r="P238" s="63">
        <f t="shared" si="101"/>
        <v>0</v>
      </c>
      <c r="Q238" s="63">
        <f t="shared" si="101"/>
        <v>0</v>
      </c>
      <c r="R238" s="63">
        <f t="shared" si="102"/>
        <v>0</v>
      </c>
      <c r="S238" s="63">
        <f t="shared" si="102"/>
        <v>0</v>
      </c>
      <c r="T238" s="63">
        <f t="shared" si="102"/>
        <v>0</v>
      </c>
      <c r="U238" s="63">
        <f t="shared" si="102"/>
        <v>0</v>
      </c>
      <c r="V238" s="63">
        <f t="shared" si="102"/>
        <v>0</v>
      </c>
      <c r="W238" s="63">
        <f t="shared" si="102"/>
        <v>0</v>
      </c>
      <c r="X238" s="63">
        <f t="shared" si="102"/>
        <v>0</v>
      </c>
      <c r="Y238" s="63">
        <f t="shared" si="102"/>
        <v>0</v>
      </c>
      <c r="Z238" s="63">
        <f t="shared" si="102"/>
        <v>0</v>
      </c>
      <c r="AA238" s="63">
        <f t="shared" si="102"/>
        <v>0</v>
      </c>
      <c r="AB238" s="63">
        <f t="shared" si="102"/>
        <v>0</v>
      </c>
      <c r="AC238" s="63">
        <f t="shared" si="102"/>
        <v>0</v>
      </c>
      <c r="AD238" s="63">
        <f t="shared" si="102"/>
        <v>0</v>
      </c>
      <c r="AE238" s="63">
        <f t="shared" si="102"/>
        <v>0</v>
      </c>
      <c r="AF238" s="63">
        <f t="shared" si="105"/>
        <v>0</v>
      </c>
      <c r="AG238" s="58" t="str">
        <f t="shared" si="104"/>
        <v>ok</v>
      </c>
    </row>
    <row r="239" spans="1:33">
      <c r="A239" s="60">
        <v>573</v>
      </c>
      <c r="B239" s="44" t="s">
        <v>260</v>
      </c>
      <c r="C239" s="44" t="s">
        <v>261</v>
      </c>
      <c r="D239" s="44" t="s">
        <v>1085</v>
      </c>
      <c r="F239" s="79">
        <v>236184.99999999901</v>
      </c>
      <c r="G239" s="62"/>
      <c r="H239" s="63">
        <f t="shared" si="101"/>
        <v>0</v>
      </c>
      <c r="I239" s="63">
        <f t="shared" si="101"/>
        <v>0</v>
      </c>
      <c r="J239" s="63">
        <f t="shared" si="101"/>
        <v>0</v>
      </c>
      <c r="K239" s="63">
        <f t="shared" si="101"/>
        <v>0</v>
      </c>
      <c r="L239" s="63">
        <f t="shared" si="101"/>
        <v>0</v>
      </c>
      <c r="M239" s="63">
        <f t="shared" si="101"/>
        <v>0</v>
      </c>
      <c r="N239" s="63">
        <f t="shared" si="101"/>
        <v>236184.99999999901</v>
      </c>
      <c r="O239" s="63">
        <f t="shared" si="101"/>
        <v>0</v>
      </c>
      <c r="P239" s="63">
        <f t="shared" si="101"/>
        <v>0</v>
      </c>
      <c r="Q239" s="63">
        <f t="shared" si="101"/>
        <v>0</v>
      </c>
      <c r="R239" s="63">
        <f t="shared" si="102"/>
        <v>0</v>
      </c>
      <c r="S239" s="63">
        <f t="shared" si="102"/>
        <v>0</v>
      </c>
      <c r="T239" s="63">
        <f t="shared" si="102"/>
        <v>0</v>
      </c>
      <c r="U239" s="63">
        <f t="shared" si="102"/>
        <v>0</v>
      </c>
      <c r="V239" s="63">
        <f t="shared" si="102"/>
        <v>0</v>
      </c>
      <c r="W239" s="63">
        <f t="shared" si="102"/>
        <v>0</v>
      </c>
      <c r="X239" s="63">
        <f t="shared" si="102"/>
        <v>0</v>
      </c>
      <c r="Y239" s="63">
        <f t="shared" si="102"/>
        <v>0</v>
      </c>
      <c r="Z239" s="63">
        <f t="shared" si="102"/>
        <v>0</v>
      </c>
      <c r="AA239" s="63">
        <f t="shared" si="102"/>
        <v>0</v>
      </c>
      <c r="AB239" s="63">
        <f t="shared" si="102"/>
        <v>0</v>
      </c>
      <c r="AC239" s="63">
        <f t="shared" si="102"/>
        <v>0</v>
      </c>
      <c r="AD239" s="63">
        <f t="shared" si="102"/>
        <v>0</v>
      </c>
      <c r="AE239" s="63">
        <f t="shared" si="102"/>
        <v>0</v>
      </c>
      <c r="AF239" s="63">
        <f t="shared" si="105"/>
        <v>236184.99999999901</v>
      </c>
      <c r="AG239" s="58" t="str">
        <f t="shared" si="104"/>
        <v>ok</v>
      </c>
    </row>
    <row r="240" spans="1:33">
      <c r="A240" s="60">
        <v>575</v>
      </c>
      <c r="B240" s="60" t="s">
        <v>1245</v>
      </c>
      <c r="C240" s="60" t="s">
        <v>843</v>
      </c>
      <c r="D240" s="44" t="s">
        <v>644</v>
      </c>
      <c r="F240" s="79">
        <v>0</v>
      </c>
      <c r="G240" s="62"/>
      <c r="H240" s="63">
        <f t="shared" si="101"/>
        <v>0</v>
      </c>
      <c r="I240" s="63">
        <f t="shared" si="101"/>
        <v>0</v>
      </c>
      <c r="J240" s="63">
        <f t="shared" si="101"/>
        <v>0</v>
      </c>
      <c r="K240" s="63">
        <f t="shared" si="101"/>
        <v>0</v>
      </c>
      <c r="L240" s="63">
        <f t="shared" si="101"/>
        <v>0</v>
      </c>
      <c r="M240" s="63">
        <f t="shared" si="101"/>
        <v>0</v>
      </c>
      <c r="N240" s="63">
        <f t="shared" si="101"/>
        <v>0</v>
      </c>
      <c r="O240" s="63">
        <f t="shared" si="101"/>
        <v>0</v>
      </c>
      <c r="P240" s="63">
        <f t="shared" si="101"/>
        <v>0</v>
      </c>
      <c r="Q240" s="63">
        <f t="shared" si="101"/>
        <v>0</v>
      </c>
      <c r="R240" s="63">
        <f t="shared" si="102"/>
        <v>0</v>
      </c>
      <c r="S240" s="63">
        <f t="shared" si="102"/>
        <v>0</v>
      </c>
      <c r="T240" s="63">
        <f t="shared" si="102"/>
        <v>0</v>
      </c>
      <c r="U240" s="63">
        <f t="shared" si="102"/>
        <v>0</v>
      </c>
      <c r="V240" s="63">
        <f t="shared" si="102"/>
        <v>0</v>
      </c>
      <c r="W240" s="63">
        <f t="shared" si="102"/>
        <v>0</v>
      </c>
      <c r="X240" s="63">
        <f t="shared" si="102"/>
        <v>0</v>
      </c>
      <c r="Y240" s="63">
        <f t="shared" si="102"/>
        <v>0</v>
      </c>
      <c r="Z240" s="63">
        <f t="shared" si="102"/>
        <v>0</v>
      </c>
      <c r="AA240" s="63">
        <f t="shared" si="102"/>
        <v>0</v>
      </c>
      <c r="AB240" s="63">
        <f t="shared" si="102"/>
        <v>0</v>
      </c>
      <c r="AC240" s="63">
        <f t="shared" si="102"/>
        <v>0</v>
      </c>
      <c r="AD240" s="63">
        <f t="shared" si="102"/>
        <v>0</v>
      </c>
      <c r="AE240" s="63">
        <f t="shared" si="102"/>
        <v>0</v>
      </c>
      <c r="AF240" s="63">
        <f>SUM(H240:AE240)</f>
        <v>0</v>
      </c>
      <c r="AG240" s="58" t="str">
        <f t="shared" si="104"/>
        <v>ok</v>
      </c>
    </row>
    <row r="241" spans="1:33">
      <c r="A241" s="60"/>
      <c r="F241" s="76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3"/>
      <c r="AG241" s="58"/>
    </row>
    <row r="242" spans="1:33">
      <c r="A242" s="60" t="s">
        <v>1073</v>
      </c>
      <c r="F242" s="177">
        <f>SUM(F227:F240)</f>
        <v>27773572.999999899</v>
      </c>
      <c r="G242" s="64">
        <f>SUM(G227:G237)</f>
        <v>0</v>
      </c>
      <c r="H242" s="64">
        <f t="shared" ref="H242:N242" si="106">SUM(H227:H240)</f>
        <v>0</v>
      </c>
      <c r="I242" s="64">
        <f t="shared" si="106"/>
        <v>0</v>
      </c>
      <c r="J242" s="64">
        <f t="shared" si="106"/>
        <v>0</v>
      </c>
      <c r="K242" s="64">
        <f t="shared" si="106"/>
        <v>0</v>
      </c>
      <c r="L242" s="64">
        <f t="shared" si="106"/>
        <v>0</v>
      </c>
      <c r="M242" s="64">
        <f t="shared" si="106"/>
        <v>0</v>
      </c>
      <c r="N242" s="64">
        <f t="shared" si="106"/>
        <v>27773572.999999899</v>
      </c>
      <c r="O242" s="64">
        <f t="shared" ref="O242:AE242" si="107">SUM(O227:O240)</f>
        <v>0</v>
      </c>
      <c r="P242" s="64">
        <f t="shared" si="107"/>
        <v>0</v>
      </c>
      <c r="Q242" s="64">
        <f t="shared" si="107"/>
        <v>0</v>
      </c>
      <c r="R242" s="64">
        <f t="shared" si="107"/>
        <v>0</v>
      </c>
      <c r="S242" s="64">
        <f t="shared" si="107"/>
        <v>0</v>
      </c>
      <c r="T242" s="64">
        <f t="shared" si="107"/>
        <v>0</v>
      </c>
      <c r="U242" s="64">
        <f t="shared" si="107"/>
        <v>0</v>
      </c>
      <c r="V242" s="64">
        <f t="shared" si="107"/>
        <v>0</v>
      </c>
      <c r="W242" s="64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7"/>
        <v>0</v>
      </c>
      <c r="AB242" s="64">
        <f t="shared" si="107"/>
        <v>0</v>
      </c>
      <c r="AC242" s="64">
        <f t="shared" si="107"/>
        <v>0</v>
      </c>
      <c r="AD242" s="64">
        <f t="shared" si="107"/>
        <v>0</v>
      </c>
      <c r="AE242" s="64">
        <f t="shared" si="107"/>
        <v>0</v>
      </c>
      <c r="AF242" s="62">
        <f>SUM(H242:AE242)</f>
        <v>27773572.999999899</v>
      </c>
      <c r="AG242" s="58" t="str">
        <f>IF(ABS(AF242-F242)&lt;1,"ok","err")</f>
        <v>ok</v>
      </c>
    </row>
    <row r="243" spans="1:33">
      <c r="A243" s="60"/>
      <c r="W243" s="44"/>
      <c r="AG243" s="58"/>
    </row>
    <row r="244" spans="1:33" ht="14.1">
      <c r="A244" s="59" t="s">
        <v>948</v>
      </c>
      <c r="W244" s="44"/>
      <c r="AG244" s="58"/>
    </row>
    <row r="245" spans="1:33">
      <c r="A245" s="60"/>
      <c r="W245" s="44"/>
      <c r="AG245" s="58"/>
    </row>
    <row r="246" spans="1:33" ht="14.1">
      <c r="A246" s="65" t="s">
        <v>911</v>
      </c>
      <c r="W246" s="44"/>
      <c r="AG246" s="58"/>
    </row>
    <row r="247" spans="1:33">
      <c r="A247" s="60">
        <v>580</v>
      </c>
      <c r="B247" s="44" t="s">
        <v>912</v>
      </c>
      <c r="C247" s="44" t="s">
        <v>913</v>
      </c>
      <c r="D247" s="44" t="s">
        <v>63</v>
      </c>
      <c r="F247" s="76">
        <v>2397038.9999999902</v>
      </c>
      <c r="H247" s="63">
        <f t="shared" ref="H247:Q258" si="108">IF(VLOOKUP($D247,$C$6:$AE$653,H$2,)=0,0,((VLOOKUP($D247,$C$6:$AE$653,H$2,)/VLOOKUP($D247,$C$6:$AE$653,4,))*$F247))</f>
        <v>0</v>
      </c>
      <c r="I247" s="63">
        <f t="shared" si="108"/>
        <v>0</v>
      </c>
      <c r="J247" s="63">
        <f t="shared" si="108"/>
        <v>0</v>
      </c>
      <c r="K247" s="63">
        <f t="shared" si="108"/>
        <v>0</v>
      </c>
      <c r="L247" s="63">
        <f t="shared" si="108"/>
        <v>0</v>
      </c>
      <c r="M247" s="63">
        <f t="shared" si="108"/>
        <v>0</v>
      </c>
      <c r="N247" s="63">
        <f t="shared" si="108"/>
        <v>0</v>
      </c>
      <c r="O247" s="63">
        <f t="shared" si="108"/>
        <v>0</v>
      </c>
      <c r="P247" s="63">
        <f t="shared" si="108"/>
        <v>0</v>
      </c>
      <c r="Q247" s="63">
        <f t="shared" si="108"/>
        <v>0</v>
      </c>
      <c r="R247" s="63">
        <f t="shared" ref="R247:AE258" si="109">IF(VLOOKUP($D247,$C$6:$AE$653,R$2,)=0,0,((VLOOKUP($D247,$C$6:$AE$653,R$2,)/VLOOKUP($D247,$C$6:$AE$653,4,))*$F247))</f>
        <v>355546.79536342807</v>
      </c>
      <c r="S247" s="63">
        <f t="shared" si="109"/>
        <v>0</v>
      </c>
      <c r="T247" s="63">
        <f t="shared" si="109"/>
        <v>283564.99025400804</v>
      </c>
      <c r="U247" s="63">
        <f t="shared" si="109"/>
        <v>481035.82290190202</v>
      </c>
      <c r="V247" s="63">
        <f t="shared" si="109"/>
        <v>95931.746562976186</v>
      </c>
      <c r="W247" s="63">
        <f t="shared" si="109"/>
        <v>167374.56875640605</v>
      </c>
      <c r="X247" s="63">
        <f t="shared" si="109"/>
        <v>28596.913980191181</v>
      </c>
      <c r="Y247" s="63">
        <f t="shared" si="109"/>
        <v>15940.145940858454</v>
      </c>
      <c r="Z247" s="63">
        <f t="shared" si="109"/>
        <v>10191.666595246186</v>
      </c>
      <c r="AA247" s="63">
        <f t="shared" si="109"/>
        <v>925253.96734620654</v>
      </c>
      <c r="AB247" s="63">
        <f t="shared" si="109"/>
        <v>33602.38229876753</v>
      </c>
      <c r="AC247" s="63">
        <f t="shared" si="109"/>
        <v>0</v>
      </c>
      <c r="AD247" s="63">
        <f t="shared" si="109"/>
        <v>0</v>
      </c>
      <c r="AE247" s="63">
        <f t="shared" si="109"/>
        <v>0</v>
      </c>
      <c r="AF247" s="63">
        <f t="shared" ref="AF247:AF258" si="110">SUM(H247:AE247)</f>
        <v>2397038.9999999898</v>
      </c>
      <c r="AG247" s="58" t="str">
        <f t="shared" ref="AG247:AG258" si="111">IF(ABS(AF247-F247)&lt;1,"ok","err")</f>
        <v>ok</v>
      </c>
    </row>
    <row r="248" spans="1:33">
      <c r="A248" s="60">
        <v>581</v>
      </c>
      <c r="B248" s="44" t="s">
        <v>914</v>
      </c>
      <c r="C248" s="44" t="s">
        <v>915</v>
      </c>
      <c r="D248" s="44" t="s">
        <v>863</v>
      </c>
      <c r="F248" s="79">
        <v>292953</v>
      </c>
      <c r="H248" s="63">
        <f t="shared" si="108"/>
        <v>0</v>
      </c>
      <c r="I248" s="63">
        <f t="shared" si="108"/>
        <v>0</v>
      </c>
      <c r="J248" s="63">
        <f t="shared" si="108"/>
        <v>0</v>
      </c>
      <c r="K248" s="63">
        <f t="shared" si="108"/>
        <v>0</v>
      </c>
      <c r="L248" s="63">
        <f t="shared" si="108"/>
        <v>0</v>
      </c>
      <c r="M248" s="63">
        <f t="shared" si="108"/>
        <v>0</v>
      </c>
      <c r="N248" s="63">
        <f t="shared" si="108"/>
        <v>0</v>
      </c>
      <c r="O248" s="63">
        <f t="shared" si="108"/>
        <v>0</v>
      </c>
      <c r="P248" s="63">
        <f t="shared" si="108"/>
        <v>0</v>
      </c>
      <c r="Q248" s="63">
        <f t="shared" si="108"/>
        <v>0</v>
      </c>
      <c r="R248" s="63">
        <f t="shared" si="109"/>
        <v>292953</v>
      </c>
      <c r="S248" s="63">
        <f t="shared" si="109"/>
        <v>0</v>
      </c>
      <c r="T248" s="63">
        <f t="shared" si="109"/>
        <v>0</v>
      </c>
      <c r="U248" s="63">
        <f t="shared" si="109"/>
        <v>0</v>
      </c>
      <c r="V248" s="63">
        <f t="shared" si="109"/>
        <v>0</v>
      </c>
      <c r="W248" s="63">
        <f t="shared" si="109"/>
        <v>0</v>
      </c>
      <c r="X248" s="63">
        <f t="shared" si="109"/>
        <v>0</v>
      </c>
      <c r="Y248" s="63">
        <f t="shared" si="109"/>
        <v>0</v>
      </c>
      <c r="Z248" s="63">
        <f t="shared" si="109"/>
        <v>0</v>
      </c>
      <c r="AA248" s="63">
        <f t="shared" si="109"/>
        <v>0</v>
      </c>
      <c r="AB248" s="63">
        <f t="shared" si="109"/>
        <v>0</v>
      </c>
      <c r="AC248" s="63">
        <f t="shared" si="109"/>
        <v>0</v>
      </c>
      <c r="AD248" s="63">
        <f t="shared" si="109"/>
        <v>0</v>
      </c>
      <c r="AE248" s="63">
        <f t="shared" si="109"/>
        <v>0</v>
      </c>
      <c r="AF248" s="63">
        <f t="shared" si="110"/>
        <v>292953</v>
      </c>
      <c r="AG248" s="58" t="str">
        <f t="shared" si="111"/>
        <v>ok</v>
      </c>
    </row>
    <row r="249" spans="1:33">
      <c r="A249" s="60">
        <v>582</v>
      </c>
      <c r="B249" s="44" t="s">
        <v>1068</v>
      </c>
      <c r="C249" s="44" t="s">
        <v>1074</v>
      </c>
      <c r="D249" s="44" t="s">
        <v>863</v>
      </c>
      <c r="F249" s="79">
        <v>1764640</v>
      </c>
      <c r="H249" s="63">
        <f t="shared" si="108"/>
        <v>0</v>
      </c>
      <c r="I249" s="63">
        <f t="shared" si="108"/>
        <v>0</v>
      </c>
      <c r="J249" s="63">
        <f t="shared" si="108"/>
        <v>0</v>
      </c>
      <c r="K249" s="63">
        <f t="shared" si="108"/>
        <v>0</v>
      </c>
      <c r="L249" s="63">
        <f t="shared" si="108"/>
        <v>0</v>
      </c>
      <c r="M249" s="63">
        <f t="shared" si="108"/>
        <v>0</v>
      </c>
      <c r="N249" s="63">
        <f t="shared" si="108"/>
        <v>0</v>
      </c>
      <c r="O249" s="63">
        <f t="shared" si="108"/>
        <v>0</v>
      </c>
      <c r="P249" s="63">
        <f t="shared" si="108"/>
        <v>0</v>
      </c>
      <c r="Q249" s="63">
        <f t="shared" si="108"/>
        <v>0</v>
      </c>
      <c r="R249" s="63">
        <f t="shared" si="109"/>
        <v>1764640</v>
      </c>
      <c r="S249" s="63">
        <f t="shared" si="109"/>
        <v>0</v>
      </c>
      <c r="T249" s="63">
        <f t="shared" si="109"/>
        <v>0</v>
      </c>
      <c r="U249" s="63">
        <f t="shared" si="109"/>
        <v>0</v>
      </c>
      <c r="V249" s="63">
        <f t="shared" si="109"/>
        <v>0</v>
      </c>
      <c r="W249" s="63">
        <f t="shared" si="109"/>
        <v>0</v>
      </c>
      <c r="X249" s="63">
        <f t="shared" si="109"/>
        <v>0</v>
      </c>
      <c r="Y249" s="63">
        <f t="shared" si="109"/>
        <v>0</v>
      </c>
      <c r="Z249" s="63">
        <f t="shared" si="109"/>
        <v>0</v>
      </c>
      <c r="AA249" s="63">
        <f t="shared" si="109"/>
        <v>0</v>
      </c>
      <c r="AB249" s="63">
        <f t="shared" si="109"/>
        <v>0</v>
      </c>
      <c r="AC249" s="63">
        <f t="shared" si="109"/>
        <v>0</v>
      </c>
      <c r="AD249" s="63">
        <f t="shared" si="109"/>
        <v>0</v>
      </c>
      <c r="AE249" s="63">
        <f t="shared" si="109"/>
        <v>0</v>
      </c>
      <c r="AF249" s="63">
        <f t="shared" si="110"/>
        <v>1764640</v>
      </c>
      <c r="AG249" s="58" t="str">
        <f t="shared" si="111"/>
        <v>ok</v>
      </c>
    </row>
    <row r="250" spans="1:33">
      <c r="A250" s="60">
        <v>583</v>
      </c>
      <c r="B250" s="44" t="s">
        <v>916</v>
      </c>
      <c r="C250" s="44" t="s">
        <v>917</v>
      </c>
      <c r="D250" s="44" t="s">
        <v>866</v>
      </c>
      <c r="F250" s="79">
        <v>5783699.9999999898</v>
      </c>
      <c r="H250" s="63">
        <f t="shared" si="108"/>
        <v>0</v>
      </c>
      <c r="I250" s="63">
        <f t="shared" si="108"/>
        <v>0</v>
      </c>
      <c r="J250" s="63">
        <f t="shared" si="108"/>
        <v>0</v>
      </c>
      <c r="K250" s="63">
        <f t="shared" si="108"/>
        <v>0</v>
      </c>
      <c r="L250" s="63">
        <f t="shared" si="108"/>
        <v>0</v>
      </c>
      <c r="M250" s="63">
        <f t="shared" si="108"/>
        <v>0</v>
      </c>
      <c r="N250" s="63">
        <f t="shared" si="108"/>
        <v>0</v>
      </c>
      <c r="O250" s="63">
        <f t="shared" si="108"/>
        <v>0</v>
      </c>
      <c r="P250" s="63">
        <f t="shared" si="108"/>
        <v>0</v>
      </c>
      <c r="Q250" s="63">
        <f t="shared" si="108"/>
        <v>0</v>
      </c>
      <c r="R250" s="63">
        <f t="shared" si="109"/>
        <v>0</v>
      </c>
      <c r="S250" s="63">
        <f t="shared" si="109"/>
        <v>0</v>
      </c>
      <c r="T250" s="63">
        <f t="shared" si="109"/>
        <v>1468727.3529239974</v>
      </c>
      <c r="U250" s="63">
        <f t="shared" si="109"/>
        <v>2609937.8870759956</v>
      </c>
      <c r="V250" s="63">
        <f t="shared" si="109"/>
        <v>613983.01707599894</v>
      </c>
      <c r="W250" s="63">
        <f t="shared" si="109"/>
        <v>1091051.742923998</v>
      </c>
      <c r="X250" s="63">
        <f t="shared" si="109"/>
        <v>0</v>
      </c>
      <c r="Y250" s="63">
        <f t="shared" si="109"/>
        <v>0</v>
      </c>
      <c r="Z250" s="63">
        <f t="shared" si="109"/>
        <v>0</v>
      </c>
      <c r="AA250" s="63">
        <f t="shared" si="109"/>
        <v>0</v>
      </c>
      <c r="AB250" s="63">
        <f t="shared" si="109"/>
        <v>0</v>
      </c>
      <c r="AC250" s="63">
        <f t="shared" si="109"/>
        <v>0</v>
      </c>
      <c r="AD250" s="63">
        <f t="shared" si="109"/>
        <v>0</v>
      </c>
      <c r="AE250" s="63">
        <f t="shared" si="109"/>
        <v>0</v>
      </c>
      <c r="AF250" s="63">
        <f t="shared" si="110"/>
        <v>5783699.9999999898</v>
      </c>
      <c r="AG250" s="58" t="str">
        <f t="shared" si="111"/>
        <v>ok</v>
      </c>
    </row>
    <row r="251" spans="1:33">
      <c r="A251" s="60">
        <v>584</v>
      </c>
      <c r="B251" s="44" t="s">
        <v>918</v>
      </c>
      <c r="C251" s="44" t="s">
        <v>919</v>
      </c>
      <c r="D251" s="44" t="s">
        <v>869</v>
      </c>
      <c r="F251" s="79">
        <v>6320821</v>
      </c>
      <c r="H251" s="63">
        <f t="shared" si="108"/>
        <v>0</v>
      </c>
      <c r="I251" s="63">
        <f t="shared" si="108"/>
        <v>0</v>
      </c>
      <c r="J251" s="63">
        <f t="shared" si="108"/>
        <v>0</v>
      </c>
      <c r="K251" s="63">
        <f t="shared" si="108"/>
        <v>0</v>
      </c>
      <c r="L251" s="63">
        <f t="shared" si="108"/>
        <v>0</v>
      </c>
      <c r="M251" s="63">
        <f t="shared" si="108"/>
        <v>0</v>
      </c>
      <c r="N251" s="63">
        <f t="shared" si="108"/>
        <v>0</v>
      </c>
      <c r="O251" s="63">
        <f t="shared" si="108"/>
        <v>0</v>
      </c>
      <c r="P251" s="63">
        <f t="shared" si="108"/>
        <v>0</v>
      </c>
      <c r="Q251" s="63">
        <f t="shared" si="108"/>
        <v>0</v>
      </c>
      <c r="R251" s="63">
        <f t="shared" si="109"/>
        <v>0</v>
      </c>
      <c r="S251" s="63">
        <f t="shared" si="109"/>
        <v>0</v>
      </c>
      <c r="T251" s="63">
        <f t="shared" si="109"/>
        <v>2234492.2677565799</v>
      </c>
      <c r="U251" s="63">
        <f t="shared" si="109"/>
        <v>3332254.7869434203</v>
      </c>
      <c r="V251" s="63">
        <f t="shared" si="109"/>
        <v>302685.28164341999</v>
      </c>
      <c r="W251" s="63">
        <f t="shared" si="109"/>
        <v>451388.66365657991</v>
      </c>
      <c r="X251" s="63">
        <f t="shared" si="109"/>
        <v>0</v>
      </c>
      <c r="Y251" s="63">
        <f t="shared" si="109"/>
        <v>0</v>
      </c>
      <c r="Z251" s="63">
        <f t="shared" si="109"/>
        <v>0</v>
      </c>
      <c r="AA251" s="63">
        <f t="shared" si="109"/>
        <v>0</v>
      </c>
      <c r="AB251" s="63">
        <f t="shared" si="109"/>
        <v>0</v>
      </c>
      <c r="AC251" s="63">
        <f t="shared" si="109"/>
        <v>0</v>
      </c>
      <c r="AD251" s="63">
        <f t="shared" si="109"/>
        <v>0</v>
      </c>
      <c r="AE251" s="63">
        <f t="shared" si="109"/>
        <v>0</v>
      </c>
      <c r="AF251" s="63">
        <f t="shared" si="110"/>
        <v>6320821.0000000009</v>
      </c>
      <c r="AG251" s="58" t="str">
        <f t="shared" si="111"/>
        <v>ok</v>
      </c>
    </row>
    <row r="252" spans="1:33">
      <c r="A252" s="60">
        <v>585</v>
      </c>
      <c r="B252" s="44" t="s">
        <v>920</v>
      </c>
      <c r="C252" s="44" t="s">
        <v>921</v>
      </c>
      <c r="D252" s="44" t="s">
        <v>877</v>
      </c>
      <c r="F252" s="79">
        <v>0</v>
      </c>
      <c r="H252" s="63">
        <f t="shared" si="108"/>
        <v>0</v>
      </c>
      <c r="I252" s="63">
        <f t="shared" si="108"/>
        <v>0</v>
      </c>
      <c r="J252" s="63">
        <f t="shared" si="108"/>
        <v>0</v>
      </c>
      <c r="K252" s="63">
        <f t="shared" si="108"/>
        <v>0</v>
      </c>
      <c r="L252" s="63">
        <f t="shared" si="108"/>
        <v>0</v>
      </c>
      <c r="M252" s="63">
        <f t="shared" si="108"/>
        <v>0</v>
      </c>
      <c r="N252" s="63">
        <f t="shared" si="108"/>
        <v>0</v>
      </c>
      <c r="O252" s="63">
        <f t="shared" si="108"/>
        <v>0</v>
      </c>
      <c r="P252" s="63">
        <f t="shared" si="108"/>
        <v>0</v>
      </c>
      <c r="Q252" s="63">
        <f t="shared" si="108"/>
        <v>0</v>
      </c>
      <c r="R252" s="63">
        <f t="shared" si="109"/>
        <v>0</v>
      </c>
      <c r="S252" s="63">
        <f t="shared" si="109"/>
        <v>0</v>
      </c>
      <c r="T252" s="63">
        <f t="shared" si="109"/>
        <v>0</v>
      </c>
      <c r="U252" s="63">
        <f t="shared" si="109"/>
        <v>0</v>
      </c>
      <c r="V252" s="63">
        <f t="shared" si="109"/>
        <v>0</v>
      </c>
      <c r="W252" s="63">
        <f t="shared" si="109"/>
        <v>0</v>
      </c>
      <c r="X252" s="63">
        <f t="shared" si="109"/>
        <v>0</v>
      </c>
      <c r="Y252" s="63">
        <f t="shared" si="109"/>
        <v>0</v>
      </c>
      <c r="Z252" s="63">
        <f t="shared" si="109"/>
        <v>0</v>
      </c>
      <c r="AA252" s="63">
        <f t="shared" si="109"/>
        <v>0</v>
      </c>
      <c r="AB252" s="63">
        <f t="shared" si="109"/>
        <v>0</v>
      </c>
      <c r="AC252" s="63">
        <f t="shared" si="109"/>
        <v>0</v>
      </c>
      <c r="AD252" s="63">
        <f t="shared" si="109"/>
        <v>0</v>
      </c>
      <c r="AE252" s="63">
        <f t="shared" si="109"/>
        <v>0</v>
      </c>
      <c r="AF252" s="63">
        <f t="shared" si="110"/>
        <v>0</v>
      </c>
      <c r="AG252" s="58" t="str">
        <f t="shared" si="111"/>
        <v>ok</v>
      </c>
    </row>
    <row r="253" spans="1:33">
      <c r="A253" s="60">
        <v>586</v>
      </c>
      <c r="B253" s="44" t="s">
        <v>922</v>
      </c>
      <c r="C253" s="44" t="s">
        <v>923</v>
      </c>
      <c r="D253" s="44" t="s">
        <v>874</v>
      </c>
      <c r="F253" s="79">
        <v>7932375</v>
      </c>
      <c r="H253" s="63">
        <f t="shared" si="108"/>
        <v>0</v>
      </c>
      <c r="I253" s="63">
        <f t="shared" si="108"/>
        <v>0</v>
      </c>
      <c r="J253" s="63">
        <f t="shared" si="108"/>
        <v>0</v>
      </c>
      <c r="K253" s="63">
        <f t="shared" si="108"/>
        <v>0</v>
      </c>
      <c r="L253" s="63">
        <f t="shared" si="108"/>
        <v>0</v>
      </c>
      <c r="M253" s="63">
        <f t="shared" si="108"/>
        <v>0</v>
      </c>
      <c r="N253" s="63">
        <f t="shared" si="108"/>
        <v>0</v>
      </c>
      <c r="O253" s="63">
        <f t="shared" si="108"/>
        <v>0</v>
      </c>
      <c r="P253" s="63">
        <f t="shared" si="108"/>
        <v>0</v>
      </c>
      <c r="Q253" s="63">
        <f t="shared" si="108"/>
        <v>0</v>
      </c>
      <c r="R253" s="63">
        <f t="shared" si="109"/>
        <v>0</v>
      </c>
      <c r="S253" s="63">
        <f t="shared" si="109"/>
        <v>0</v>
      </c>
      <c r="T253" s="63">
        <f t="shared" si="109"/>
        <v>0</v>
      </c>
      <c r="U253" s="63">
        <f t="shared" si="109"/>
        <v>0</v>
      </c>
      <c r="V253" s="63">
        <f t="shared" si="109"/>
        <v>0</v>
      </c>
      <c r="W253" s="63">
        <f t="shared" si="109"/>
        <v>0</v>
      </c>
      <c r="X253" s="63">
        <f t="shared" si="109"/>
        <v>0</v>
      </c>
      <c r="Y253" s="63">
        <f t="shared" si="109"/>
        <v>0</v>
      </c>
      <c r="Z253" s="63">
        <f t="shared" si="109"/>
        <v>0</v>
      </c>
      <c r="AA253" s="63">
        <f t="shared" si="109"/>
        <v>7932375</v>
      </c>
      <c r="AB253" s="63">
        <f t="shared" si="109"/>
        <v>0</v>
      </c>
      <c r="AC253" s="63">
        <f t="shared" si="109"/>
        <v>0</v>
      </c>
      <c r="AD253" s="63">
        <f t="shared" si="109"/>
        <v>0</v>
      </c>
      <c r="AE253" s="63">
        <f t="shared" si="109"/>
        <v>0</v>
      </c>
      <c r="AF253" s="63">
        <f t="shared" si="110"/>
        <v>7932375</v>
      </c>
      <c r="AG253" s="58" t="str">
        <f t="shared" si="111"/>
        <v>ok</v>
      </c>
    </row>
    <row r="254" spans="1:33">
      <c r="A254" s="60">
        <v>586</v>
      </c>
      <c r="B254" s="44" t="s">
        <v>26</v>
      </c>
      <c r="C254" s="44" t="s">
        <v>27</v>
      </c>
      <c r="D254" s="44" t="s">
        <v>41</v>
      </c>
      <c r="F254" s="79">
        <v>0</v>
      </c>
      <c r="H254" s="63">
        <f t="shared" si="108"/>
        <v>0</v>
      </c>
      <c r="I254" s="63">
        <f t="shared" si="108"/>
        <v>0</v>
      </c>
      <c r="J254" s="63">
        <f t="shared" si="108"/>
        <v>0</v>
      </c>
      <c r="K254" s="63">
        <f t="shared" si="108"/>
        <v>0</v>
      </c>
      <c r="L254" s="63">
        <f t="shared" si="108"/>
        <v>0</v>
      </c>
      <c r="M254" s="63">
        <f t="shared" si="108"/>
        <v>0</v>
      </c>
      <c r="N254" s="63">
        <f t="shared" si="108"/>
        <v>0</v>
      </c>
      <c r="O254" s="63">
        <f t="shared" si="108"/>
        <v>0</v>
      </c>
      <c r="P254" s="63">
        <f t="shared" si="108"/>
        <v>0</v>
      </c>
      <c r="Q254" s="63">
        <f t="shared" si="108"/>
        <v>0</v>
      </c>
      <c r="R254" s="63">
        <f t="shared" si="109"/>
        <v>0</v>
      </c>
      <c r="S254" s="63">
        <f t="shared" si="109"/>
        <v>0</v>
      </c>
      <c r="T254" s="63">
        <f t="shared" si="109"/>
        <v>0</v>
      </c>
      <c r="U254" s="63">
        <f t="shared" si="109"/>
        <v>0</v>
      </c>
      <c r="V254" s="63">
        <f t="shared" si="109"/>
        <v>0</v>
      </c>
      <c r="W254" s="63">
        <f t="shared" si="109"/>
        <v>0</v>
      </c>
      <c r="X254" s="63">
        <f t="shared" si="109"/>
        <v>0</v>
      </c>
      <c r="Y254" s="63">
        <f t="shared" si="109"/>
        <v>0</v>
      </c>
      <c r="Z254" s="63">
        <f t="shared" si="109"/>
        <v>0</v>
      </c>
      <c r="AA254" s="63">
        <f t="shared" si="109"/>
        <v>0</v>
      </c>
      <c r="AB254" s="63">
        <f t="shared" si="109"/>
        <v>0</v>
      </c>
      <c r="AC254" s="63">
        <f t="shared" si="109"/>
        <v>0</v>
      </c>
      <c r="AD254" s="63">
        <f t="shared" si="109"/>
        <v>0</v>
      </c>
      <c r="AE254" s="63">
        <f t="shared" si="109"/>
        <v>0</v>
      </c>
      <c r="AF254" s="63">
        <f t="shared" si="110"/>
        <v>0</v>
      </c>
      <c r="AG254" s="58" t="str">
        <f t="shared" si="111"/>
        <v>ok</v>
      </c>
    </row>
    <row r="255" spans="1:33">
      <c r="A255" s="60">
        <v>587</v>
      </c>
      <c r="B255" s="44" t="s">
        <v>924</v>
      </c>
      <c r="C255" s="44" t="s">
        <v>925</v>
      </c>
      <c r="D255" s="44" t="s">
        <v>859</v>
      </c>
      <c r="F255" s="79">
        <v>0</v>
      </c>
      <c r="H255" s="63">
        <f t="shared" si="108"/>
        <v>0</v>
      </c>
      <c r="I255" s="63">
        <f t="shared" si="108"/>
        <v>0</v>
      </c>
      <c r="J255" s="63">
        <f t="shared" si="108"/>
        <v>0</v>
      </c>
      <c r="K255" s="63">
        <f t="shared" si="108"/>
        <v>0</v>
      </c>
      <c r="L255" s="63">
        <f t="shared" si="108"/>
        <v>0</v>
      </c>
      <c r="M255" s="63">
        <f t="shared" si="108"/>
        <v>0</v>
      </c>
      <c r="N255" s="63">
        <f t="shared" si="108"/>
        <v>0</v>
      </c>
      <c r="O255" s="63">
        <f t="shared" si="108"/>
        <v>0</v>
      </c>
      <c r="P255" s="63">
        <f t="shared" si="108"/>
        <v>0</v>
      </c>
      <c r="Q255" s="63">
        <f t="shared" si="108"/>
        <v>0</v>
      </c>
      <c r="R255" s="63">
        <f t="shared" si="109"/>
        <v>0</v>
      </c>
      <c r="S255" s="63">
        <f t="shared" si="109"/>
        <v>0</v>
      </c>
      <c r="T255" s="63">
        <f t="shared" si="109"/>
        <v>0</v>
      </c>
      <c r="U255" s="63">
        <f t="shared" si="109"/>
        <v>0</v>
      </c>
      <c r="V255" s="63">
        <f t="shared" si="109"/>
        <v>0</v>
      </c>
      <c r="W255" s="63">
        <f t="shared" si="109"/>
        <v>0</v>
      </c>
      <c r="X255" s="63">
        <f t="shared" si="109"/>
        <v>0</v>
      </c>
      <c r="Y255" s="63">
        <f t="shared" si="109"/>
        <v>0</v>
      </c>
      <c r="Z255" s="63">
        <f t="shared" si="109"/>
        <v>0</v>
      </c>
      <c r="AA255" s="63">
        <f t="shared" si="109"/>
        <v>0</v>
      </c>
      <c r="AB255" s="63">
        <f t="shared" si="109"/>
        <v>0</v>
      </c>
      <c r="AC255" s="63">
        <f t="shared" si="109"/>
        <v>0</v>
      </c>
      <c r="AD255" s="63">
        <f t="shared" si="109"/>
        <v>0</v>
      </c>
      <c r="AE255" s="63">
        <f t="shared" si="109"/>
        <v>0</v>
      </c>
      <c r="AF255" s="63">
        <f t="shared" si="110"/>
        <v>0</v>
      </c>
      <c r="AG255" s="58" t="str">
        <f t="shared" si="111"/>
        <v>ok</v>
      </c>
    </row>
    <row r="256" spans="1:33">
      <c r="A256" s="60">
        <v>588</v>
      </c>
      <c r="B256" s="44" t="s">
        <v>926</v>
      </c>
      <c r="C256" s="44" t="s">
        <v>927</v>
      </c>
      <c r="D256" s="44" t="s">
        <v>859</v>
      </c>
      <c r="F256" s="79">
        <v>7395817</v>
      </c>
      <c r="H256" s="63">
        <f t="shared" si="108"/>
        <v>0</v>
      </c>
      <c r="I256" s="63">
        <f t="shared" si="108"/>
        <v>0</v>
      </c>
      <c r="J256" s="63">
        <f t="shared" si="108"/>
        <v>0</v>
      </c>
      <c r="K256" s="63">
        <f t="shared" si="108"/>
        <v>0</v>
      </c>
      <c r="L256" s="63">
        <f t="shared" si="108"/>
        <v>0</v>
      </c>
      <c r="M256" s="63">
        <f t="shared" si="108"/>
        <v>0</v>
      </c>
      <c r="N256" s="63">
        <f t="shared" si="108"/>
        <v>0</v>
      </c>
      <c r="O256" s="63">
        <f t="shared" si="108"/>
        <v>0</v>
      </c>
      <c r="P256" s="63">
        <f t="shared" si="108"/>
        <v>0</v>
      </c>
      <c r="Q256" s="63">
        <f t="shared" si="108"/>
        <v>0</v>
      </c>
      <c r="R256" s="63">
        <f t="shared" si="109"/>
        <v>922270.9075843629</v>
      </c>
      <c r="S256" s="63">
        <f t="shared" si="109"/>
        <v>0</v>
      </c>
      <c r="T256" s="63">
        <f t="shared" si="109"/>
        <v>1415850.633569998</v>
      </c>
      <c r="U256" s="63">
        <f t="shared" si="109"/>
        <v>2316938.797932785</v>
      </c>
      <c r="V256" s="63">
        <f t="shared" si="109"/>
        <v>395035.24698476511</v>
      </c>
      <c r="W256" s="63">
        <f t="shared" si="109"/>
        <v>675018.54381083243</v>
      </c>
      <c r="X256" s="63">
        <f t="shared" si="109"/>
        <v>483940.42690820392</v>
      </c>
      <c r="Y256" s="63">
        <f t="shared" si="109"/>
        <v>269752.22001022863</v>
      </c>
      <c r="Z256" s="63">
        <f t="shared" si="109"/>
        <v>172471.73895847585</v>
      </c>
      <c r="AA256" s="63">
        <f t="shared" si="109"/>
        <v>175891.4181246676</v>
      </c>
      <c r="AB256" s="63">
        <f t="shared" si="109"/>
        <v>568647.06611568155</v>
      </c>
      <c r="AC256" s="63">
        <f t="shared" si="109"/>
        <v>0</v>
      </c>
      <c r="AD256" s="63">
        <f t="shared" si="109"/>
        <v>0</v>
      </c>
      <c r="AE256" s="63">
        <f t="shared" si="109"/>
        <v>0</v>
      </c>
      <c r="AF256" s="63">
        <f t="shared" si="110"/>
        <v>7395817</v>
      </c>
      <c r="AG256" s="58" t="str">
        <f t="shared" si="111"/>
        <v>ok</v>
      </c>
    </row>
    <row r="257" spans="1:33">
      <c r="A257" s="60">
        <v>588</v>
      </c>
      <c r="B257" s="44" t="s">
        <v>171</v>
      </c>
      <c r="C257" s="44" t="s">
        <v>117</v>
      </c>
      <c r="D257" s="44" t="s">
        <v>859</v>
      </c>
      <c r="F257" s="79">
        <v>0</v>
      </c>
      <c r="H257" s="63">
        <f t="shared" si="108"/>
        <v>0</v>
      </c>
      <c r="I257" s="63">
        <f t="shared" si="108"/>
        <v>0</v>
      </c>
      <c r="J257" s="63">
        <f t="shared" si="108"/>
        <v>0</v>
      </c>
      <c r="K257" s="63">
        <f t="shared" si="108"/>
        <v>0</v>
      </c>
      <c r="L257" s="63">
        <f t="shared" si="108"/>
        <v>0</v>
      </c>
      <c r="M257" s="63">
        <f t="shared" si="108"/>
        <v>0</v>
      </c>
      <c r="N257" s="63">
        <f t="shared" si="108"/>
        <v>0</v>
      </c>
      <c r="O257" s="63">
        <f t="shared" si="108"/>
        <v>0</v>
      </c>
      <c r="P257" s="63">
        <f t="shared" si="108"/>
        <v>0</v>
      </c>
      <c r="Q257" s="63">
        <f t="shared" si="108"/>
        <v>0</v>
      </c>
      <c r="R257" s="63">
        <f t="shared" si="109"/>
        <v>0</v>
      </c>
      <c r="S257" s="63">
        <f t="shared" si="109"/>
        <v>0</v>
      </c>
      <c r="T257" s="63">
        <f t="shared" si="109"/>
        <v>0</v>
      </c>
      <c r="U257" s="63">
        <f t="shared" si="109"/>
        <v>0</v>
      </c>
      <c r="V257" s="63">
        <f t="shared" si="109"/>
        <v>0</v>
      </c>
      <c r="W257" s="63">
        <f t="shared" si="109"/>
        <v>0</v>
      </c>
      <c r="X257" s="63">
        <f t="shared" si="109"/>
        <v>0</v>
      </c>
      <c r="Y257" s="63">
        <f t="shared" si="109"/>
        <v>0</v>
      </c>
      <c r="Z257" s="63">
        <f t="shared" si="109"/>
        <v>0</v>
      </c>
      <c r="AA257" s="63">
        <f t="shared" si="109"/>
        <v>0</v>
      </c>
      <c r="AB257" s="63">
        <f t="shared" si="109"/>
        <v>0</v>
      </c>
      <c r="AC257" s="63">
        <f t="shared" si="109"/>
        <v>0</v>
      </c>
      <c r="AD257" s="63">
        <f t="shared" si="109"/>
        <v>0</v>
      </c>
      <c r="AE257" s="63">
        <f t="shared" si="109"/>
        <v>0</v>
      </c>
      <c r="AF257" s="63">
        <f t="shared" si="110"/>
        <v>0</v>
      </c>
      <c r="AG257" s="58" t="str">
        <f t="shared" si="111"/>
        <v>ok</v>
      </c>
    </row>
    <row r="258" spans="1:33">
      <c r="A258" s="60">
        <v>589</v>
      </c>
      <c r="B258" s="44" t="s">
        <v>928</v>
      </c>
      <c r="C258" s="44" t="s">
        <v>929</v>
      </c>
      <c r="D258" s="44" t="s">
        <v>859</v>
      </c>
      <c r="F258" s="79">
        <v>35725</v>
      </c>
      <c r="H258" s="63">
        <f t="shared" si="108"/>
        <v>0</v>
      </c>
      <c r="I258" s="63">
        <f t="shared" si="108"/>
        <v>0</v>
      </c>
      <c r="J258" s="63">
        <f t="shared" si="108"/>
        <v>0</v>
      </c>
      <c r="K258" s="63">
        <f t="shared" si="108"/>
        <v>0</v>
      </c>
      <c r="L258" s="63">
        <f t="shared" si="108"/>
        <v>0</v>
      </c>
      <c r="M258" s="63">
        <f t="shared" si="108"/>
        <v>0</v>
      </c>
      <c r="N258" s="63">
        <f t="shared" si="108"/>
        <v>0</v>
      </c>
      <c r="O258" s="63">
        <f t="shared" si="108"/>
        <v>0</v>
      </c>
      <c r="P258" s="63">
        <f t="shared" si="108"/>
        <v>0</v>
      </c>
      <c r="Q258" s="63">
        <f t="shared" si="108"/>
        <v>0</v>
      </c>
      <c r="R258" s="63">
        <f t="shared" si="109"/>
        <v>4454.9680141425033</v>
      </c>
      <c r="S258" s="63">
        <f t="shared" si="109"/>
        <v>0</v>
      </c>
      <c r="T258" s="63">
        <f t="shared" si="109"/>
        <v>6839.1719108636917</v>
      </c>
      <c r="U258" s="63">
        <f t="shared" si="109"/>
        <v>11191.818098818392</v>
      </c>
      <c r="V258" s="63">
        <f t="shared" si="109"/>
        <v>1908.1913733845408</v>
      </c>
      <c r="W258" s="63">
        <f t="shared" si="109"/>
        <v>3260.6319866543467</v>
      </c>
      <c r="X258" s="63">
        <f t="shared" si="109"/>
        <v>2337.6419064040638</v>
      </c>
      <c r="Y258" s="63">
        <f t="shared" si="109"/>
        <v>1303.0200801162898</v>
      </c>
      <c r="Z258" s="63">
        <f t="shared" si="109"/>
        <v>833.11321444156204</v>
      </c>
      <c r="AA258" s="63">
        <f t="shared" si="109"/>
        <v>849.6317462294902</v>
      </c>
      <c r="AB258" s="63">
        <f t="shared" si="109"/>
        <v>2746.8116689451244</v>
      </c>
      <c r="AC258" s="63">
        <f t="shared" si="109"/>
        <v>0</v>
      </c>
      <c r="AD258" s="63">
        <f t="shared" si="109"/>
        <v>0</v>
      </c>
      <c r="AE258" s="63">
        <f t="shared" si="109"/>
        <v>0</v>
      </c>
      <c r="AF258" s="63">
        <f t="shared" si="110"/>
        <v>35725.000000000007</v>
      </c>
      <c r="AG258" s="58" t="str">
        <f t="shared" si="111"/>
        <v>ok</v>
      </c>
    </row>
    <row r="259" spans="1:33">
      <c r="A259" s="60"/>
      <c r="F259" s="79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G259" s="58"/>
    </row>
    <row r="260" spans="1:33">
      <c r="A260" s="60" t="s">
        <v>930</v>
      </c>
      <c r="C260" s="44" t="s">
        <v>931</v>
      </c>
      <c r="F260" s="76">
        <f t="shared" ref="F260:M260" si="112">SUM(F247:F259)</f>
        <v>31923069.999999981</v>
      </c>
      <c r="G260" s="62">
        <f t="shared" si="112"/>
        <v>0</v>
      </c>
      <c r="H260" s="62">
        <f t="shared" si="112"/>
        <v>0</v>
      </c>
      <c r="I260" s="62">
        <f t="shared" si="112"/>
        <v>0</v>
      </c>
      <c r="J260" s="62">
        <f t="shared" si="112"/>
        <v>0</v>
      </c>
      <c r="K260" s="62">
        <f t="shared" si="112"/>
        <v>0</v>
      </c>
      <c r="L260" s="62">
        <f t="shared" si="112"/>
        <v>0</v>
      </c>
      <c r="M260" s="62">
        <f t="shared" si="112"/>
        <v>0</v>
      </c>
      <c r="N260" s="62">
        <f>SUM(N247:N259)</f>
        <v>0</v>
      </c>
      <c r="O260" s="62">
        <f>SUM(O247:O259)</f>
        <v>0</v>
      </c>
      <c r="P260" s="62">
        <f>SUM(P247:P259)</f>
        <v>0</v>
      </c>
      <c r="Q260" s="62">
        <f t="shared" ref="Q260:AB260" si="113">SUM(Q247:Q259)</f>
        <v>0</v>
      </c>
      <c r="R260" s="62">
        <f t="shared" si="113"/>
        <v>3339865.6709619332</v>
      </c>
      <c r="S260" s="62">
        <f t="shared" si="113"/>
        <v>0</v>
      </c>
      <c r="T260" s="62">
        <f t="shared" si="113"/>
        <v>5409474.4164154464</v>
      </c>
      <c r="U260" s="62">
        <f t="shared" si="113"/>
        <v>8751359.1129529215</v>
      </c>
      <c r="V260" s="62">
        <f t="shared" si="113"/>
        <v>1409543.4836405448</v>
      </c>
      <c r="W260" s="62">
        <f t="shared" si="113"/>
        <v>2388094.1511344705</v>
      </c>
      <c r="X260" s="62">
        <f t="shared" si="113"/>
        <v>514874.98279479914</v>
      </c>
      <c r="Y260" s="62">
        <f t="shared" si="113"/>
        <v>286995.38603120338</v>
      </c>
      <c r="Z260" s="62">
        <f t="shared" si="113"/>
        <v>183496.5187681636</v>
      </c>
      <c r="AA260" s="62">
        <f t="shared" si="113"/>
        <v>9034370.0172171034</v>
      </c>
      <c r="AB260" s="62">
        <f t="shared" si="113"/>
        <v>604996.26008339424</v>
      </c>
      <c r="AC260" s="62">
        <f>SUM(AC247:AC259)</f>
        <v>0</v>
      </c>
      <c r="AD260" s="62">
        <f>SUM(AD247:AD259)</f>
        <v>0</v>
      </c>
      <c r="AE260" s="62">
        <f>SUM(AE247:AE259)</f>
        <v>0</v>
      </c>
      <c r="AF260" s="63">
        <f>SUM(H260:AE260)</f>
        <v>31923069.999999981</v>
      </c>
      <c r="AG260" s="58" t="str">
        <f>IF(ABS(AF260-F260)&lt;1,"ok","err")</f>
        <v>ok</v>
      </c>
    </row>
    <row r="261" spans="1:33">
      <c r="A261" s="60"/>
      <c r="F261" s="76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3"/>
      <c r="AG261" s="58"/>
    </row>
    <row r="262" spans="1:33">
      <c r="A262" s="60"/>
      <c r="F262" s="79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G262" s="58"/>
    </row>
    <row r="263" spans="1:33" ht="14.1">
      <c r="A263" s="65" t="s">
        <v>932</v>
      </c>
      <c r="F263" s="79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G263" s="58"/>
    </row>
    <row r="264" spans="1:33">
      <c r="A264" s="60">
        <v>590</v>
      </c>
      <c r="B264" s="60" t="s">
        <v>933</v>
      </c>
      <c r="C264" s="44" t="s">
        <v>934</v>
      </c>
      <c r="D264" s="44" t="s">
        <v>72</v>
      </c>
      <c r="F264" s="76">
        <v>47090</v>
      </c>
      <c r="H264" s="63">
        <f t="shared" ref="H264:Q272" si="114">IF(VLOOKUP($D264,$C$6:$AE$653,H$2,)=0,0,((VLOOKUP($D264,$C$6:$AE$653,H$2,)/VLOOKUP($D264,$C$6:$AE$653,4,))*$F264))</f>
        <v>0</v>
      </c>
      <c r="I264" s="63">
        <f t="shared" si="114"/>
        <v>0</v>
      </c>
      <c r="J264" s="63">
        <f t="shared" si="114"/>
        <v>0</v>
      </c>
      <c r="K264" s="63">
        <f t="shared" si="114"/>
        <v>0</v>
      </c>
      <c r="L264" s="63">
        <f t="shared" si="114"/>
        <v>0</v>
      </c>
      <c r="M264" s="63">
        <f t="shared" si="114"/>
        <v>0</v>
      </c>
      <c r="N264" s="63">
        <f t="shared" si="114"/>
        <v>0</v>
      </c>
      <c r="O264" s="63">
        <f t="shared" si="114"/>
        <v>0</v>
      </c>
      <c r="P264" s="63">
        <f t="shared" si="114"/>
        <v>0</v>
      </c>
      <c r="Q264" s="63">
        <f t="shared" si="114"/>
        <v>0</v>
      </c>
      <c r="R264" s="63">
        <f t="shared" ref="R264:AE272" si="115">IF(VLOOKUP($D264,$C$6:$AE$653,R$2,)=0,0,((VLOOKUP($D264,$C$6:$AE$653,R$2,)/VLOOKUP($D264,$C$6:$AE$653,4,))*$F264))</f>
        <v>6497.5184993039165</v>
      </c>
      <c r="S264" s="63">
        <f t="shared" si="115"/>
        <v>0</v>
      </c>
      <c r="T264" s="63">
        <f t="shared" si="115"/>
        <v>11032.081939717484</v>
      </c>
      <c r="U264" s="63">
        <f t="shared" si="115"/>
        <v>18518.660586996375</v>
      </c>
      <c r="V264" s="63">
        <f t="shared" si="115"/>
        <v>3538.3657082550412</v>
      </c>
      <c r="W264" s="63">
        <f t="shared" si="115"/>
        <v>6140.6670744758485</v>
      </c>
      <c r="X264" s="63">
        <f t="shared" si="115"/>
        <v>808.45294089537072</v>
      </c>
      <c r="Y264" s="63">
        <f t="shared" si="115"/>
        <v>450.63806091507035</v>
      </c>
      <c r="Z264" s="63">
        <f t="shared" si="115"/>
        <v>0</v>
      </c>
      <c r="AA264" s="63">
        <f t="shared" si="115"/>
        <v>0</v>
      </c>
      <c r="AB264" s="63">
        <f t="shared" si="115"/>
        <v>103.61518944089887</v>
      </c>
      <c r="AC264" s="63">
        <f t="shared" si="115"/>
        <v>0</v>
      </c>
      <c r="AD264" s="63">
        <f t="shared" si="115"/>
        <v>0</v>
      </c>
      <c r="AE264" s="63">
        <f t="shared" si="115"/>
        <v>0</v>
      </c>
      <c r="AF264" s="63">
        <f t="shared" ref="AF264:AF272" si="116">SUM(H264:AE264)</f>
        <v>47090.000000000007</v>
      </c>
      <c r="AG264" s="58" t="str">
        <f>IF(ABS(AF264-F264)&lt;1,"ok","err")</f>
        <v>ok</v>
      </c>
    </row>
    <row r="265" spans="1:33">
      <c r="A265" s="60">
        <v>591</v>
      </c>
      <c r="B265" s="60" t="s">
        <v>256</v>
      </c>
      <c r="C265" s="44" t="s">
        <v>262</v>
      </c>
      <c r="D265" s="44" t="s">
        <v>863</v>
      </c>
      <c r="F265" s="79">
        <v>0</v>
      </c>
      <c r="H265" s="63">
        <f t="shared" si="114"/>
        <v>0</v>
      </c>
      <c r="I265" s="63">
        <f t="shared" si="114"/>
        <v>0</v>
      </c>
      <c r="J265" s="63">
        <f t="shared" si="114"/>
        <v>0</v>
      </c>
      <c r="K265" s="63">
        <f t="shared" si="114"/>
        <v>0</v>
      </c>
      <c r="L265" s="63">
        <f t="shared" si="114"/>
        <v>0</v>
      </c>
      <c r="M265" s="63">
        <f t="shared" si="114"/>
        <v>0</v>
      </c>
      <c r="N265" s="63">
        <f t="shared" si="114"/>
        <v>0</v>
      </c>
      <c r="O265" s="63">
        <f t="shared" si="114"/>
        <v>0</v>
      </c>
      <c r="P265" s="63">
        <f t="shared" si="114"/>
        <v>0</v>
      </c>
      <c r="Q265" s="63">
        <f t="shared" si="114"/>
        <v>0</v>
      </c>
      <c r="R265" s="63">
        <f t="shared" si="115"/>
        <v>0</v>
      </c>
      <c r="S265" s="63">
        <f t="shared" si="115"/>
        <v>0</v>
      </c>
      <c r="T265" s="63">
        <f t="shared" si="115"/>
        <v>0</v>
      </c>
      <c r="U265" s="63">
        <f t="shared" si="115"/>
        <v>0</v>
      </c>
      <c r="V265" s="63">
        <f t="shared" si="115"/>
        <v>0</v>
      </c>
      <c r="W265" s="63">
        <f t="shared" si="115"/>
        <v>0</v>
      </c>
      <c r="X265" s="63">
        <f t="shared" si="115"/>
        <v>0</v>
      </c>
      <c r="Y265" s="63">
        <f t="shared" si="115"/>
        <v>0</v>
      </c>
      <c r="Z265" s="63">
        <f t="shared" si="115"/>
        <v>0</v>
      </c>
      <c r="AA265" s="63">
        <f t="shared" si="115"/>
        <v>0</v>
      </c>
      <c r="AB265" s="63">
        <f t="shared" si="115"/>
        <v>0</v>
      </c>
      <c r="AC265" s="63">
        <f t="shared" si="115"/>
        <v>0</v>
      </c>
      <c r="AD265" s="63">
        <f t="shared" si="115"/>
        <v>0</v>
      </c>
      <c r="AE265" s="63">
        <f t="shared" si="115"/>
        <v>0</v>
      </c>
      <c r="AF265" s="63"/>
      <c r="AG265" s="58"/>
    </row>
    <row r="266" spans="1:33">
      <c r="A266" s="60">
        <v>592</v>
      </c>
      <c r="B266" s="60" t="s">
        <v>935</v>
      </c>
      <c r="C266" s="44" t="s">
        <v>936</v>
      </c>
      <c r="D266" s="44" t="s">
        <v>863</v>
      </c>
      <c r="F266" s="79">
        <v>1865977</v>
      </c>
      <c r="H266" s="63">
        <f t="shared" si="114"/>
        <v>0</v>
      </c>
      <c r="I266" s="63">
        <f t="shared" si="114"/>
        <v>0</v>
      </c>
      <c r="J266" s="63">
        <f t="shared" si="114"/>
        <v>0</v>
      </c>
      <c r="K266" s="63">
        <f t="shared" si="114"/>
        <v>0</v>
      </c>
      <c r="L266" s="63">
        <f t="shared" si="114"/>
        <v>0</v>
      </c>
      <c r="M266" s="63">
        <f t="shared" si="114"/>
        <v>0</v>
      </c>
      <c r="N266" s="63">
        <f t="shared" si="114"/>
        <v>0</v>
      </c>
      <c r="O266" s="63">
        <f t="shared" si="114"/>
        <v>0</v>
      </c>
      <c r="P266" s="63">
        <f t="shared" si="114"/>
        <v>0</v>
      </c>
      <c r="Q266" s="63">
        <f t="shared" si="114"/>
        <v>0</v>
      </c>
      <c r="R266" s="63">
        <f t="shared" si="115"/>
        <v>1865977</v>
      </c>
      <c r="S266" s="63">
        <f t="shared" si="115"/>
        <v>0</v>
      </c>
      <c r="T266" s="63">
        <f t="shared" si="115"/>
        <v>0</v>
      </c>
      <c r="U266" s="63">
        <f t="shared" si="115"/>
        <v>0</v>
      </c>
      <c r="V266" s="63">
        <f t="shared" si="115"/>
        <v>0</v>
      </c>
      <c r="W266" s="63">
        <f t="shared" si="115"/>
        <v>0</v>
      </c>
      <c r="X266" s="63">
        <f t="shared" si="115"/>
        <v>0</v>
      </c>
      <c r="Y266" s="63">
        <f t="shared" si="115"/>
        <v>0</v>
      </c>
      <c r="Z266" s="63">
        <f t="shared" si="115"/>
        <v>0</v>
      </c>
      <c r="AA266" s="63">
        <f t="shared" si="115"/>
        <v>0</v>
      </c>
      <c r="AB266" s="63">
        <f t="shared" si="115"/>
        <v>0</v>
      </c>
      <c r="AC266" s="63">
        <f t="shared" si="115"/>
        <v>0</v>
      </c>
      <c r="AD266" s="63">
        <f t="shared" si="115"/>
        <v>0</v>
      </c>
      <c r="AE266" s="63">
        <f t="shared" si="115"/>
        <v>0</v>
      </c>
      <c r="AF266" s="63">
        <f t="shared" si="116"/>
        <v>1865977</v>
      </c>
      <c r="AG266" s="58" t="str">
        <f t="shared" ref="AG266:AG272" si="117">IF(ABS(AF266-F266)&lt;1,"ok","err")</f>
        <v>ok</v>
      </c>
    </row>
    <row r="267" spans="1:33">
      <c r="A267" s="60">
        <v>593</v>
      </c>
      <c r="B267" s="60" t="s">
        <v>937</v>
      </c>
      <c r="C267" s="44" t="s">
        <v>938</v>
      </c>
      <c r="D267" s="44" t="s">
        <v>866</v>
      </c>
      <c r="F267" s="79">
        <v>15769154</v>
      </c>
      <c r="H267" s="63">
        <f t="shared" si="114"/>
        <v>0</v>
      </c>
      <c r="I267" s="63">
        <f t="shared" si="114"/>
        <v>0</v>
      </c>
      <c r="J267" s="63">
        <f t="shared" si="114"/>
        <v>0</v>
      </c>
      <c r="K267" s="63">
        <f t="shared" si="114"/>
        <v>0</v>
      </c>
      <c r="L267" s="63">
        <f t="shared" si="114"/>
        <v>0</v>
      </c>
      <c r="M267" s="63">
        <f t="shared" si="114"/>
        <v>0</v>
      </c>
      <c r="N267" s="63">
        <f t="shared" si="114"/>
        <v>0</v>
      </c>
      <c r="O267" s="63">
        <f t="shared" si="114"/>
        <v>0</v>
      </c>
      <c r="P267" s="63">
        <f t="shared" si="114"/>
        <v>0</v>
      </c>
      <c r="Q267" s="63">
        <f t="shared" si="114"/>
        <v>0</v>
      </c>
      <c r="R267" s="63">
        <f t="shared" si="115"/>
        <v>0</v>
      </c>
      <c r="S267" s="63">
        <f t="shared" si="115"/>
        <v>0</v>
      </c>
      <c r="T267" s="63">
        <f t="shared" si="115"/>
        <v>4004458.7050280799</v>
      </c>
      <c r="U267" s="63">
        <f t="shared" si="115"/>
        <v>7115948.6957719205</v>
      </c>
      <c r="V267" s="63">
        <f t="shared" si="115"/>
        <v>1674013.6503719201</v>
      </c>
      <c r="W267" s="63">
        <f t="shared" si="115"/>
        <v>2974732.9488280802</v>
      </c>
      <c r="X267" s="63">
        <f t="shared" si="115"/>
        <v>0</v>
      </c>
      <c r="Y267" s="63">
        <f t="shared" si="115"/>
        <v>0</v>
      </c>
      <c r="Z267" s="63">
        <f t="shared" si="115"/>
        <v>0</v>
      </c>
      <c r="AA267" s="63">
        <f t="shared" si="115"/>
        <v>0</v>
      </c>
      <c r="AB267" s="63">
        <f t="shared" si="115"/>
        <v>0</v>
      </c>
      <c r="AC267" s="63">
        <f t="shared" si="115"/>
        <v>0</v>
      </c>
      <c r="AD267" s="63">
        <f t="shared" si="115"/>
        <v>0</v>
      </c>
      <c r="AE267" s="63">
        <f t="shared" si="115"/>
        <v>0</v>
      </c>
      <c r="AF267" s="63">
        <f t="shared" si="116"/>
        <v>15769154.000000002</v>
      </c>
      <c r="AG267" s="58" t="str">
        <f t="shared" si="117"/>
        <v>ok</v>
      </c>
    </row>
    <row r="268" spans="1:33">
      <c r="A268" s="60">
        <v>594</v>
      </c>
      <c r="B268" s="60" t="s">
        <v>939</v>
      </c>
      <c r="C268" s="44" t="s">
        <v>940</v>
      </c>
      <c r="D268" s="44" t="s">
        <v>869</v>
      </c>
      <c r="F268" s="79">
        <v>1854312.99999999</v>
      </c>
      <c r="H268" s="63">
        <f t="shared" si="114"/>
        <v>0</v>
      </c>
      <c r="I268" s="63">
        <f t="shared" si="114"/>
        <v>0</v>
      </c>
      <c r="J268" s="63">
        <f t="shared" si="114"/>
        <v>0</v>
      </c>
      <c r="K268" s="63">
        <f t="shared" si="114"/>
        <v>0</v>
      </c>
      <c r="L268" s="63">
        <f t="shared" si="114"/>
        <v>0</v>
      </c>
      <c r="M268" s="63">
        <f t="shared" si="114"/>
        <v>0</v>
      </c>
      <c r="N268" s="63">
        <f t="shared" si="114"/>
        <v>0</v>
      </c>
      <c r="O268" s="63">
        <f t="shared" si="114"/>
        <v>0</v>
      </c>
      <c r="P268" s="63">
        <f t="shared" si="114"/>
        <v>0</v>
      </c>
      <c r="Q268" s="63">
        <f t="shared" si="114"/>
        <v>0</v>
      </c>
      <c r="R268" s="63">
        <f t="shared" si="115"/>
        <v>0</v>
      </c>
      <c r="S268" s="63">
        <f t="shared" si="115"/>
        <v>0</v>
      </c>
      <c r="T268" s="63">
        <f t="shared" si="115"/>
        <v>655523.71448273642</v>
      </c>
      <c r="U268" s="63">
        <f t="shared" si="115"/>
        <v>977569.74461725482</v>
      </c>
      <c r="V268" s="63">
        <f t="shared" si="115"/>
        <v>88797.523717259508</v>
      </c>
      <c r="W268" s="63">
        <f t="shared" si="115"/>
        <v>132422.01718273925</v>
      </c>
      <c r="X268" s="63">
        <f t="shared" si="115"/>
        <v>0</v>
      </c>
      <c r="Y268" s="63">
        <f t="shared" si="115"/>
        <v>0</v>
      </c>
      <c r="Z268" s="63">
        <f t="shared" si="115"/>
        <v>0</v>
      </c>
      <c r="AA268" s="63">
        <f t="shared" si="115"/>
        <v>0</v>
      </c>
      <c r="AB268" s="63">
        <f t="shared" si="115"/>
        <v>0</v>
      </c>
      <c r="AC268" s="63">
        <f t="shared" si="115"/>
        <v>0</v>
      </c>
      <c r="AD268" s="63">
        <f t="shared" si="115"/>
        <v>0</v>
      </c>
      <c r="AE268" s="63">
        <f t="shared" si="115"/>
        <v>0</v>
      </c>
      <c r="AF268" s="63">
        <f t="shared" si="116"/>
        <v>1854312.99999999</v>
      </c>
      <c r="AG268" s="58" t="str">
        <f t="shared" si="117"/>
        <v>ok</v>
      </c>
    </row>
    <row r="269" spans="1:33">
      <c r="A269" s="60">
        <v>595</v>
      </c>
      <c r="B269" s="60" t="s">
        <v>941</v>
      </c>
      <c r="C269" s="44" t="s">
        <v>942</v>
      </c>
      <c r="D269" s="44" t="s">
        <v>870</v>
      </c>
      <c r="F269" s="79">
        <v>185534.99999999901</v>
      </c>
      <c r="H269" s="63">
        <f t="shared" si="114"/>
        <v>0</v>
      </c>
      <c r="I269" s="63">
        <f t="shared" si="114"/>
        <v>0</v>
      </c>
      <c r="J269" s="63">
        <f t="shared" si="114"/>
        <v>0</v>
      </c>
      <c r="K269" s="63">
        <f t="shared" si="114"/>
        <v>0</v>
      </c>
      <c r="L269" s="63">
        <f t="shared" si="114"/>
        <v>0</v>
      </c>
      <c r="M269" s="63">
        <f t="shared" si="114"/>
        <v>0</v>
      </c>
      <c r="N269" s="63">
        <f t="shared" si="114"/>
        <v>0</v>
      </c>
      <c r="O269" s="63">
        <f t="shared" si="114"/>
        <v>0</v>
      </c>
      <c r="P269" s="63">
        <f t="shared" si="114"/>
        <v>0</v>
      </c>
      <c r="Q269" s="63">
        <f t="shared" si="114"/>
        <v>0</v>
      </c>
      <c r="R269" s="63">
        <f t="shared" si="115"/>
        <v>0</v>
      </c>
      <c r="S269" s="63">
        <f t="shared" si="115"/>
        <v>0</v>
      </c>
      <c r="T269" s="63">
        <f t="shared" si="115"/>
        <v>0</v>
      </c>
      <c r="U269" s="63">
        <f t="shared" si="115"/>
        <v>0</v>
      </c>
      <c r="V269" s="63">
        <f t="shared" si="115"/>
        <v>0</v>
      </c>
      <c r="W269" s="63">
        <f t="shared" si="115"/>
        <v>0</v>
      </c>
      <c r="X269" s="63">
        <f t="shared" si="115"/>
        <v>119130.63962282536</v>
      </c>
      <c r="Y269" s="63">
        <f t="shared" si="115"/>
        <v>66404.360377173653</v>
      </c>
      <c r="Z269" s="63">
        <f t="shared" si="115"/>
        <v>0</v>
      </c>
      <c r="AA269" s="63">
        <f t="shared" si="115"/>
        <v>0</v>
      </c>
      <c r="AB269" s="63">
        <f t="shared" si="115"/>
        <v>0</v>
      </c>
      <c r="AC269" s="63">
        <f t="shared" si="115"/>
        <v>0</v>
      </c>
      <c r="AD269" s="63">
        <f t="shared" si="115"/>
        <v>0</v>
      </c>
      <c r="AE269" s="63">
        <f t="shared" si="115"/>
        <v>0</v>
      </c>
      <c r="AF269" s="63">
        <f t="shared" si="116"/>
        <v>185534.99999999901</v>
      </c>
      <c r="AG269" s="58" t="str">
        <f t="shared" si="117"/>
        <v>ok</v>
      </c>
    </row>
    <row r="270" spans="1:33">
      <c r="A270" s="60">
        <v>596</v>
      </c>
      <c r="B270" s="60" t="s">
        <v>1076</v>
      </c>
      <c r="C270" s="44" t="s">
        <v>1077</v>
      </c>
      <c r="D270" s="44" t="s">
        <v>877</v>
      </c>
      <c r="F270" s="79">
        <v>568134</v>
      </c>
      <c r="H270" s="63">
        <f t="shared" si="114"/>
        <v>0</v>
      </c>
      <c r="I270" s="63">
        <f t="shared" si="114"/>
        <v>0</v>
      </c>
      <c r="J270" s="63">
        <f t="shared" si="114"/>
        <v>0</v>
      </c>
      <c r="K270" s="63">
        <f t="shared" si="114"/>
        <v>0</v>
      </c>
      <c r="L270" s="63">
        <f t="shared" si="114"/>
        <v>0</v>
      </c>
      <c r="M270" s="63">
        <f t="shared" si="114"/>
        <v>0</v>
      </c>
      <c r="N270" s="63">
        <f t="shared" si="114"/>
        <v>0</v>
      </c>
      <c r="O270" s="63">
        <f t="shared" si="114"/>
        <v>0</v>
      </c>
      <c r="P270" s="63">
        <f t="shared" si="114"/>
        <v>0</v>
      </c>
      <c r="Q270" s="63">
        <f t="shared" si="114"/>
        <v>0</v>
      </c>
      <c r="R270" s="63">
        <f t="shared" si="115"/>
        <v>0</v>
      </c>
      <c r="S270" s="63">
        <f t="shared" si="115"/>
        <v>0</v>
      </c>
      <c r="T270" s="63">
        <f t="shared" si="115"/>
        <v>0</v>
      </c>
      <c r="U270" s="63">
        <f t="shared" si="115"/>
        <v>0</v>
      </c>
      <c r="V270" s="63">
        <f t="shared" si="115"/>
        <v>0</v>
      </c>
      <c r="W270" s="63">
        <f t="shared" si="115"/>
        <v>0</v>
      </c>
      <c r="X270" s="63">
        <f t="shared" si="115"/>
        <v>0</v>
      </c>
      <c r="Y270" s="63">
        <f t="shared" si="115"/>
        <v>0</v>
      </c>
      <c r="Z270" s="63">
        <f t="shared" si="115"/>
        <v>0</v>
      </c>
      <c r="AA270" s="63">
        <f t="shared" si="115"/>
        <v>0</v>
      </c>
      <c r="AB270" s="63">
        <f t="shared" si="115"/>
        <v>568134</v>
      </c>
      <c r="AC270" s="63">
        <f t="shared" si="115"/>
        <v>0</v>
      </c>
      <c r="AD270" s="63">
        <f t="shared" si="115"/>
        <v>0</v>
      </c>
      <c r="AE270" s="63">
        <f t="shared" si="115"/>
        <v>0</v>
      </c>
      <c r="AF270" s="63">
        <f t="shared" si="116"/>
        <v>568134</v>
      </c>
      <c r="AG270" s="58" t="str">
        <f t="shared" si="117"/>
        <v>ok</v>
      </c>
    </row>
    <row r="271" spans="1:33">
      <c r="A271" s="60">
        <v>597</v>
      </c>
      <c r="B271" s="60" t="s">
        <v>943</v>
      </c>
      <c r="C271" s="44" t="s">
        <v>944</v>
      </c>
      <c r="D271" s="44" t="s">
        <v>874</v>
      </c>
      <c r="F271" s="79">
        <v>0</v>
      </c>
      <c r="H271" s="63">
        <f t="shared" si="114"/>
        <v>0</v>
      </c>
      <c r="I271" s="63">
        <f t="shared" si="114"/>
        <v>0</v>
      </c>
      <c r="J271" s="63">
        <f t="shared" si="114"/>
        <v>0</v>
      </c>
      <c r="K271" s="63">
        <f t="shared" si="114"/>
        <v>0</v>
      </c>
      <c r="L271" s="63">
        <f t="shared" si="114"/>
        <v>0</v>
      </c>
      <c r="M271" s="63">
        <f t="shared" si="114"/>
        <v>0</v>
      </c>
      <c r="N271" s="63">
        <f t="shared" si="114"/>
        <v>0</v>
      </c>
      <c r="O271" s="63">
        <f t="shared" si="114"/>
        <v>0</v>
      </c>
      <c r="P271" s="63">
        <f t="shared" si="114"/>
        <v>0</v>
      </c>
      <c r="Q271" s="63">
        <f t="shared" si="114"/>
        <v>0</v>
      </c>
      <c r="R271" s="63">
        <f t="shared" si="115"/>
        <v>0</v>
      </c>
      <c r="S271" s="63">
        <f t="shared" si="115"/>
        <v>0</v>
      </c>
      <c r="T271" s="63">
        <f t="shared" si="115"/>
        <v>0</v>
      </c>
      <c r="U271" s="63">
        <f t="shared" si="115"/>
        <v>0</v>
      </c>
      <c r="V271" s="63">
        <f t="shared" si="115"/>
        <v>0</v>
      </c>
      <c r="W271" s="63">
        <f t="shared" si="115"/>
        <v>0</v>
      </c>
      <c r="X271" s="63">
        <f t="shared" si="115"/>
        <v>0</v>
      </c>
      <c r="Y271" s="63">
        <f t="shared" si="115"/>
        <v>0</v>
      </c>
      <c r="Z271" s="63">
        <f t="shared" si="115"/>
        <v>0</v>
      </c>
      <c r="AA271" s="63">
        <f t="shared" si="115"/>
        <v>0</v>
      </c>
      <c r="AB271" s="63">
        <f t="shared" si="115"/>
        <v>0</v>
      </c>
      <c r="AC271" s="63">
        <f t="shared" si="115"/>
        <v>0</v>
      </c>
      <c r="AD271" s="63">
        <f t="shared" si="115"/>
        <v>0</v>
      </c>
      <c r="AE271" s="63">
        <f t="shared" si="115"/>
        <v>0</v>
      </c>
      <c r="AF271" s="63">
        <f t="shared" si="116"/>
        <v>0</v>
      </c>
      <c r="AG271" s="58" t="str">
        <f t="shared" si="117"/>
        <v>ok</v>
      </c>
    </row>
    <row r="272" spans="1:33">
      <c r="A272" s="60">
        <v>598</v>
      </c>
      <c r="B272" s="60" t="s">
        <v>263</v>
      </c>
      <c r="C272" s="44" t="s">
        <v>264</v>
      </c>
      <c r="D272" s="44" t="s">
        <v>859</v>
      </c>
      <c r="F272" s="79">
        <v>870332</v>
      </c>
      <c r="H272" s="63">
        <f t="shared" si="114"/>
        <v>0</v>
      </c>
      <c r="I272" s="63">
        <f t="shared" si="114"/>
        <v>0</v>
      </c>
      <c r="J272" s="63">
        <f t="shared" si="114"/>
        <v>0</v>
      </c>
      <c r="K272" s="63">
        <f t="shared" si="114"/>
        <v>0</v>
      </c>
      <c r="L272" s="63">
        <f t="shared" si="114"/>
        <v>0</v>
      </c>
      <c r="M272" s="63">
        <f t="shared" si="114"/>
        <v>0</v>
      </c>
      <c r="N272" s="63">
        <f t="shared" si="114"/>
        <v>0</v>
      </c>
      <c r="O272" s="63">
        <f t="shared" si="114"/>
        <v>0</v>
      </c>
      <c r="P272" s="63">
        <f t="shared" si="114"/>
        <v>0</v>
      </c>
      <c r="Q272" s="63">
        <f t="shared" si="114"/>
        <v>0</v>
      </c>
      <c r="R272" s="63">
        <f t="shared" si="115"/>
        <v>108531.8746447774</v>
      </c>
      <c r="S272" s="63">
        <f t="shared" si="115"/>
        <v>0</v>
      </c>
      <c r="T272" s="63">
        <f t="shared" si="115"/>
        <v>166615.81994473952</v>
      </c>
      <c r="U272" s="63">
        <f t="shared" si="115"/>
        <v>272654.93154879799</v>
      </c>
      <c r="V272" s="63">
        <f t="shared" si="115"/>
        <v>46487.334202393678</v>
      </c>
      <c r="W272" s="63">
        <f t="shared" si="115"/>
        <v>79435.475387231651</v>
      </c>
      <c r="X272" s="63">
        <f t="shared" si="115"/>
        <v>56949.602678361422</v>
      </c>
      <c r="Y272" s="63">
        <f t="shared" si="115"/>
        <v>31744.158778663983</v>
      </c>
      <c r="Z272" s="63">
        <f t="shared" si="115"/>
        <v>20296.293636147057</v>
      </c>
      <c r="AA272" s="63">
        <f t="shared" si="115"/>
        <v>20698.717899493484</v>
      </c>
      <c r="AB272" s="63">
        <f t="shared" si="115"/>
        <v>66917.791279393932</v>
      </c>
      <c r="AC272" s="63">
        <f t="shared" si="115"/>
        <v>0</v>
      </c>
      <c r="AD272" s="63">
        <f t="shared" si="115"/>
        <v>0</v>
      </c>
      <c r="AE272" s="63">
        <f t="shared" si="115"/>
        <v>0</v>
      </c>
      <c r="AF272" s="63">
        <f t="shared" si="116"/>
        <v>870332.00000000012</v>
      </c>
      <c r="AG272" s="58" t="str">
        <f t="shared" si="117"/>
        <v>ok</v>
      </c>
    </row>
    <row r="273" spans="1:33">
      <c r="A273" s="60"/>
      <c r="B273" s="60"/>
      <c r="F273" s="79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58"/>
    </row>
    <row r="274" spans="1:33">
      <c r="A274" s="60" t="s">
        <v>945</v>
      </c>
      <c r="B274" s="60"/>
      <c r="C274" s="44" t="s">
        <v>946</v>
      </c>
      <c r="F274" s="76">
        <f t="shared" ref="F274:M274" si="118">SUM(F264:F273)</f>
        <v>21160534.999999989</v>
      </c>
      <c r="G274" s="62">
        <f t="shared" si="118"/>
        <v>0</v>
      </c>
      <c r="H274" s="62">
        <f t="shared" si="118"/>
        <v>0</v>
      </c>
      <c r="I274" s="62">
        <f t="shared" si="118"/>
        <v>0</v>
      </c>
      <c r="J274" s="62">
        <f t="shared" si="118"/>
        <v>0</v>
      </c>
      <c r="K274" s="62">
        <f t="shared" si="118"/>
        <v>0</v>
      </c>
      <c r="L274" s="62">
        <f t="shared" si="118"/>
        <v>0</v>
      </c>
      <c r="M274" s="62">
        <f t="shared" si="118"/>
        <v>0</v>
      </c>
      <c r="N274" s="62">
        <f>SUM(N264:N273)</f>
        <v>0</v>
      </c>
      <c r="O274" s="62">
        <f>SUM(O264:O273)</f>
        <v>0</v>
      </c>
      <c r="P274" s="62">
        <f>SUM(P264:P273)</f>
        <v>0</v>
      </c>
      <c r="Q274" s="62">
        <f t="shared" ref="Q274:AB274" si="119">SUM(Q264:Q273)</f>
        <v>0</v>
      </c>
      <c r="R274" s="62">
        <f t="shared" si="119"/>
        <v>1981006.3931440813</v>
      </c>
      <c r="S274" s="62">
        <f t="shared" si="119"/>
        <v>0</v>
      </c>
      <c r="T274" s="62">
        <f t="shared" si="119"/>
        <v>4837630.3213952733</v>
      </c>
      <c r="U274" s="62">
        <f t="shared" si="119"/>
        <v>8384692.0325249694</v>
      </c>
      <c r="V274" s="62">
        <f t="shared" si="119"/>
        <v>1812836.8739998282</v>
      </c>
      <c r="W274" s="62">
        <f t="shared" si="119"/>
        <v>3192731.108472527</v>
      </c>
      <c r="X274" s="62">
        <f t="shared" si="119"/>
        <v>176888.69524208215</v>
      </c>
      <c r="Y274" s="62">
        <f t="shared" si="119"/>
        <v>98599.157216752705</v>
      </c>
      <c r="Z274" s="62">
        <f t="shared" si="119"/>
        <v>20296.293636147057</v>
      </c>
      <c r="AA274" s="62">
        <f t="shared" si="119"/>
        <v>20698.717899493484</v>
      </c>
      <c r="AB274" s="62">
        <f t="shared" si="119"/>
        <v>635155.40646883484</v>
      </c>
      <c r="AC274" s="62">
        <f>SUM(AC264:AC273)</f>
        <v>0</v>
      </c>
      <c r="AD274" s="62">
        <f>SUM(AD264:AD273)</f>
        <v>0</v>
      </c>
      <c r="AE274" s="62">
        <f>SUM(AE264:AE273)</f>
        <v>0</v>
      </c>
      <c r="AF274" s="63">
        <f>SUM(H274:AE274)</f>
        <v>21160534.999999989</v>
      </c>
      <c r="AG274" s="58" t="str">
        <f>IF(ABS(AF274-F274)&lt;1,"ok","err")</f>
        <v>ok</v>
      </c>
    </row>
    <row r="275" spans="1:33">
      <c r="A275" s="60"/>
      <c r="B275" s="60"/>
      <c r="F275" s="79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G275" s="58"/>
    </row>
    <row r="276" spans="1:33">
      <c r="A276" s="60" t="s">
        <v>1078</v>
      </c>
      <c r="B276" s="60"/>
      <c r="F276" s="173">
        <f>F260+F274</f>
        <v>53083604.99999997</v>
      </c>
      <c r="G276" s="63">
        <f t="shared" ref="G276:M276" si="120">G260+G274</f>
        <v>0</v>
      </c>
      <c r="H276" s="63">
        <f t="shared" si="120"/>
        <v>0</v>
      </c>
      <c r="I276" s="63">
        <f t="shared" si="120"/>
        <v>0</v>
      </c>
      <c r="J276" s="63">
        <f t="shared" si="120"/>
        <v>0</v>
      </c>
      <c r="K276" s="63">
        <f t="shared" si="120"/>
        <v>0</v>
      </c>
      <c r="L276" s="63">
        <f t="shared" si="120"/>
        <v>0</v>
      </c>
      <c r="M276" s="63">
        <f t="shared" si="120"/>
        <v>0</v>
      </c>
      <c r="N276" s="63">
        <f>N260+N274</f>
        <v>0</v>
      </c>
      <c r="O276" s="63">
        <f>O260+O274</f>
        <v>0</v>
      </c>
      <c r="P276" s="63">
        <f>P260+P274</f>
        <v>0</v>
      </c>
      <c r="Q276" s="63">
        <f t="shared" ref="Q276:AB276" si="121">Q260+Q274</f>
        <v>0</v>
      </c>
      <c r="R276" s="63">
        <f t="shared" si="121"/>
        <v>5320872.0641060146</v>
      </c>
      <c r="S276" s="63">
        <f t="shared" si="121"/>
        <v>0</v>
      </c>
      <c r="T276" s="63">
        <f t="shared" si="121"/>
        <v>10247104.73781072</v>
      </c>
      <c r="U276" s="63">
        <f t="shared" si="121"/>
        <v>17136051.145477891</v>
      </c>
      <c r="V276" s="63">
        <f t="shared" si="121"/>
        <v>3222380.3576403731</v>
      </c>
      <c r="W276" s="63">
        <f t="shared" si="121"/>
        <v>5580825.2596069975</v>
      </c>
      <c r="X276" s="63">
        <f t="shared" si="121"/>
        <v>691763.67803688126</v>
      </c>
      <c r="Y276" s="63">
        <f t="shared" si="121"/>
        <v>385594.54324795608</v>
      </c>
      <c r="Z276" s="63">
        <f t="shared" si="121"/>
        <v>203792.81240431065</v>
      </c>
      <c r="AA276" s="63">
        <f t="shared" si="121"/>
        <v>9055068.7351165973</v>
      </c>
      <c r="AB276" s="63">
        <f t="shared" si="121"/>
        <v>1240151.6665522291</v>
      </c>
      <c r="AC276" s="63">
        <f>AC260+AC274</f>
        <v>0</v>
      </c>
      <c r="AD276" s="63">
        <f>AD260+AD274</f>
        <v>0</v>
      </c>
      <c r="AE276" s="63">
        <f>AE260+AE274</f>
        <v>0</v>
      </c>
      <c r="AF276" s="63">
        <f>SUM(H276:AE276)</f>
        <v>53083604.99999997</v>
      </c>
      <c r="AG276" s="58" t="str">
        <f>IF(ABS(AF276-F276)&lt;1,"ok","err")</f>
        <v>ok</v>
      </c>
    </row>
    <row r="277" spans="1:33">
      <c r="A277" s="60"/>
      <c r="B277" s="60"/>
      <c r="F277" s="79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G277" s="58"/>
    </row>
    <row r="278" spans="1:33">
      <c r="A278" s="60" t="s">
        <v>1079</v>
      </c>
      <c r="B278" s="60"/>
      <c r="F278" s="76">
        <f t="shared" ref="F278:M278" si="122">F276+F242</f>
        <v>80857177.999999866</v>
      </c>
      <c r="G278" s="63">
        <f t="shared" si="122"/>
        <v>0</v>
      </c>
      <c r="H278" s="63">
        <f t="shared" si="122"/>
        <v>0</v>
      </c>
      <c r="I278" s="63">
        <f t="shared" si="122"/>
        <v>0</v>
      </c>
      <c r="J278" s="63">
        <f t="shared" si="122"/>
        <v>0</v>
      </c>
      <c r="K278" s="63">
        <f t="shared" si="122"/>
        <v>0</v>
      </c>
      <c r="L278" s="63">
        <f t="shared" si="122"/>
        <v>0</v>
      </c>
      <c r="M278" s="63">
        <f t="shared" si="122"/>
        <v>0</v>
      </c>
      <c r="N278" s="63">
        <f>N276+N242</f>
        <v>27773572.999999899</v>
      </c>
      <c r="O278" s="63">
        <f>O276+O242</f>
        <v>0</v>
      </c>
      <c r="P278" s="63">
        <f>P276+P242</f>
        <v>0</v>
      </c>
      <c r="Q278" s="63">
        <f t="shared" ref="Q278:AB278" si="123">Q276+Q242</f>
        <v>0</v>
      </c>
      <c r="R278" s="63">
        <f t="shared" si="123"/>
        <v>5320872.0641060146</v>
      </c>
      <c r="S278" s="63">
        <f t="shared" si="123"/>
        <v>0</v>
      </c>
      <c r="T278" s="63">
        <f t="shared" si="123"/>
        <v>10247104.73781072</v>
      </c>
      <c r="U278" s="63">
        <f t="shared" si="123"/>
        <v>17136051.145477891</v>
      </c>
      <c r="V278" s="63">
        <f t="shared" si="123"/>
        <v>3222380.3576403731</v>
      </c>
      <c r="W278" s="63">
        <f t="shared" si="123"/>
        <v>5580825.2596069975</v>
      </c>
      <c r="X278" s="63">
        <f t="shared" si="123"/>
        <v>691763.67803688126</v>
      </c>
      <c r="Y278" s="63">
        <f t="shared" si="123"/>
        <v>385594.54324795608</v>
      </c>
      <c r="Z278" s="63">
        <f t="shared" si="123"/>
        <v>203792.81240431065</v>
      </c>
      <c r="AA278" s="63">
        <f t="shared" si="123"/>
        <v>9055068.7351165973</v>
      </c>
      <c r="AB278" s="63">
        <f t="shared" si="123"/>
        <v>1240151.6665522291</v>
      </c>
      <c r="AC278" s="63">
        <f>AC276+AC242</f>
        <v>0</v>
      </c>
      <c r="AD278" s="63">
        <f>AD276+AD242</f>
        <v>0</v>
      </c>
      <c r="AE278" s="63">
        <f>AE276+AE242</f>
        <v>0</v>
      </c>
      <c r="AF278" s="63">
        <f>SUM(H278:AE278)</f>
        <v>80857177.999999866</v>
      </c>
      <c r="AG278" s="58" t="str">
        <f>IF(ABS(AF278-F278)&lt;1,"ok","err")</f>
        <v>ok</v>
      </c>
    </row>
    <row r="279" spans="1:33">
      <c r="A279" s="60"/>
      <c r="B279" s="60"/>
      <c r="F279" s="79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G279" s="58"/>
    </row>
    <row r="280" spans="1:33">
      <c r="A280" s="60" t="s">
        <v>266</v>
      </c>
      <c r="B280" s="60"/>
      <c r="C280" s="44" t="s">
        <v>947</v>
      </c>
      <c r="F280" s="76">
        <f>F224+F242+F276</f>
        <v>538397682.77104306</v>
      </c>
      <c r="G280" s="62">
        <f>G278+G222</f>
        <v>0</v>
      </c>
      <c r="H280" s="62">
        <f t="shared" ref="H280:M280" si="124">H224+H242+H276</f>
        <v>80778953.804495692</v>
      </c>
      <c r="I280" s="62">
        <f t="shared" si="124"/>
        <v>0</v>
      </c>
      <c r="J280" s="62">
        <f t="shared" si="124"/>
        <v>0</v>
      </c>
      <c r="K280" s="62">
        <f t="shared" si="124"/>
        <v>376761550.96654743</v>
      </c>
      <c r="L280" s="62">
        <f t="shared" si="124"/>
        <v>0</v>
      </c>
      <c r="M280" s="62">
        <f t="shared" si="124"/>
        <v>0</v>
      </c>
      <c r="N280" s="62">
        <f>N224+N242+N276</f>
        <v>27773572.999999899</v>
      </c>
      <c r="O280" s="62">
        <f>O224+O242+O276</f>
        <v>0</v>
      </c>
      <c r="P280" s="62">
        <f>P224+P242+P276</f>
        <v>0</v>
      </c>
      <c r="Q280" s="62">
        <f t="shared" ref="Q280:AB280" si="125">Q224+Q242+Q276</f>
        <v>0</v>
      </c>
      <c r="R280" s="62">
        <f t="shared" si="125"/>
        <v>5320872.0641060146</v>
      </c>
      <c r="S280" s="62">
        <f t="shared" si="125"/>
        <v>0</v>
      </c>
      <c r="T280" s="62">
        <f t="shared" si="125"/>
        <v>10247104.73781072</v>
      </c>
      <c r="U280" s="62">
        <f t="shared" si="125"/>
        <v>17136051.145477891</v>
      </c>
      <c r="V280" s="62">
        <f t="shared" si="125"/>
        <v>3222380.3576403731</v>
      </c>
      <c r="W280" s="62">
        <f t="shared" si="125"/>
        <v>5580825.2596069975</v>
      </c>
      <c r="X280" s="62">
        <f t="shared" si="125"/>
        <v>691763.67803688126</v>
      </c>
      <c r="Y280" s="62">
        <f t="shared" si="125"/>
        <v>385594.54324795608</v>
      </c>
      <c r="Z280" s="62">
        <f t="shared" si="125"/>
        <v>203792.81240431065</v>
      </c>
      <c r="AA280" s="62">
        <f t="shared" si="125"/>
        <v>9055068.7351165973</v>
      </c>
      <c r="AB280" s="62">
        <f t="shared" si="125"/>
        <v>1240151.6665522291</v>
      </c>
      <c r="AC280" s="62">
        <f>AC224+AC242+AC276</f>
        <v>0</v>
      </c>
      <c r="AD280" s="62">
        <f>AD224+AD242+AD276</f>
        <v>0</v>
      </c>
      <c r="AE280" s="62">
        <f>AE224+AE242+AE276</f>
        <v>0</v>
      </c>
      <c r="AF280" s="63">
        <f>SUM(H280:AE280)</f>
        <v>538397682.77104294</v>
      </c>
      <c r="AG280" s="58" t="str">
        <f>IF(ABS(AF280-F280)&lt;1,"ok","err")</f>
        <v>ok</v>
      </c>
    </row>
    <row r="281" spans="1:33" ht="14.1">
      <c r="A281" s="65"/>
      <c r="B281" s="60"/>
      <c r="F281" s="79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G281" s="58"/>
    </row>
    <row r="282" spans="1:33" ht="14.1">
      <c r="A282" s="65"/>
      <c r="B282" s="60"/>
      <c r="F282" s="79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G282" s="58"/>
    </row>
    <row r="283" spans="1:33" ht="14.1">
      <c r="A283" s="59" t="s">
        <v>948</v>
      </c>
      <c r="B283" s="60"/>
      <c r="F283" s="79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G283" s="58"/>
    </row>
    <row r="284" spans="1:33" ht="14.1">
      <c r="A284" s="65"/>
      <c r="B284" s="60"/>
      <c r="F284" s="79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G284" s="58"/>
    </row>
    <row r="285" spans="1:33" ht="14.1">
      <c r="A285" s="65" t="s">
        <v>949</v>
      </c>
      <c r="B285" s="60"/>
      <c r="F285" s="79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G285" s="58"/>
    </row>
    <row r="286" spans="1:33">
      <c r="A286" s="60">
        <v>901</v>
      </c>
      <c r="B286" s="60" t="s">
        <v>950</v>
      </c>
      <c r="C286" s="44" t="s">
        <v>951</v>
      </c>
      <c r="D286" s="44" t="s">
        <v>640</v>
      </c>
      <c r="F286" s="76">
        <v>1498909.44</v>
      </c>
      <c r="H286" s="63">
        <f t="shared" ref="H286:Q290" si="126">IF(VLOOKUP($D286,$C$6:$AE$653,H$2,)=0,0,((VLOOKUP($D286,$C$6:$AE$653,H$2,)/VLOOKUP($D286,$C$6:$AE$653,4,))*$F286))</f>
        <v>0</v>
      </c>
      <c r="I286" s="63">
        <f t="shared" si="126"/>
        <v>0</v>
      </c>
      <c r="J286" s="63">
        <f t="shared" si="126"/>
        <v>0</v>
      </c>
      <c r="K286" s="63">
        <f t="shared" si="126"/>
        <v>0</v>
      </c>
      <c r="L286" s="63">
        <f t="shared" si="126"/>
        <v>0</v>
      </c>
      <c r="M286" s="63">
        <f t="shared" si="126"/>
        <v>0</v>
      </c>
      <c r="N286" s="63">
        <f t="shared" si="126"/>
        <v>0</v>
      </c>
      <c r="O286" s="63">
        <f t="shared" si="126"/>
        <v>0</v>
      </c>
      <c r="P286" s="63">
        <f t="shared" si="126"/>
        <v>0</v>
      </c>
      <c r="Q286" s="63">
        <f t="shared" si="126"/>
        <v>0</v>
      </c>
      <c r="R286" s="63">
        <f t="shared" ref="R286:AE290" si="127">IF(VLOOKUP($D286,$C$6:$AE$653,R$2,)=0,0,((VLOOKUP($D286,$C$6:$AE$653,R$2,)/VLOOKUP($D286,$C$6:$AE$653,4,))*$F286))</f>
        <v>0</v>
      </c>
      <c r="S286" s="63">
        <f t="shared" si="127"/>
        <v>0</v>
      </c>
      <c r="T286" s="63">
        <f t="shared" si="127"/>
        <v>0</v>
      </c>
      <c r="U286" s="63">
        <f t="shared" si="127"/>
        <v>0</v>
      </c>
      <c r="V286" s="63">
        <f t="shared" si="127"/>
        <v>0</v>
      </c>
      <c r="W286" s="63">
        <f t="shared" si="127"/>
        <v>0</v>
      </c>
      <c r="X286" s="63">
        <f t="shared" si="127"/>
        <v>0</v>
      </c>
      <c r="Y286" s="63">
        <f t="shared" si="127"/>
        <v>0</v>
      </c>
      <c r="Z286" s="63">
        <f t="shared" si="127"/>
        <v>0</v>
      </c>
      <c r="AA286" s="63">
        <f t="shared" si="127"/>
        <v>0</v>
      </c>
      <c r="AB286" s="63">
        <f t="shared" si="127"/>
        <v>0</v>
      </c>
      <c r="AC286" s="63">
        <f t="shared" si="127"/>
        <v>1498909.44</v>
      </c>
      <c r="AD286" s="63">
        <f t="shared" si="127"/>
        <v>0</v>
      </c>
      <c r="AE286" s="63">
        <f t="shared" si="127"/>
        <v>0</v>
      </c>
      <c r="AF286" s="63">
        <f>SUM(H286:AE286)</f>
        <v>1498909.44</v>
      </c>
      <c r="AG286" s="58" t="str">
        <f>IF(ABS(AF286-F286)&lt;1,"ok","err")</f>
        <v>ok</v>
      </c>
    </row>
    <row r="287" spans="1:33">
      <c r="A287" s="60">
        <v>902</v>
      </c>
      <c r="B287" s="60" t="s">
        <v>953</v>
      </c>
      <c r="C287" s="44" t="s">
        <v>954</v>
      </c>
      <c r="D287" s="44" t="s">
        <v>640</v>
      </c>
      <c r="F287" s="79">
        <v>3820562.48</v>
      </c>
      <c r="H287" s="63">
        <f t="shared" si="126"/>
        <v>0</v>
      </c>
      <c r="I287" s="63">
        <f t="shared" si="126"/>
        <v>0</v>
      </c>
      <c r="J287" s="63">
        <f t="shared" si="126"/>
        <v>0</v>
      </c>
      <c r="K287" s="63">
        <f t="shared" si="126"/>
        <v>0</v>
      </c>
      <c r="L287" s="63">
        <f t="shared" si="126"/>
        <v>0</v>
      </c>
      <c r="M287" s="63">
        <f t="shared" si="126"/>
        <v>0</v>
      </c>
      <c r="N287" s="63">
        <f t="shared" si="126"/>
        <v>0</v>
      </c>
      <c r="O287" s="63">
        <f t="shared" si="126"/>
        <v>0</v>
      </c>
      <c r="P287" s="63">
        <f t="shared" si="126"/>
        <v>0</v>
      </c>
      <c r="Q287" s="63">
        <f t="shared" si="126"/>
        <v>0</v>
      </c>
      <c r="R287" s="63">
        <f t="shared" si="127"/>
        <v>0</v>
      </c>
      <c r="S287" s="63">
        <f t="shared" si="127"/>
        <v>0</v>
      </c>
      <c r="T287" s="63">
        <f t="shared" si="127"/>
        <v>0</v>
      </c>
      <c r="U287" s="63">
        <f t="shared" si="127"/>
        <v>0</v>
      </c>
      <c r="V287" s="63">
        <f t="shared" si="127"/>
        <v>0</v>
      </c>
      <c r="W287" s="63">
        <f t="shared" si="127"/>
        <v>0</v>
      </c>
      <c r="X287" s="63">
        <f t="shared" si="127"/>
        <v>0</v>
      </c>
      <c r="Y287" s="63">
        <f t="shared" si="127"/>
        <v>0</v>
      </c>
      <c r="Z287" s="63">
        <f t="shared" si="127"/>
        <v>0</v>
      </c>
      <c r="AA287" s="63">
        <f t="shared" si="127"/>
        <v>0</v>
      </c>
      <c r="AB287" s="63">
        <f t="shared" si="127"/>
        <v>0</v>
      </c>
      <c r="AC287" s="63">
        <f t="shared" si="127"/>
        <v>3820562.48</v>
      </c>
      <c r="AD287" s="63">
        <f t="shared" si="127"/>
        <v>0</v>
      </c>
      <c r="AE287" s="63">
        <f t="shared" si="127"/>
        <v>0</v>
      </c>
      <c r="AF287" s="63">
        <f>SUM(H287:AE287)</f>
        <v>3820562.48</v>
      </c>
      <c r="AG287" s="58" t="str">
        <f>IF(ABS(AF287-F287)&lt;1,"ok","err")</f>
        <v>ok</v>
      </c>
    </row>
    <row r="288" spans="1:33">
      <c r="A288" s="60">
        <v>903</v>
      </c>
      <c r="B288" s="60" t="s">
        <v>28</v>
      </c>
      <c r="C288" s="44" t="s">
        <v>955</v>
      </c>
      <c r="D288" s="44" t="s">
        <v>640</v>
      </c>
      <c r="F288" s="79">
        <v>7929805.5199999996</v>
      </c>
      <c r="H288" s="63">
        <f t="shared" si="126"/>
        <v>0</v>
      </c>
      <c r="I288" s="63">
        <f t="shared" si="126"/>
        <v>0</v>
      </c>
      <c r="J288" s="63">
        <f t="shared" si="126"/>
        <v>0</v>
      </c>
      <c r="K288" s="63">
        <f t="shared" si="126"/>
        <v>0</v>
      </c>
      <c r="L288" s="63">
        <f t="shared" si="126"/>
        <v>0</v>
      </c>
      <c r="M288" s="63">
        <f t="shared" si="126"/>
        <v>0</v>
      </c>
      <c r="N288" s="63">
        <f t="shared" si="126"/>
        <v>0</v>
      </c>
      <c r="O288" s="63">
        <f t="shared" si="126"/>
        <v>0</v>
      </c>
      <c r="P288" s="63">
        <f t="shared" si="126"/>
        <v>0</v>
      </c>
      <c r="Q288" s="63">
        <f t="shared" si="126"/>
        <v>0</v>
      </c>
      <c r="R288" s="63">
        <f t="shared" si="127"/>
        <v>0</v>
      </c>
      <c r="S288" s="63">
        <f t="shared" si="127"/>
        <v>0</v>
      </c>
      <c r="T288" s="63">
        <f t="shared" si="127"/>
        <v>0</v>
      </c>
      <c r="U288" s="63">
        <f t="shared" si="127"/>
        <v>0</v>
      </c>
      <c r="V288" s="63">
        <f t="shared" si="127"/>
        <v>0</v>
      </c>
      <c r="W288" s="63">
        <f t="shared" si="127"/>
        <v>0</v>
      </c>
      <c r="X288" s="63">
        <f t="shared" si="127"/>
        <v>0</v>
      </c>
      <c r="Y288" s="63">
        <f t="shared" si="127"/>
        <v>0</v>
      </c>
      <c r="Z288" s="63">
        <f t="shared" si="127"/>
        <v>0</v>
      </c>
      <c r="AA288" s="63">
        <f t="shared" si="127"/>
        <v>0</v>
      </c>
      <c r="AB288" s="63">
        <f t="shared" si="127"/>
        <v>0</v>
      </c>
      <c r="AC288" s="63">
        <f t="shared" si="127"/>
        <v>7929805.5199999996</v>
      </c>
      <c r="AD288" s="63">
        <f t="shared" si="127"/>
        <v>0</v>
      </c>
      <c r="AE288" s="63">
        <f t="shared" si="127"/>
        <v>0</v>
      </c>
      <c r="AF288" s="63">
        <f>SUM(H288:AE288)</f>
        <v>7929805.5199999996</v>
      </c>
      <c r="AG288" s="58" t="str">
        <f>IF(ABS(AF288-F288)&lt;1,"ok","err")</f>
        <v>ok</v>
      </c>
    </row>
    <row r="289" spans="1:33">
      <c r="A289" s="60">
        <v>904</v>
      </c>
      <c r="B289" s="60" t="s">
        <v>956</v>
      </c>
      <c r="C289" s="44" t="s">
        <v>957</v>
      </c>
      <c r="D289" s="44" t="s">
        <v>640</v>
      </c>
      <c r="F289" s="79">
        <v>2225667.78521111</v>
      </c>
      <c r="H289" s="63">
        <f t="shared" si="126"/>
        <v>0</v>
      </c>
      <c r="I289" s="63">
        <f t="shared" si="126"/>
        <v>0</v>
      </c>
      <c r="J289" s="63">
        <f t="shared" si="126"/>
        <v>0</v>
      </c>
      <c r="K289" s="63">
        <f t="shared" si="126"/>
        <v>0</v>
      </c>
      <c r="L289" s="63">
        <f t="shared" si="126"/>
        <v>0</v>
      </c>
      <c r="M289" s="63">
        <f t="shared" si="126"/>
        <v>0</v>
      </c>
      <c r="N289" s="63">
        <f t="shared" si="126"/>
        <v>0</v>
      </c>
      <c r="O289" s="63">
        <f t="shared" si="126"/>
        <v>0</v>
      </c>
      <c r="P289" s="63">
        <f t="shared" si="126"/>
        <v>0</v>
      </c>
      <c r="Q289" s="63">
        <f t="shared" si="126"/>
        <v>0</v>
      </c>
      <c r="R289" s="63">
        <f t="shared" si="127"/>
        <v>0</v>
      </c>
      <c r="S289" s="63">
        <f t="shared" si="127"/>
        <v>0</v>
      </c>
      <c r="T289" s="63">
        <f t="shared" si="127"/>
        <v>0</v>
      </c>
      <c r="U289" s="63">
        <f t="shared" si="127"/>
        <v>0</v>
      </c>
      <c r="V289" s="63">
        <f t="shared" si="127"/>
        <v>0</v>
      </c>
      <c r="W289" s="63">
        <f t="shared" si="127"/>
        <v>0</v>
      </c>
      <c r="X289" s="63">
        <f t="shared" si="127"/>
        <v>0</v>
      </c>
      <c r="Y289" s="63">
        <f t="shared" si="127"/>
        <v>0</v>
      </c>
      <c r="Z289" s="63">
        <f t="shared" si="127"/>
        <v>0</v>
      </c>
      <c r="AA289" s="63">
        <f t="shared" si="127"/>
        <v>0</v>
      </c>
      <c r="AB289" s="63">
        <f t="shared" si="127"/>
        <v>0</v>
      </c>
      <c r="AC289" s="63">
        <f t="shared" si="127"/>
        <v>2225667.78521111</v>
      </c>
      <c r="AD289" s="63">
        <f t="shared" si="127"/>
        <v>0</v>
      </c>
      <c r="AE289" s="63">
        <f t="shared" si="127"/>
        <v>0</v>
      </c>
      <c r="AF289" s="63">
        <f>SUM(H289:AE289)</f>
        <v>2225667.78521111</v>
      </c>
      <c r="AG289" s="58" t="str">
        <f>IF(ABS(AF289-F289)&lt;1,"ok","err")</f>
        <v>ok</v>
      </c>
    </row>
    <row r="290" spans="1:33">
      <c r="A290" s="60">
        <v>905</v>
      </c>
      <c r="B290" s="60" t="s">
        <v>29</v>
      </c>
      <c r="C290" s="44" t="s">
        <v>955</v>
      </c>
      <c r="D290" s="44" t="s">
        <v>640</v>
      </c>
      <c r="F290" s="79">
        <v>0</v>
      </c>
      <c r="H290" s="63">
        <f t="shared" si="126"/>
        <v>0</v>
      </c>
      <c r="I290" s="63">
        <f t="shared" si="126"/>
        <v>0</v>
      </c>
      <c r="J290" s="63">
        <f t="shared" si="126"/>
        <v>0</v>
      </c>
      <c r="K290" s="63">
        <f t="shared" si="126"/>
        <v>0</v>
      </c>
      <c r="L290" s="63">
        <f t="shared" si="126"/>
        <v>0</v>
      </c>
      <c r="M290" s="63">
        <f t="shared" si="126"/>
        <v>0</v>
      </c>
      <c r="N290" s="63">
        <f t="shared" si="126"/>
        <v>0</v>
      </c>
      <c r="O290" s="63">
        <f t="shared" si="126"/>
        <v>0</v>
      </c>
      <c r="P290" s="63">
        <f t="shared" si="126"/>
        <v>0</v>
      </c>
      <c r="Q290" s="63">
        <f t="shared" si="126"/>
        <v>0</v>
      </c>
      <c r="R290" s="63">
        <f t="shared" si="127"/>
        <v>0</v>
      </c>
      <c r="S290" s="63">
        <f t="shared" si="127"/>
        <v>0</v>
      </c>
      <c r="T290" s="63">
        <f t="shared" si="127"/>
        <v>0</v>
      </c>
      <c r="U290" s="63">
        <f t="shared" si="127"/>
        <v>0</v>
      </c>
      <c r="V290" s="63">
        <f t="shared" si="127"/>
        <v>0</v>
      </c>
      <c r="W290" s="63">
        <f t="shared" si="127"/>
        <v>0</v>
      </c>
      <c r="X290" s="63">
        <f t="shared" si="127"/>
        <v>0</v>
      </c>
      <c r="Y290" s="63">
        <f t="shared" si="127"/>
        <v>0</v>
      </c>
      <c r="Z290" s="63">
        <f t="shared" si="127"/>
        <v>0</v>
      </c>
      <c r="AA290" s="63">
        <f t="shared" si="127"/>
        <v>0</v>
      </c>
      <c r="AB290" s="63">
        <f t="shared" si="127"/>
        <v>0</v>
      </c>
      <c r="AC290" s="63">
        <f t="shared" si="127"/>
        <v>0</v>
      </c>
      <c r="AD290" s="63">
        <f t="shared" si="127"/>
        <v>0</v>
      </c>
      <c r="AE290" s="63">
        <f t="shared" si="127"/>
        <v>0</v>
      </c>
      <c r="AF290" s="63">
        <f>SUM(H290:AE290)</f>
        <v>0</v>
      </c>
      <c r="AG290" s="58" t="str">
        <f>IF(ABS(AF290-F290)&lt;1,"ok","err")</f>
        <v>ok</v>
      </c>
    </row>
    <row r="291" spans="1:33" ht="14.1">
      <c r="A291" s="65"/>
      <c r="B291" s="60"/>
      <c r="F291" s="79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58"/>
    </row>
    <row r="292" spans="1:33">
      <c r="A292" s="60" t="s">
        <v>958</v>
      </c>
      <c r="B292" s="60"/>
      <c r="C292" s="44" t="s">
        <v>959</v>
      </c>
      <c r="F292" s="173">
        <f t="shared" ref="F292:M292" si="128">SUM(F286:F291)</f>
        <v>15474945.22521111</v>
      </c>
      <c r="G292" s="62">
        <f t="shared" si="128"/>
        <v>0</v>
      </c>
      <c r="H292" s="62">
        <f t="shared" si="128"/>
        <v>0</v>
      </c>
      <c r="I292" s="62">
        <f t="shared" si="128"/>
        <v>0</v>
      </c>
      <c r="J292" s="62">
        <f t="shared" si="128"/>
        <v>0</v>
      </c>
      <c r="K292" s="62">
        <f t="shared" si="128"/>
        <v>0</v>
      </c>
      <c r="L292" s="62">
        <f t="shared" si="128"/>
        <v>0</v>
      </c>
      <c r="M292" s="62">
        <f t="shared" si="128"/>
        <v>0</v>
      </c>
      <c r="N292" s="62">
        <f>SUM(N286:N291)</f>
        <v>0</v>
      </c>
      <c r="O292" s="62">
        <f>SUM(O286:O291)</f>
        <v>0</v>
      </c>
      <c r="P292" s="62">
        <f>SUM(P286:P291)</f>
        <v>0</v>
      </c>
      <c r="Q292" s="62">
        <f t="shared" ref="Q292:AB292" si="129">SUM(Q286:Q291)</f>
        <v>0</v>
      </c>
      <c r="R292" s="62">
        <f t="shared" si="129"/>
        <v>0</v>
      </c>
      <c r="S292" s="62">
        <f t="shared" si="129"/>
        <v>0</v>
      </c>
      <c r="T292" s="62">
        <f t="shared" si="129"/>
        <v>0</v>
      </c>
      <c r="U292" s="62">
        <f t="shared" si="129"/>
        <v>0</v>
      </c>
      <c r="V292" s="62">
        <f t="shared" si="129"/>
        <v>0</v>
      </c>
      <c r="W292" s="62">
        <f t="shared" si="129"/>
        <v>0</v>
      </c>
      <c r="X292" s="62">
        <f t="shared" si="129"/>
        <v>0</v>
      </c>
      <c r="Y292" s="62">
        <f t="shared" si="129"/>
        <v>0</v>
      </c>
      <c r="Z292" s="62">
        <f t="shared" si="129"/>
        <v>0</v>
      </c>
      <c r="AA292" s="62">
        <f t="shared" si="129"/>
        <v>0</v>
      </c>
      <c r="AB292" s="62">
        <f t="shared" si="129"/>
        <v>0</v>
      </c>
      <c r="AC292" s="62">
        <f>SUM(AC286:AC291)</f>
        <v>15474945.22521111</v>
      </c>
      <c r="AD292" s="62">
        <f>SUM(AD286:AD291)</f>
        <v>0</v>
      </c>
      <c r="AE292" s="62">
        <f>SUM(AE286:AE291)</f>
        <v>0</v>
      </c>
      <c r="AF292" s="63">
        <f>SUM(H292:AE292)</f>
        <v>15474945.22521111</v>
      </c>
      <c r="AG292" s="58" t="str">
        <f>IF(ABS(AF292-F292)&lt;1,"ok","err")</f>
        <v>ok</v>
      </c>
    </row>
    <row r="293" spans="1:33">
      <c r="A293" s="60"/>
      <c r="B293" s="60"/>
      <c r="F293" s="79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G293" s="58"/>
    </row>
    <row r="294" spans="1:33" ht="14.1">
      <c r="A294" s="65" t="s">
        <v>960</v>
      </c>
      <c r="B294" s="60"/>
      <c r="F294" s="79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G294" s="58"/>
    </row>
    <row r="295" spans="1:33">
      <c r="A295" s="60">
        <v>907</v>
      </c>
      <c r="B295" s="60" t="s">
        <v>1081</v>
      </c>
      <c r="C295" s="44" t="s">
        <v>961</v>
      </c>
      <c r="D295" s="44" t="s">
        <v>641</v>
      </c>
      <c r="F295" s="76">
        <v>199517.76</v>
      </c>
      <c r="H295" s="63">
        <f t="shared" ref="H295:Q304" si="130">IF(VLOOKUP($D295,$C$6:$AE$653,H$2,)=0,0,((VLOOKUP($D295,$C$6:$AE$653,H$2,)/VLOOKUP($D295,$C$6:$AE$653,4,))*$F295))</f>
        <v>0</v>
      </c>
      <c r="I295" s="63">
        <f t="shared" si="130"/>
        <v>0</v>
      </c>
      <c r="J295" s="63">
        <f t="shared" si="130"/>
        <v>0</v>
      </c>
      <c r="K295" s="63">
        <f t="shared" si="130"/>
        <v>0</v>
      </c>
      <c r="L295" s="63">
        <f t="shared" si="130"/>
        <v>0</v>
      </c>
      <c r="M295" s="63">
        <f t="shared" si="130"/>
        <v>0</v>
      </c>
      <c r="N295" s="63">
        <f t="shared" si="130"/>
        <v>0</v>
      </c>
      <c r="O295" s="63">
        <f t="shared" si="130"/>
        <v>0</v>
      </c>
      <c r="P295" s="63">
        <f t="shared" si="130"/>
        <v>0</v>
      </c>
      <c r="Q295" s="63">
        <f t="shared" si="130"/>
        <v>0</v>
      </c>
      <c r="R295" s="63">
        <f t="shared" ref="R295:AE304" si="131">IF(VLOOKUP($D295,$C$6:$AE$653,R$2,)=0,0,((VLOOKUP($D295,$C$6:$AE$653,R$2,)/VLOOKUP($D295,$C$6:$AE$653,4,))*$F295))</f>
        <v>0</v>
      </c>
      <c r="S295" s="63">
        <f t="shared" si="131"/>
        <v>0</v>
      </c>
      <c r="T295" s="63">
        <f t="shared" si="131"/>
        <v>0</v>
      </c>
      <c r="U295" s="63">
        <f t="shared" si="131"/>
        <v>0</v>
      </c>
      <c r="V295" s="63">
        <f t="shared" si="131"/>
        <v>0</v>
      </c>
      <c r="W295" s="63">
        <f t="shared" si="131"/>
        <v>0</v>
      </c>
      <c r="X295" s="63">
        <f t="shared" si="131"/>
        <v>0</v>
      </c>
      <c r="Y295" s="63">
        <f t="shared" si="131"/>
        <v>0</v>
      </c>
      <c r="Z295" s="63">
        <f t="shared" si="131"/>
        <v>0</v>
      </c>
      <c r="AA295" s="63">
        <f t="shared" si="131"/>
        <v>0</v>
      </c>
      <c r="AB295" s="63">
        <f t="shared" si="131"/>
        <v>0</v>
      </c>
      <c r="AC295" s="63">
        <f t="shared" si="131"/>
        <v>0</v>
      </c>
      <c r="AD295" s="63">
        <f t="shared" si="131"/>
        <v>199517.76</v>
      </c>
      <c r="AE295" s="63">
        <f t="shared" si="131"/>
        <v>0</v>
      </c>
      <c r="AF295" s="63">
        <f t="shared" ref="AF295:AF304" si="132">SUM(H295:AE295)</f>
        <v>199517.76</v>
      </c>
      <c r="AG295" s="58" t="str">
        <f t="shared" ref="AG295:AG304" si="133">IF(ABS(AF295-F295)&lt;1,"ok","err")</f>
        <v>ok</v>
      </c>
    </row>
    <row r="296" spans="1:33">
      <c r="A296" s="60">
        <v>908</v>
      </c>
      <c r="B296" s="60" t="s">
        <v>963</v>
      </c>
      <c r="C296" s="44" t="s">
        <v>964</v>
      </c>
      <c r="D296" s="44" t="s">
        <v>641</v>
      </c>
      <c r="F296" s="79">
        <f>8214568.80158564-7393203</f>
        <v>821365.80158563983</v>
      </c>
      <c r="H296" s="63">
        <f t="shared" si="130"/>
        <v>0</v>
      </c>
      <c r="I296" s="63">
        <f t="shared" si="130"/>
        <v>0</v>
      </c>
      <c r="J296" s="63">
        <f t="shared" si="130"/>
        <v>0</v>
      </c>
      <c r="K296" s="63">
        <f t="shared" si="130"/>
        <v>0</v>
      </c>
      <c r="L296" s="63">
        <f t="shared" si="130"/>
        <v>0</v>
      </c>
      <c r="M296" s="63">
        <f t="shared" si="130"/>
        <v>0</v>
      </c>
      <c r="N296" s="63">
        <f t="shared" si="130"/>
        <v>0</v>
      </c>
      <c r="O296" s="63">
        <f t="shared" si="130"/>
        <v>0</v>
      </c>
      <c r="P296" s="63">
        <f t="shared" si="130"/>
        <v>0</v>
      </c>
      <c r="Q296" s="63">
        <f t="shared" si="130"/>
        <v>0</v>
      </c>
      <c r="R296" s="63">
        <f t="shared" si="131"/>
        <v>0</v>
      </c>
      <c r="S296" s="63">
        <f t="shared" si="131"/>
        <v>0</v>
      </c>
      <c r="T296" s="63">
        <f t="shared" si="131"/>
        <v>0</v>
      </c>
      <c r="U296" s="63">
        <f t="shared" si="131"/>
        <v>0</v>
      </c>
      <c r="V296" s="63">
        <f t="shared" si="131"/>
        <v>0</v>
      </c>
      <c r="W296" s="63">
        <f t="shared" si="131"/>
        <v>0</v>
      </c>
      <c r="X296" s="63">
        <f t="shared" si="131"/>
        <v>0</v>
      </c>
      <c r="Y296" s="63">
        <f t="shared" si="131"/>
        <v>0</v>
      </c>
      <c r="Z296" s="63">
        <f t="shared" si="131"/>
        <v>0</v>
      </c>
      <c r="AA296" s="63">
        <f t="shared" si="131"/>
        <v>0</v>
      </c>
      <c r="AB296" s="63">
        <f t="shared" si="131"/>
        <v>0</v>
      </c>
      <c r="AC296" s="63">
        <f t="shared" si="131"/>
        <v>0</v>
      </c>
      <c r="AD296" s="63">
        <f t="shared" si="131"/>
        <v>821365.80158563983</v>
      </c>
      <c r="AE296" s="63">
        <f t="shared" si="131"/>
        <v>0</v>
      </c>
      <c r="AF296" s="63">
        <f t="shared" si="132"/>
        <v>821365.80158563983</v>
      </c>
      <c r="AG296" s="58" t="str">
        <f t="shared" si="133"/>
        <v>ok</v>
      </c>
    </row>
    <row r="297" spans="1:33">
      <c r="A297" s="60">
        <v>908</v>
      </c>
      <c r="B297" s="60" t="s">
        <v>180</v>
      </c>
      <c r="C297" s="44" t="s">
        <v>31</v>
      </c>
      <c r="D297" s="44" t="s">
        <v>641</v>
      </c>
      <c r="F297" s="79"/>
      <c r="H297" s="63">
        <f t="shared" si="130"/>
        <v>0</v>
      </c>
      <c r="I297" s="63">
        <f t="shared" si="130"/>
        <v>0</v>
      </c>
      <c r="J297" s="63">
        <f t="shared" si="130"/>
        <v>0</v>
      </c>
      <c r="K297" s="63">
        <f t="shared" si="130"/>
        <v>0</v>
      </c>
      <c r="L297" s="63">
        <f t="shared" si="130"/>
        <v>0</v>
      </c>
      <c r="M297" s="63">
        <f t="shared" si="130"/>
        <v>0</v>
      </c>
      <c r="N297" s="63">
        <f t="shared" si="130"/>
        <v>0</v>
      </c>
      <c r="O297" s="63">
        <f t="shared" si="130"/>
        <v>0</v>
      </c>
      <c r="P297" s="63">
        <f t="shared" si="130"/>
        <v>0</v>
      </c>
      <c r="Q297" s="63">
        <f t="shared" si="130"/>
        <v>0</v>
      </c>
      <c r="R297" s="63">
        <f t="shared" si="131"/>
        <v>0</v>
      </c>
      <c r="S297" s="63">
        <f t="shared" si="131"/>
        <v>0</v>
      </c>
      <c r="T297" s="63">
        <f t="shared" si="131"/>
        <v>0</v>
      </c>
      <c r="U297" s="63">
        <f t="shared" si="131"/>
        <v>0</v>
      </c>
      <c r="V297" s="63">
        <f t="shared" si="131"/>
        <v>0</v>
      </c>
      <c r="W297" s="63">
        <f t="shared" si="131"/>
        <v>0</v>
      </c>
      <c r="X297" s="63">
        <f t="shared" si="131"/>
        <v>0</v>
      </c>
      <c r="Y297" s="63">
        <f t="shared" si="131"/>
        <v>0</v>
      </c>
      <c r="Z297" s="63">
        <f t="shared" si="131"/>
        <v>0</v>
      </c>
      <c r="AA297" s="63">
        <f t="shared" si="131"/>
        <v>0</v>
      </c>
      <c r="AB297" s="63">
        <f t="shared" si="131"/>
        <v>0</v>
      </c>
      <c r="AC297" s="63">
        <f t="shared" si="131"/>
        <v>0</v>
      </c>
      <c r="AD297" s="63">
        <f t="shared" si="131"/>
        <v>0</v>
      </c>
      <c r="AE297" s="63">
        <f t="shared" si="131"/>
        <v>0</v>
      </c>
      <c r="AF297" s="63">
        <f t="shared" si="132"/>
        <v>0</v>
      </c>
      <c r="AG297" s="58" t="str">
        <f t="shared" si="133"/>
        <v>ok</v>
      </c>
    </row>
    <row r="298" spans="1:33">
      <c r="A298" s="60">
        <v>909</v>
      </c>
      <c r="B298" s="60" t="s">
        <v>965</v>
      </c>
      <c r="C298" s="44" t="s">
        <v>966</v>
      </c>
      <c r="D298" s="44" t="s">
        <v>641</v>
      </c>
      <c r="F298" s="79">
        <v>1201024.95999999</v>
      </c>
      <c r="H298" s="63">
        <f t="shared" si="130"/>
        <v>0</v>
      </c>
      <c r="I298" s="63">
        <f t="shared" si="130"/>
        <v>0</v>
      </c>
      <c r="J298" s="63">
        <f t="shared" si="130"/>
        <v>0</v>
      </c>
      <c r="K298" s="63">
        <f t="shared" si="130"/>
        <v>0</v>
      </c>
      <c r="L298" s="63">
        <f t="shared" si="130"/>
        <v>0</v>
      </c>
      <c r="M298" s="63">
        <f t="shared" si="130"/>
        <v>0</v>
      </c>
      <c r="N298" s="63">
        <f t="shared" si="130"/>
        <v>0</v>
      </c>
      <c r="O298" s="63">
        <f t="shared" si="130"/>
        <v>0</v>
      </c>
      <c r="P298" s="63">
        <f t="shared" si="130"/>
        <v>0</v>
      </c>
      <c r="Q298" s="63">
        <f t="shared" si="130"/>
        <v>0</v>
      </c>
      <c r="R298" s="63">
        <f t="shared" si="131"/>
        <v>0</v>
      </c>
      <c r="S298" s="63">
        <f t="shared" si="131"/>
        <v>0</v>
      </c>
      <c r="T298" s="63">
        <f t="shared" si="131"/>
        <v>0</v>
      </c>
      <c r="U298" s="63">
        <f t="shared" si="131"/>
        <v>0</v>
      </c>
      <c r="V298" s="63">
        <f t="shared" si="131"/>
        <v>0</v>
      </c>
      <c r="W298" s="63">
        <f t="shared" si="131"/>
        <v>0</v>
      </c>
      <c r="X298" s="63">
        <f t="shared" si="131"/>
        <v>0</v>
      </c>
      <c r="Y298" s="63">
        <f t="shared" si="131"/>
        <v>0</v>
      </c>
      <c r="Z298" s="63">
        <f t="shared" si="131"/>
        <v>0</v>
      </c>
      <c r="AA298" s="63">
        <f t="shared" si="131"/>
        <v>0</v>
      </c>
      <c r="AB298" s="63">
        <f t="shared" si="131"/>
        <v>0</v>
      </c>
      <c r="AC298" s="63">
        <f t="shared" si="131"/>
        <v>0</v>
      </c>
      <c r="AD298" s="63">
        <f t="shared" si="131"/>
        <v>1201024.95999999</v>
      </c>
      <c r="AE298" s="63">
        <f t="shared" si="131"/>
        <v>0</v>
      </c>
      <c r="AF298" s="63">
        <f t="shared" si="132"/>
        <v>1201024.95999999</v>
      </c>
      <c r="AG298" s="58" t="str">
        <f t="shared" si="133"/>
        <v>ok</v>
      </c>
    </row>
    <row r="299" spans="1:33">
      <c r="A299" s="60">
        <v>909</v>
      </c>
      <c r="B299" s="60" t="s">
        <v>32</v>
      </c>
      <c r="C299" s="44" t="s">
        <v>33</v>
      </c>
      <c r="D299" s="44" t="s">
        <v>641</v>
      </c>
      <c r="F299" s="79"/>
      <c r="H299" s="63">
        <f t="shared" si="130"/>
        <v>0</v>
      </c>
      <c r="I299" s="63">
        <f t="shared" si="130"/>
        <v>0</v>
      </c>
      <c r="J299" s="63">
        <f t="shared" si="130"/>
        <v>0</v>
      </c>
      <c r="K299" s="63">
        <f t="shared" si="130"/>
        <v>0</v>
      </c>
      <c r="L299" s="63">
        <f t="shared" si="130"/>
        <v>0</v>
      </c>
      <c r="M299" s="63">
        <f t="shared" si="130"/>
        <v>0</v>
      </c>
      <c r="N299" s="63">
        <f t="shared" si="130"/>
        <v>0</v>
      </c>
      <c r="O299" s="63">
        <f t="shared" si="130"/>
        <v>0</v>
      </c>
      <c r="P299" s="63">
        <f t="shared" si="130"/>
        <v>0</v>
      </c>
      <c r="Q299" s="63">
        <f t="shared" si="130"/>
        <v>0</v>
      </c>
      <c r="R299" s="63">
        <f t="shared" si="131"/>
        <v>0</v>
      </c>
      <c r="S299" s="63">
        <f t="shared" si="131"/>
        <v>0</v>
      </c>
      <c r="T299" s="63">
        <f t="shared" si="131"/>
        <v>0</v>
      </c>
      <c r="U299" s="63">
        <f t="shared" si="131"/>
        <v>0</v>
      </c>
      <c r="V299" s="63">
        <f t="shared" si="131"/>
        <v>0</v>
      </c>
      <c r="W299" s="63">
        <f t="shared" si="131"/>
        <v>0</v>
      </c>
      <c r="X299" s="63">
        <f t="shared" si="131"/>
        <v>0</v>
      </c>
      <c r="Y299" s="63">
        <f t="shared" si="131"/>
        <v>0</v>
      </c>
      <c r="Z299" s="63">
        <f t="shared" si="131"/>
        <v>0</v>
      </c>
      <c r="AA299" s="63">
        <f t="shared" si="131"/>
        <v>0</v>
      </c>
      <c r="AB299" s="63">
        <f t="shared" si="131"/>
        <v>0</v>
      </c>
      <c r="AC299" s="63">
        <f t="shared" si="131"/>
        <v>0</v>
      </c>
      <c r="AD299" s="63">
        <f t="shared" si="131"/>
        <v>0</v>
      </c>
      <c r="AE299" s="63">
        <f t="shared" si="131"/>
        <v>0</v>
      </c>
      <c r="AF299" s="63">
        <f t="shared" si="132"/>
        <v>0</v>
      </c>
      <c r="AG299" s="58" t="str">
        <f t="shared" si="133"/>
        <v>ok</v>
      </c>
    </row>
    <row r="300" spans="1:33">
      <c r="A300" s="60">
        <v>910</v>
      </c>
      <c r="B300" s="60" t="s">
        <v>967</v>
      </c>
      <c r="C300" s="44" t="s">
        <v>968</v>
      </c>
      <c r="D300" s="44" t="s">
        <v>641</v>
      </c>
      <c r="F300" s="79">
        <v>1144803.32</v>
      </c>
      <c r="H300" s="63">
        <f t="shared" si="130"/>
        <v>0</v>
      </c>
      <c r="I300" s="63">
        <f t="shared" si="130"/>
        <v>0</v>
      </c>
      <c r="J300" s="63">
        <f t="shared" si="130"/>
        <v>0</v>
      </c>
      <c r="K300" s="63">
        <f t="shared" si="130"/>
        <v>0</v>
      </c>
      <c r="L300" s="63">
        <f t="shared" si="130"/>
        <v>0</v>
      </c>
      <c r="M300" s="63">
        <f t="shared" si="130"/>
        <v>0</v>
      </c>
      <c r="N300" s="63">
        <f t="shared" si="130"/>
        <v>0</v>
      </c>
      <c r="O300" s="63">
        <f t="shared" si="130"/>
        <v>0</v>
      </c>
      <c r="P300" s="63">
        <f t="shared" si="130"/>
        <v>0</v>
      </c>
      <c r="Q300" s="63">
        <f t="shared" si="130"/>
        <v>0</v>
      </c>
      <c r="R300" s="63">
        <f t="shared" si="131"/>
        <v>0</v>
      </c>
      <c r="S300" s="63">
        <f t="shared" si="131"/>
        <v>0</v>
      </c>
      <c r="T300" s="63">
        <f t="shared" si="131"/>
        <v>0</v>
      </c>
      <c r="U300" s="63">
        <f t="shared" si="131"/>
        <v>0</v>
      </c>
      <c r="V300" s="63">
        <f t="shared" si="131"/>
        <v>0</v>
      </c>
      <c r="W300" s="63">
        <f t="shared" si="131"/>
        <v>0</v>
      </c>
      <c r="X300" s="63">
        <f t="shared" si="131"/>
        <v>0</v>
      </c>
      <c r="Y300" s="63">
        <f t="shared" si="131"/>
        <v>0</v>
      </c>
      <c r="Z300" s="63">
        <f t="shared" si="131"/>
        <v>0</v>
      </c>
      <c r="AA300" s="63">
        <f t="shared" si="131"/>
        <v>0</v>
      </c>
      <c r="AB300" s="63">
        <f t="shared" si="131"/>
        <v>0</v>
      </c>
      <c r="AC300" s="63">
        <f t="shared" si="131"/>
        <v>0</v>
      </c>
      <c r="AD300" s="63">
        <f t="shared" si="131"/>
        <v>1144803.32</v>
      </c>
      <c r="AE300" s="63">
        <f t="shared" si="131"/>
        <v>0</v>
      </c>
      <c r="AF300" s="63">
        <f t="shared" si="132"/>
        <v>1144803.32</v>
      </c>
      <c r="AG300" s="58" t="str">
        <f t="shared" si="133"/>
        <v>ok</v>
      </c>
    </row>
    <row r="301" spans="1:33">
      <c r="A301" s="60">
        <v>911</v>
      </c>
      <c r="B301" s="60" t="s">
        <v>147</v>
      </c>
      <c r="C301" s="44" t="s">
        <v>168</v>
      </c>
      <c r="D301" s="44" t="s">
        <v>641</v>
      </c>
      <c r="F301" s="79">
        <v>0</v>
      </c>
      <c r="H301" s="63">
        <f t="shared" si="130"/>
        <v>0</v>
      </c>
      <c r="I301" s="63">
        <f t="shared" si="130"/>
        <v>0</v>
      </c>
      <c r="J301" s="63">
        <f t="shared" si="130"/>
        <v>0</v>
      </c>
      <c r="K301" s="63">
        <f t="shared" si="130"/>
        <v>0</v>
      </c>
      <c r="L301" s="63">
        <f t="shared" si="130"/>
        <v>0</v>
      </c>
      <c r="M301" s="63">
        <f t="shared" si="130"/>
        <v>0</v>
      </c>
      <c r="N301" s="63">
        <f t="shared" si="130"/>
        <v>0</v>
      </c>
      <c r="O301" s="63">
        <f t="shared" si="130"/>
        <v>0</v>
      </c>
      <c r="P301" s="63">
        <f t="shared" si="130"/>
        <v>0</v>
      </c>
      <c r="Q301" s="63">
        <f t="shared" si="130"/>
        <v>0</v>
      </c>
      <c r="R301" s="63">
        <f t="shared" si="131"/>
        <v>0</v>
      </c>
      <c r="S301" s="63">
        <f t="shared" si="131"/>
        <v>0</v>
      </c>
      <c r="T301" s="63">
        <f t="shared" si="131"/>
        <v>0</v>
      </c>
      <c r="U301" s="63">
        <f t="shared" si="131"/>
        <v>0</v>
      </c>
      <c r="V301" s="63">
        <f t="shared" si="131"/>
        <v>0</v>
      </c>
      <c r="W301" s="63">
        <f t="shared" si="131"/>
        <v>0</v>
      </c>
      <c r="X301" s="63">
        <f t="shared" si="131"/>
        <v>0</v>
      </c>
      <c r="Y301" s="63">
        <f t="shared" si="131"/>
        <v>0</v>
      </c>
      <c r="Z301" s="63">
        <f t="shared" si="131"/>
        <v>0</v>
      </c>
      <c r="AA301" s="63">
        <f t="shared" si="131"/>
        <v>0</v>
      </c>
      <c r="AB301" s="63">
        <f t="shared" si="131"/>
        <v>0</v>
      </c>
      <c r="AC301" s="63">
        <f t="shared" si="131"/>
        <v>0</v>
      </c>
      <c r="AD301" s="63">
        <f t="shared" si="131"/>
        <v>0</v>
      </c>
      <c r="AE301" s="63">
        <f t="shared" si="131"/>
        <v>0</v>
      </c>
      <c r="AF301" s="63">
        <f t="shared" si="132"/>
        <v>0</v>
      </c>
      <c r="AG301" s="58" t="str">
        <f t="shared" si="133"/>
        <v>ok</v>
      </c>
    </row>
    <row r="302" spans="1:33">
      <c r="A302" s="60">
        <v>912</v>
      </c>
      <c r="B302" s="60" t="s">
        <v>147</v>
      </c>
      <c r="C302" s="44" t="s">
        <v>148</v>
      </c>
      <c r="D302" s="44" t="s">
        <v>641</v>
      </c>
      <c r="F302" s="79">
        <v>56160</v>
      </c>
      <c r="H302" s="63">
        <f t="shared" si="130"/>
        <v>0</v>
      </c>
      <c r="I302" s="63">
        <f t="shared" si="130"/>
        <v>0</v>
      </c>
      <c r="J302" s="63">
        <f t="shared" si="130"/>
        <v>0</v>
      </c>
      <c r="K302" s="63">
        <f t="shared" si="130"/>
        <v>0</v>
      </c>
      <c r="L302" s="63">
        <f t="shared" si="130"/>
        <v>0</v>
      </c>
      <c r="M302" s="63">
        <f t="shared" si="130"/>
        <v>0</v>
      </c>
      <c r="N302" s="63">
        <f t="shared" si="130"/>
        <v>0</v>
      </c>
      <c r="O302" s="63">
        <f t="shared" si="130"/>
        <v>0</v>
      </c>
      <c r="P302" s="63">
        <f t="shared" si="130"/>
        <v>0</v>
      </c>
      <c r="Q302" s="63">
        <f t="shared" si="130"/>
        <v>0</v>
      </c>
      <c r="R302" s="63">
        <f t="shared" si="131"/>
        <v>0</v>
      </c>
      <c r="S302" s="63">
        <f t="shared" si="131"/>
        <v>0</v>
      </c>
      <c r="T302" s="63">
        <f t="shared" si="131"/>
        <v>0</v>
      </c>
      <c r="U302" s="63">
        <f t="shared" si="131"/>
        <v>0</v>
      </c>
      <c r="V302" s="63">
        <f t="shared" si="131"/>
        <v>0</v>
      </c>
      <c r="W302" s="63">
        <f t="shared" si="131"/>
        <v>0</v>
      </c>
      <c r="X302" s="63">
        <f t="shared" si="131"/>
        <v>0</v>
      </c>
      <c r="Y302" s="63">
        <f t="shared" si="131"/>
        <v>0</v>
      </c>
      <c r="Z302" s="63">
        <f t="shared" si="131"/>
        <v>0</v>
      </c>
      <c r="AA302" s="63">
        <f t="shared" si="131"/>
        <v>0</v>
      </c>
      <c r="AB302" s="63">
        <f t="shared" si="131"/>
        <v>0</v>
      </c>
      <c r="AC302" s="63">
        <f t="shared" si="131"/>
        <v>0</v>
      </c>
      <c r="AD302" s="63">
        <f t="shared" si="131"/>
        <v>56160</v>
      </c>
      <c r="AE302" s="63">
        <f t="shared" si="131"/>
        <v>0</v>
      </c>
      <c r="AF302" s="63">
        <f t="shared" si="132"/>
        <v>56160</v>
      </c>
      <c r="AG302" s="58" t="str">
        <f t="shared" si="133"/>
        <v>ok</v>
      </c>
    </row>
    <row r="303" spans="1:33">
      <c r="A303" s="60">
        <v>913</v>
      </c>
      <c r="B303" s="60" t="s">
        <v>157</v>
      </c>
      <c r="C303" s="44" t="s">
        <v>138</v>
      </c>
      <c r="D303" s="44" t="s">
        <v>641</v>
      </c>
      <c r="F303" s="79">
        <v>0</v>
      </c>
      <c r="H303" s="63">
        <f t="shared" si="130"/>
        <v>0</v>
      </c>
      <c r="I303" s="63">
        <f t="shared" si="130"/>
        <v>0</v>
      </c>
      <c r="J303" s="63">
        <f t="shared" si="130"/>
        <v>0</v>
      </c>
      <c r="K303" s="63">
        <f t="shared" si="130"/>
        <v>0</v>
      </c>
      <c r="L303" s="63">
        <f t="shared" si="130"/>
        <v>0</v>
      </c>
      <c r="M303" s="63">
        <f t="shared" si="130"/>
        <v>0</v>
      </c>
      <c r="N303" s="63">
        <f t="shared" si="130"/>
        <v>0</v>
      </c>
      <c r="O303" s="63">
        <f t="shared" si="130"/>
        <v>0</v>
      </c>
      <c r="P303" s="63">
        <f t="shared" si="130"/>
        <v>0</v>
      </c>
      <c r="Q303" s="63">
        <f t="shared" si="130"/>
        <v>0</v>
      </c>
      <c r="R303" s="63">
        <f t="shared" si="131"/>
        <v>0</v>
      </c>
      <c r="S303" s="63">
        <f t="shared" si="131"/>
        <v>0</v>
      </c>
      <c r="T303" s="63">
        <f t="shared" si="131"/>
        <v>0</v>
      </c>
      <c r="U303" s="63">
        <f t="shared" si="131"/>
        <v>0</v>
      </c>
      <c r="V303" s="63">
        <f t="shared" si="131"/>
        <v>0</v>
      </c>
      <c r="W303" s="63">
        <f t="shared" si="131"/>
        <v>0</v>
      </c>
      <c r="X303" s="63">
        <f t="shared" si="131"/>
        <v>0</v>
      </c>
      <c r="Y303" s="63">
        <f t="shared" si="131"/>
        <v>0</v>
      </c>
      <c r="Z303" s="63">
        <f t="shared" si="131"/>
        <v>0</v>
      </c>
      <c r="AA303" s="63">
        <f t="shared" si="131"/>
        <v>0</v>
      </c>
      <c r="AB303" s="63">
        <f t="shared" si="131"/>
        <v>0</v>
      </c>
      <c r="AC303" s="63">
        <f t="shared" si="131"/>
        <v>0</v>
      </c>
      <c r="AD303" s="63">
        <f t="shared" si="131"/>
        <v>0</v>
      </c>
      <c r="AE303" s="63">
        <f t="shared" si="131"/>
        <v>0</v>
      </c>
      <c r="AF303" s="63">
        <f t="shared" si="132"/>
        <v>0</v>
      </c>
      <c r="AG303" s="58" t="str">
        <f t="shared" si="133"/>
        <v>ok</v>
      </c>
    </row>
    <row r="304" spans="1:33">
      <c r="A304" s="60">
        <v>916</v>
      </c>
      <c r="B304" s="60" t="s">
        <v>159</v>
      </c>
      <c r="C304" s="44" t="s">
        <v>160</v>
      </c>
      <c r="D304" s="44" t="s">
        <v>641</v>
      </c>
      <c r="F304" s="79">
        <v>0</v>
      </c>
      <c r="H304" s="63">
        <f t="shared" si="130"/>
        <v>0</v>
      </c>
      <c r="I304" s="63">
        <f t="shared" si="130"/>
        <v>0</v>
      </c>
      <c r="J304" s="63">
        <f t="shared" si="130"/>
        <v>0</v>
      </c>
      <c r="K304" s="63">
        <f t="shared" si="130"/>
        <v>0</v>
      </c>
      <c r="L304" s="63">
        <f t="shared" si="130"/>
        <v>0</v>
      </c>
      <c r="M304" s="63">
        <f t="shared" si="130"/>
        <v>0</v>
      </c>
      <c r="N304" s="63">
        <f t="shared" si="130"/>
        <v>0</v>
      </c>
      <c r="O304" s="63">
        <f t="shared" si="130"/>
        <v>0</v>
      </c>
      <c r="P304" s="63">
        <f t="shared" si="130"/>
        <v>0</v>
      </c>
      <c r="Q304" s="63">
        <f t="shared" si="130"/>
        <v>0</v>
      </c>
      <c r="R304" s="63">
        <f t="shared" si="131"/>
        <v>0</v>
      </c>
      <c r="S304" s="63">
        <f t="shared" si="131"/>
        <v>0</v>
      </c>
      <c r="T304" s="63">
        <f t="shared" si="131"/>
        <v>0</v>
      </c>
      <c r="U304" s="63">
        <f t="shared" si="131"/>
        <v>0</v>
      </c>
      <c r="V304" s="63">
        <f t="shared" si="131"/>
        <v>0</v>
      </c>
      <c r="W304" s="63">
        <f t="shared" si="131"/>
        <v>0</v>
      </c>
      <c r="X304" s="63">
        <f t="shared" si="131"/>
        <v>0</v>
      </c>
      <c r="Y304" s="63">
        <f t="shared" si="131"/>
        <v>0</v>
      </c>
      <c r="Z304" s="63">
        <f t="shared" si="131"/>
        <v>0</v>
      </c>
      <c r="AA304" s="63">
        <f t="shared" si="131"/>
        <v>0</v>
      </c>
      <c r="AB304" s="63">
        <f t="shared" si="131"/>
        <v>0</v>
      </c>
      <c r="AC304" s="63">
        <f t="shared" si="131"/>
        <v>0</v>
      </c>
      <c r="AD304" s="63">
        <f t="shared" si="131"/>
        <v>0</v>
      </c>
      <c r="AE304" s="63">
        <f t="shared" si="131"/>
        <v>0</v>
      </c>
      <c r="AF304" s="63">
        <f t="shared" si="132"/>
        <v>0</v>
      </c>
      <c r="AG304" s="58" t="str">
        <f t="shared" si="133"/>
        <v>ok</v>
      </c>
    </row>
    <row r="305" spans="1:33">
      <c r="A305" s="60"/>
      <c r="B305" s="60"/>
      <c r="F305" s="79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58"/>
    </row>
    <row r="306" spans="1:33">
      <c r="A306" s="60" t="s">
        <v>969</v>
      </c>
      <c r="B306" s="60"/>
      <c r="C306" s="44" t="s">
        <v>970</v>
      </c>
      <c r="F306" s="173">
        <f t="shared" ref="F306:AE306" si="134">SUM(F295:F305)</f>
        <v>3422871.8415856296</v>
      </c>
      <c r="G306" s="62">
        <f t="shared" si="134"/>
        <v>0</v>
      </c>
      <c r="H306" s="62">
        <f t="shared" si="134"/>
        <v>0</v>
      </c>
      <c r="I306" s="62">
        <f t="shared" si="134"/>
        <v>0</v>
      </c>
      <c r="J306" s="62">
        <f t="shared" si="134"/>
        <v>0</v>
      </c>
      <c r="K306" s="62">
        <f t="shared" si="134"/>
        <v>0</v>
      </c>
      <c r="L306" s="62">
        <f t="shared" si="134"/>
        <v>0</v>
      </c>
      <c r="M306" s="62">
        <f t="shared" si="134"/>
        <v>0</v>
      </c>
      <c r="N306" s="62">
        <f t="shared" si="134"/>
        <v>0</v>
      </c>
      <c r="O306" s="62">
        <f t="shared" si="134"/>
        <v>0</v>
      </c>
      <c r="P306" s="62">
        <f t="shared" si="134"/>
        <v>0</v>
      </c>
      <c r="Q306" s="62">
        <f t="shared" si="134"/>
        <v>0</v>
      </c>
      <c r="R306" s="62">
        <f t="shared" si="134"/>
        <v>0</v>
      </c>
      <c r="S306" s="62">
        <f t="shared" si="134"/>
        <v>0</v>
      </c>
      <c r="T306" s="62">
        <f t="shared" si="134"/>
        <v>0</v>
      </c>
      <c r="U306" s="62">
        <f t="shared" si="134"/>
        <v>0</v>
      </c>
      <c r="V306" s="62">
        <f t="shared" si="134"/>
        <v>0</v>
      </c>
      <c r="W306" s="62">
        <f t="shared" si="134"/>
        <v>0</v>
      </c>
      <c r="X306" s="62">
        <f t="shared" si="134"/>
        <v>0</v>
      </c>
      <c r="Y306" s="62">
        <f t="shared" si="134"/>
        <v>0</v>
      </c>
      <c r="Z306" s="62">
        <f t="shared" si="134"/>
        <v>0</v>
      </c>
      <c r="AA306" s="62">
        <f t="shared" si="134"/>
        <v>0</v>
      </c>
      <c r="AB306" s="62">
        <f t="shared" si="134"/>
        <v>0</v>
      </c>
      <c r="AC306" s="62">
        <f t="shared" si="134"/>
        <v>0</v>
      </c>
      <c r="AD306" s="62">
        <f t="shared" si="134"/>
        <v>3422871.8415856296</v>
      </c>
      <c r="AE306" s="62">
        <f t="shared" si="134"/>
        <v>0</v>
      </c>
      <c r="AF306" s="63">
        <f>SUM(H306:AE306)</f>
        <v>3422871.8415856296</v>
      </c>
      <c r="AG306" s="58" t="str">
        <f>IF(ABS(AF306-F306)&lt;1,"ok","err")</f>
        <v>ok</v>
      </c>
    </row>
    <row r="307" spans="1:33">
      <c r="A307" s="60"/>
      <c r="B307" s="60"/>
      <c r="F307" s="79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G307" s="58"/>
    </row>
    <row r="308" spans="1:33">
      <c r="A308" s="60" t="s">
        <v>267</v>
      </c>
      <c r="B308" s="60"/>
      <c r="C308" s="44" t="s">
        <v>18</v>
      </c>
      <c r="F308" s="79">
        <f>F280+F292+F306</f>
        <v>557295499.83783984</v>
      </c>
      <c r="G308" s="63">
        <f>G278+G292+G306</f>
        <v>0</v>
      </c>
      <c r="H308" s="63">
        <f t="shared" ref="H308:AF308" si="135">H280+H292+H306</f>
        <v>80778953.804495692</v>
      </c>
      <c r="I308" s="63">
        <f t="shared" si="135"/>
        <v>0</v>
      </c>
      <c r="J308" s="63">
        <f t="shared" si="135"/>
        <v>0</v>
      </c>
      <c r="K308" s="63">
        <f t="shared" si="135"/>
        <v>376761550.96654743</v>
      </c>
      <c r="L308" s="63">
        <f t="shared" si="135"/>
        <v>0</v>
      </c>
      <c r="M308" s="63">
        <f t="shared" si="135"/>
        <v>0</v>
      </c>
      <c r="N308" s="63">
        <f t="shared" si="135"/>
        <v>27773572.999999899</v>
      </c>
      <c r="O308" s="63">
        <f t="shared" si="135"/>
        <v>0</v>
      </c>
      <c r="P308" s="63">
        <f t="shared" si="135"/>
        <v>0</v>
      </c>
      <c r="Q308" s="63">
        <f t="shared" si="135"/>
        <v>0</v>
      </c>
      <c r="R308" s="63">
        <f t="shared" si="135"/>
        <v>5320872.0641060146</v>
      </c>
      <c r="S308" s="63">
        <f t="shared" si="135"/>
        <v>0</v>
      </c>
      <c r="T308" s="63">
        <f t="shared" si="135"/>
        <v>10247104.73781072</v>
      </c>
      <c r="U308" s="63">
        <f t="shared" si="135"/>
        <v>17136051.145477891</v>
      </c>
      <c r="V308" s="63">
        <f t="shared" si="135"/>
        <v>3222380.3576403731</v>
      </c>
      <c r="W308" s="63">
        <f t="shared" si="135"/>
        <v>5580825.2596069975</v>
      </c>
      <c r="X308" s="63">
        <f t="shared" si="135"/>
        <v>691763.67803688126</v>
      </c>
      <c r="Y308" s="63">
        <f t="shared" si="135"/>
        <v>385594.54324795608</v>
      </c>
      <c r="Z308" s="63">
        <f t="shared" si="135"/>
        <v>203792.81240431065</v>
      </c>
      <c r="AA308" s="63">
        <f t="shared" si="135"/>
        <v>9055068.7351165973</v>
      </c>
      <c r="AB308" s="63">
        <f t="shared" si="135"/>
        <v>1240151.6665522291</v>
      </c>
      <c r="AC308" s="63">
        <f t="shared" si="135"/>
        <v>15474945.22521111</v>
      </c>
      <c r="AD308" s="63">
        <f t="shared" si="135"/>
        <v>3422871.8415856296</v>
      </c>
      <c r="AE308" s="63">
        <f t="shared" si="135"/>
        <v>0</v>
      </c>
      <c r="AF308" s="63">
        <f t="shared" si="135"/>
        <v>557295499.83783972</v>
      </c>
      <c r="AG308" s="58" t="str">
        <f>IF(ABS(AF308-F308)&lt;1,"ok","err")</f>
        <v>ok</v>
      </c>
    </row>
    <row r="309" spans="1:33">
      <c r="A309" s="60"/>
      <c r="B309" s="60"/>
      <c r="F309" s="79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G309" s="58"/>
    </row>
    <row r="310" spans="1:33">
      <c r="A310" s="60"/>
      <c r="B310" s="60"/>
      <c r="F310" s="79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G310" s="58"/>
    </row>
    <row r="311" spans="1:33">
      <c r="A311" s="60"/>
      <c r="B311" s="60"/>
      <c r="F311" s="79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G311" s="58"/>
    </row>
    <row r="312" spans="1:33">
      <c r="A312" s="60"/>
      <c r="B312" s="60"/>
      <c r="F312" s="79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G312" s="58"/>
    </row>
    <row r="313" spans="1:33">
      <c r="A313" s="60"/>
      <c r="B313" s="60"/>
      <c r="F313" s="79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G313" s="58"/>
    </row>
    <row r="314" spans="1:33" ht="14.1">
      <c r="A314" s="59" t="s">
        <v>948</v>
      </c>
      <c r="B314" s="60"/>
      <c r="F314" s="79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G314" s="58"/>
    </row>
    <row r="315" spans="1:33">
      <c r="A315" s="60"/>
      <c r="B315" s="60"/>
      <c r="F315" s="79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G315" s="58"/>
    </row>
    <row r="316" spans="1:33" ht="14.1">
      <c r="A316" s="65" t="s">
        <v>971</v>
      </c>
      <c r="B316" s="60"/>
      <c r="F316" s="79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G316" s="58"/>
    </row>
    <row r="317" spans="1:33">
      <c r="A317" s="60">
        <v>920</v>
      </c>
      <c r="B317" s="60" t="s">
        <v>972</v>
      </c>
      <c r="C317" s="44" t="s">
        <v>973</v>
      </c>
      <c r="D317" s="44" t="s">
        <v>642</v>
      </c>
      <c r="F317" s="76">
        <v>25891027.499075498</v>
      </c>
      <c r="H317" s="63">
        <f t="shared" ref="H317:Q329" si="136">IF(VLOOKUP($D317,$C$6:$AE$653,H$2,)=0,0,((VLOOKUP($D317,$C$6:$AE$653,H$2,)/VLOOKUP($D317,$C$6:$AE$653,4,))*$F317))</f>
        <v>8431182.2165592257</v>
      </c>
      <c r="I317" s="63">
        <f t="shared" si="136"/>
        <v>0</v>
      </c>
      <c r="J317" s="63">
        <f t="shared" si="136"/>
        <v>0</v>
      </c>
      <c r="K317" s="63">
        <f t="shared" si="136"/>
        <v>7150539.7075525504</v>
      </c>
      <c r="L317" s="63">
        <f t="shared" si="136"/>
        <v>0</v>
      </c>
      <c r="M317" s="63">
        <f t="shared" si="136"/>
        <v>0</v>
      </c>
      <c r="N317" s="63">
        <f t="shared" si="136"/>
        <v>1943054.2351414012</v>
      </c>
      <c r="O317" s="63">
        <f t="shared" si="136"/>
        <v>0</v>
      </c>
      <c r="P317" s="63">
        <f t="shared" si="136"/>
        <v>0</v>
      </c>
      <c r="Q317" s="63">
        <f t="shared" si="136"/>
        <v>0</v>
      </c>
      <c r="R317" s="63">
        <f t="shared" ref="R317:AE329" si="137">IF(VLOOKUP($D317,$C$6:$AE$653,R$2,)=0,0,((VLOOKUP($D317,$C$6:$AE$653,R$2,)/VLOOKUP($D317,$C$6:$AE$653,4,))*$F317))</f>
        <v>808693.21389403462</v>
      </c>
      <c r="S317" s="63">
        <f t="shared" si="137"/>
        <v>0</v>
      </c>
      <c r="T317" s="63">
        <f t="shared" si="137"/>
        <v>802104.38712627313</v>
      </c>
      <c r="U317" s="63">
        <f t="shared" si="137"/>
        <v>1355414.01563112</v>
      </c>
      <c r="V317" s="63">
        <f t="shared" si="137"/>
        <v>266149.73323603137</v>
      </c>
      <c r="W317" s="63">
        <f t="shared" si="137"/>
        <v>463476.94633485307</v>
      </c>
      <c r="X317" s="63">
        <f t="shared" si="137"/>
        <v>72721.979244251226</v>
      </c>
      <c r="Y317" s="63">
        <f t="shared" si="137"/>
        <v>40535.806173505654</v>
      </c>
      <c r="Z317" s="63">
        <f t="shared" si="137"/>
        <v>18178.239867316723</v>
      </c>
      <c r="AA317" s="63">
        <f t="shared" si="137"/>
        <v>1650317.7767266326</v>
      </c>
      <c r="AB317" s="63">
        <f t="shared" si="137"/>
        <v>62717.628414631108</v>
      </c>
      <c r="AC317" s="63">
        <f t="shared" si="137"/>
        <v>2320422.6242734226</v>
      </c>
      <c r="AD317" s="63">
        <f t="shared" si="137"/>
        <v>505518.98890024697</v>
      </c>
      <c r="AE317" s="63">
        <f t="shared" si="137"/>
        <v>0</v>
      </c>
      <c r="AF317" s="63">
        <f t="shared" ref="AF317:AF328" si="138">SUM(H317:AE317)</f>
        <v>25891027.499075502</v>
      </c>
      <c r="AG317" s="58" t="str">
        <f t="shared" ref="AG317:AG328" si="139">IF(ABS(AF317-F317)&lt;1,"ok","err")</f>
        <v>ok</v>
      </c>
    </row>
    <row r="318" spans="1:33">
      <c r="A318" s="60">
        <v>921</v>
      </c>
      <c r="B318" s="60" t="s">
        <v>974</v>
      </c>
      <c r="C318" s="44" t="s">
        <v>975</v>
      </c>
      <c r="D318" s="44" t="s">
        <v>642</v>
      </c>
      <c r="F318" s="79">
        <v>7802684.7143973298</v>
      </c>
      <c r="H318" s="63">
        <f t="shared" si="136"/>
        <v>2540874.6952122436</v>
      </c>
      <c r="I318" s="63">
        <f t="shared" si="136"/>
        <v>0</v>
      </c>
      <c r="J318" s="63">
        <f t="shared" si="136"/>
        <v>0</v>
      </c>
      <c r="K318" s="63">
        <f t="shared" si="136"/>
        <v>2154932.1237947657</v>
      </c>
      <c r="L318" s="63">
        <f t="shared" si="136"/>
        <v>0</v>
      </c>
      <c r="M318" s="63">
        <f t="shared" si="136"/>
        <v>0</v>
      </c>
      <c r="N318" s="63">
        <f t="shared" si="136"/>
        <v>585571.18215274264</v>
      </c>
      <c r="O318" s="63">
        <f t="shared" si="136"/>
        <v>0</v>
      </c>
      <c r="P318" s="63">
        <f t="shared" si="136"/>
        <v>0</v>
      </c>
      <c r="Q318" s="63">
        <f t="shared" si="136"/>
        <v>0</v>
      </c>
      <c r="R318" s="63">
        <f t="shared" si="137"/>
        <v>243712.93023859896</v>
      </c>
      <c r="S318" s="63">
        <f t="shared" si="137"/>
        <v>0</v>
      </c>
      <c r="T318" s="63">
        <f t="shared" si="137"/>
        <v>241727.27949884132</v>
      </c>
      <c r="U318" s="63">
        <f t="shared" si="137"/>
        <v>408476.18820158765</v>
      </c>
      <c r="V318" s="63">
        <f t="shared" si="137"/>
        <v>80208.576323819594</v>
      </c>
      <c r="W318" s="63">
        <f t="shared" si="137"/>
        <v>139676.36026695505</v>
      </c>
      <c r="X318" s="63">
        <f t="shared" si="137"/>
        <v>21915.958177793455</v>
      </c>
      <c r="Y318" s="63">
        <f t="shared" si="137"/>
        <v>12216.128356708876</v>
      </c>
      <c r="Z318" s="63">
        <f t="shared" si="137"/>
        <v>5478.3099802595725</v>
      </c>
      <c r="AA318" s="63">
        <f t="shared" si="137"/>
        <v>497350.26123713644</v>
      </c>
      <c r="AB318" s="63">
        <f t="shared" si="137"/>
        <v>18900.983383976079</v>
      </c>
      <c r="AC318" s="63">
        <f t="shared" si="137"/>
        <v>699297.31996949425</v>
      </c>
      <c r="AD318" s="63">
        <f t="shared" si="137"/>
        <v>152346.41760240667</v>
      </c>
      <c r="AE318" s="63">
        <f t="shared" si="137"/>
        <v>0</v>
      </c>
      <c r="AF318" s="63">
        <f t="shared" si="138"/>
        <v>7802684.7143973289</v>
      </c>
      <c r="AG318" s="58" t="str">
        <f t="shared" si="139"/>
        <v>ok</v>
      </c>
    </row>
    <row r="319" spans="1:33">
      <c r="A319" s="60">
        <v>922</v>
      </c>
      <c r="B319" s="60" t="s">
        <v>268</v>
      </c>
      <c r="C319" s="44" t="s">
        <v>269</v>
      </c>
      <c r="D319" s="44" t="s">
        <v>642</v>
      </c>
      <c r="F319" s="79">
        <v>-5240118</v>
      </c>
      <c r="H319" s="63">
        <f t="shared" si="136"/>
        <v>-1706397.6968797189</v>
      </c>
      <c r="I319" s="63">
        <f t="shared" si="136"/>
        <v>0</v>
      </c>
      <c r="J319" s="63">
        <f t="shared" si="136"/>
        <v>0</v>
      </c>
      <c r="K319" s="63">
        <f t="shared" si="136"/>
        <v>-1447206.8299567795</v>
      </c>
      <c r="L319" s="63">
        <f t="shared" si="136"/>
        <v>0</v>
      </c>
      <c r="M319" s="63">
        <f t="shared" si="136"/>
        <v>0</v>
      </c>
      <c r="N319" s="63">
        <f t="shared" si="136"/>
        <v>-393257.21904641506</v>
      </c>
      <c r="O319" s="63">
        <f t="shared" si="136"/>
        <v>0</v>
      </c>
      <c r="P319" s="63">
        <f t="shared" si="136"/>
        <v>0</v>
      </c>
      <c r="Q319" s="63">
        <f t="shared" si="136"/>
        <v>0</v>
      </c>
      <c r="R319" s="63">
        <f t="shared" si="137"/>
        <v>-163672.44856370788</v>
      </c>
      <c r="S319" s="63">
        <f t="shared" si="137"/>
        <v>0</v>
      </c>
      <c r="T319" s="63">
        <f t="shared" si="137"/>
        <v>-162338.92753037455</v>
      </c>
      <c r="U319" s="63">
        <f t="shared" si="137"/>
        <v>-274323.9672900014</v>
      </c>
      <c r="V319" s="63">
        <f t="shared" si="137"/>
        <v>-53866.383165949126</v>
      </c>
      <c r="W319" s="63">
        <f t="shared" si="137"/>
        <v>-93803.688909643286</v>
      </c>
      <c r="X319" s="63">
        <f t="shared" si="137"/>
        <v>-14718.293912709116</v>
      </c>
      <c r="Y319" s="63">
        <f t="shared" si="137"/>
        <v>-8204.093390340835</v>
      </c>
      <c r="Z319" s="63">
        <f t="shared" si="137"/>
        <v>-3679.1170972432565</v>
      </c>
      <c r="AA319" s="63">
        <f t="shared" si="137"/>
        <v>-334009.91474185418</v>
      </c>
      <c r="AB319" s="63">
        <f t="shared" si="137"/>
        <v>-12693.50061848859</v>
      </c>
      <c r="AC319" s="63">
        <f t="shared" si="137"/>
        <v>-469633.28749685868</v>
      </c>
      <c r="AD319" s="63">
        <f t="shared" si="137"/>
        <v>-102312.63139991538</v>
      </c>
      <c r="AE319" s="63">
        <f t="shared" si="137"/>
        <v>0</v>
      </c>
      <c r="AF319" s="63">
        <f>SUM(H319:AE319)</f>
        <v>-5240118</v>
      </c>
      <c r="AG319" s="58" t="str">
        <f t="shared" si="139"/>
        <v>ok</v>
      </c>
    </row>
    <row r="320" spans="1:33">
      <c r="A320" s="60">
        <v>923</v>
      </c>
      <c r="B320" s="60" t="s">
        <v>976</v>
      </c>
      <c r="C320" s="44" t="s">
        <v>977</v>
      </c>
      <c r="D320" s="44" t="s">
        <v>642</v>
      </c>
      <c r="F320" s="79">
        <v>17066020.5</v>
      </c>
      <c r="H320" s="63">
        <f t="shared" si="136"/>
        <v>5557397.3861088753</v>
      </c>
      <c r="I320" s="63">
        <f t="shared" si="136"/>
        <v>0</v>
      </c>
      <c r="J320" s="63">
        <f t="shared" si="136"/>
        <v>0</v>
      </c>
      <c r="K320" s="63">
        <f t="shared" si="136"/>
        <v>4713264.3630892308</v>
      </c>
      <c r="L320" s="63">
        <f t="shared" si="136"/>
        <v>0</v>
      </c>
      <c r="M320" s="63">
        <f t="shared" si="136"/>
        <v>0</v>
      </c>
      <c r="N320" s="63">
        <f t="shared" si="136"/>
        <v>1280760.4260093207</v>
      </c>
      <c r="O320" s="63">
        <f t="shared" si="136"/>
        <v>0</v>
      </c>
      <c r="P320" s="63">
        <f t="shared" si="136"/>
        <v>0</v>
      </c>
      <c r="Q320" s="63">
        <f t="shared" si="136"/>
        <v>0</v>
      </c>
      <c r="R320" s="63">
        <f t="shared" si="137"/>
        <v>533048.56159220729</v>
      </c>
      <c r="S320" s="63">
        <f t="shared" si="137"/>
        <v>0</v>
      </c>
      <c r="T320" s="63">
        <f t="shared" si="137"/>
        <v>528705.5492226294</v>
      </c>
      <c r="U320" s="63">
        <f t="shared" si="137"/>
        <v>893418.51641747251</v>
      </c>
      <c r="V320" s="63">
        <f t="shared" si="137"/>
        <v>175432.07984456507</v>
      </c>
      <c r="W320" s="63">
        <f t="shared" si="137"/>
        <v>305499.92918243347</v>
      </c>
      <c r="X320" s="63">
        <f t="shared" si="137"/>
        <v>47934.551405010148</v>
      </c>
      <c r="Y320" s="63">
        <f t="shared" si="137"/>
        <v>26719.097925556485</v>
      </c>
      <c r="Z320" s="63">
        <f t="shared" si="137"/>
        <v>11982.151509461029</v>
      </c>
      <c r="AA320" s="63">
        <f t="shared" si="137"/>
        <v>1087803.7578901344</v>
      </c>
      <c r="AB320" s="63">
        <f t="shared" si="137"/>
        <v>41340.202982430732</v>
      </c>
      <c r="AC320" s="63">
        <f t="shared" si="137"/>
        <v>1529502.066919826</v>
      </c>
      <c r="AD320" s="63">
        <f t="shared" si="137"/>
        <v>333211.85990084568</v>
      </c>
      <c r="AE320" s="63">
        <f t="shared" si="137"/>
        <v>0</v>
      </c>
      <c r="AF320" s="63">
        <f t="shared" si="138"/>
        <v>17066020.499999996</v>
      </c>
      <c r="AG320" s="58" t="str">
        <f t="shared" si="139"/>
        <v>ok</v>
      </c>
    </row>
    <row r="321" spans="1:33">
      <c r="A321" s="60">
        <v>924</v>
      </c>
      <c r="B321" s="60" t="s">
        <v>978</v>
      </c>
      <c r="C321" s="44" t="s">
        <v>979</v>
      </c>
      <c r="D321" s="44" t="s">
        <v>892</v>
      </c>
      <c r="F321" s="79">
        <v>7218577.5</v>
      </c>
      <c r="H321" s="63">
        <f t="shared" si="136"/>
        <v>4385652.7896474302</v>
      </c>
      <c r="I321" s="63">
        <f t="shared" si="136"/>
        <v>0</v>
      </c>
      <c r="J321" s="63">
        <f t="shared" si="136"/>
        <v>0</v>
      </c>
      <c r="K321" s="63">
        <f t="shared" si="136"/>
        <v>0</v>
      </c>
      <c r="L321" s="63">
        <f t="shared" si="136"/>
        <v>0</v>
      </c>
      <c r="M321" s="63">
        <f t="shared" si="136"/>
        <v>0</v>
      </c>
      <c r="N321" s="63">
        <f t="shared" si="136"/>
        <v>695006.24001376785</v>
      </c>
      <c r="O321" s="63">
        <f t="shared" si="136"/>
        <v>0</v>
      </c>
      <c r="P321" s="63">
        <f t="shared" si="136"/>
        <v>0</v>
      </c>
      <c r="Q321" s="63">
        <f t="shared" si="136"/>
        <v>0</v>
      </c>
      <c r="R321" s="63">
        <f t="shared" si="137"/>
        <v>266602.05464531388</v>
      </c>
      <c r="S321" s="63">
        <f t="shared" si="137"/>
        <v>0</v>
      </c>
      <c r="T321" s="63">
        <f t="shared" si="137"/>
        <v>409281.79006459948</v>
      </c>
      <c r="U321" s="63">
        <f t="shared" si="137"/>
        <v>669760.52148736035</v>
      </c>
      <c r="V321" s="63">
        <f t="shared" si="137"/>
        <v>114193.35429251163</v>
      </c>
      <c r="W321" s="63">
        <f t="shared" si="137"/>
        <v>195128.49123151397</v>
      </c>
      <c r="X321" s="63">
        <f t="shared" si="137"/>
        <v>139893.29065750208</v>
      </c>
      <c r="Y321" s="63">
        <f t="shared" si="137"/>
        <v>77977.626214218719</v>
      </c>
      <c r="Z321" s="63">
        <f t="shared" si="137"/>
        <v>49856.63062387539</v>
      </c>
      <c r="AA321" s="63">
        <f t="shared" si="137"/>
        <v>50845.161742483935</v>
      </c>
      <c r="AB321" s="63">
        <f t="shared" si="137"/>
        <v>164379.5493794244</v>
      </c>
      <c r="AC321" s="63">
        <f t="shared" si="137"/>
        <v>0</v>
      </c>
      <c r="AD321" s="63">
        <f t="shared" si="137"/>
        <v>0</v>
      </c>
      <c r="AE321" s="63">
        <f t="shared" si="137"/>
        <v>0</v>
      </c>
      <c r="AF321" s="63">
        <f t="shared" si="138"/>
        <v>7218577.5000000019</v>
      </c>
      <c r="AG321" s="58" t="str">
        <f t="shared" si="139"/>
        <v>ok</v>
      </c>
    </row>
    <row r="322" spans="1:33">
      <c r="A322" s="60">
        <v>925</v>
      </c>
      <c r="B322" s="60" t="s">
        <v>1231</v>
      </c>
      <c r="C322" s="44" t="s">
        <v>980</v>
      </c>
      <c r="D322" s="44" t="s">
        <v>642</v>
      </c>
      <c r="F322" s="79">
        <v>3235547.75</v>
      </c>
      <c r="H322" s="63">
        <f t="shared" si="136"/>
        <v>1053627.2711309853</v>
      </c>
      <c r="I322" s="63">
        <f t="shared" si="136"/>
        <v>0</v>
      </c>
      <c r="J322" s="63">
        <f t="shared" si="136"/>
        <v>0</v>
      </c>
      <c r="K322" s="63">
        <f t="shared" si="136"/>
        <v>893588.04562250129</v>
      </c>
      <c r="L322" s="63">
        <f t="shared" si="136"/>
        <v>0</v>
      </c>
      <c r="M322" s="63">
        <f t="shared" si="136"/>
        <v>0</v>
      </c>
      <c r="N322" s="63">
        <f t="shared" si="136"/>
        <v>242819.4384662493</v>
      </c>
      <c r="O322" s="63">
        <f t="shared" si="136"/>
        <v>0</v>
      </c>
      <c r="P322" s="63">
        <f t="shared" si="136"/>
        <v>0</v>
      </c>
      <c r="Q322" s="63">
        <f t="shared" si="136"/>
        <v>0</v>
      </c>
      <c r="R322" s="63">
        <f t="shared" si="137"/>
        <v>101060.70563435704</v>
      </c>
      <c r="S322" s="63">
        <f t="shared" si="137"/>
        <v>0</v>
      </c>
      <c r="T322" s="63">
        <f t="shared" si="137"/>
        <v>100237.31368421788</v>
      </c>
      <c r="U322" s="63">
        <f t="shared" si="137"/>
        <v>169383.26486850824</v>
      </c>
      <c r="V322" s="63">
        <f t="shared" si="137"/>
        <v>33260.177509976791</v>
      </c>
      <c r="W322" s="63">
        <f t="shared" si="137"/>
        <v>57919.748103629783</v>
      </c>
      <c r="X322" s="63">
        <f t="shared" si="137"/>
        <v>9087.9141945094889</v>
      </c>
      <c r="Y322" s="63">
        <f t="shared" si="137"/>
        <v>5065.6752214181361</v>
      </c>
      <c r="Z322" s="63">
        <f t="shared" si="137"/>
        <v>2271.6967530066972</v>
      </c>
      <c r="AA322" s="63">
        <f t="shared" si="137"/>
        <v>206236.77331706998</v>
      </c>
      <c r="AB322" s="63">
        <f t="shared" si="137"/>
        <v>7837.6913202669039</v>
      </c>
      <c r="AC322" s="63">
        <f t="shared" si="137"/>
        <v>289978.37962533749</v>
      </c>
      <c r="AD322" s="63">
        <f t="shared" si="137"/>
        <v>63173.654547965438</v>
      </c>
      <c r="AE322" s="63">
        <f t="shared" si="137"/>
        <v>0</v>
      </c>
      <c r="AF322" s="63">
        <f t="shared" si="138"/>
        <v>3235547.7500000005</v>
      </c>
      <c r="AG322" s="58" t="str">
        <f t="shared" si="139"/>
        <v>ok</v>
      </c>
    </row>
    <row r="323" spans="1:33">
      <c r="A323" s="60">
        <v>926</v>
      </c>
      <c r="B323" s="60" t="s">
        <v>981</v>
      </c>
      <c r="C323" s="44" t="s">
        <v>982</v>
      </c>
      <c r="D323" s="44" t="s">
        <v>642</v>
      </c>
      <c r="F323" s="79">
        <v>23981335.249999899</v>
      </c>
      <c r="H323" s="63">
        <f t="shared" si="136"/>
        <v>7809307.9657176128</v>
      </c>
      <c r="I323" s="63">
        <f t="shared" si="136"/>
        <v>0</v>
      </c>
      <c r="J323" s="63">
        <f t="shared" si="136"/>
        <v>0</v>
      </c>
      <c r="K323" s="63">
        <f t="shared" si="136"/>
        <v>6623124.1672960659</v>
      </c>
      <c r="L323" s="63">
        <f t="shared" si="136"/>
        <v>0</v>
      </c>
      <c r="M323" s="63">
        <f t="shared" si="136"/>
        <v>0</v>
      </c>
      <c r="N323" s="63">
        <f t="shared" si="136"/>
        <v>1799736.8016206364</v>
      </c>
      <c r="O323" s="63">
        <f t="shared" si="136"/>
        <v>0</v>
      </c>
      <c r="P323" s="63">
        <f t="shared" si="136"/>
        <v>0</v>
      </c>
      <c r="Q323" s="63">
        <f t="shared" si="136"/>
        <v>0</v>
      </c>
      <c r="R323" s="63">
        <f t="shared" si="137"/>
        <v>749044.93757481093</v>
      </c>
      <c r="S323" s="63">
        <f t="shared" si="137"/>
        <v>0</v>
      </c>
      <c r="T323" s="63">
        <f t="shared" si="137"/>
        <v>742942.09505040734</v>
      </c>
      <c r="U323" s="63">
        <f t="shared" si="137"/>
        <v>1255440.2451798853</v>
      </c>
      <c r="V323" s="63">
        <f t="shared" si="137"/>
        <v>246518.83667649791</v>
      </c>
      <c r="W323" s="63">
        <f t="shared" si="137"/>
        <v>429291.4227177428</v>
      </c>
      <c r="X323" s="63">
        <f t="shared" si="137"/>
        <v>67358.090147723779</v>
      </c>
      <c r="Y323" s="63">
        <f t="shared" si="137"/>
        <v>37545.931983988121</v>
      </c>
      <c r="Z323" s="63">
        <f t="shared" si="137"/>
        <v>16837.433915228055</v>
      </c>
      <c r="AA323" s="63">
        <f t="shared" si="137"/>
        <v>1528592.2458708542</v>
      </c>
      <c r="AB323" s="63">
        <f t="shared" si="137"/>
        <v>58091.64866670101</v>
      </c>
      <c r="AC323" s="63">
        <f t="shared" si="137"/>
        <v>2149270.934742644</v>
      </c>
      <c r="AD323" s="63">
        <f t="shared" si="137"/>
        <v>468232.49283909966</v>
      </c>
      <c r="AE323" s="63">
        <f t="shared" si="137"/>
        <v>0</v>
      </c>
      <c r="AF323" s="63">
        <f t="shared" si="138"/>
        <v>23981335.249999892</v>
      </c>
      <c r="AG323" s="58" t="str">
        <f t="shared" si="139"/>
        <v>ok</v>
      </c>
    </row>
    <row r="324" spans="1:33">
      <c r="A324" s="60">
        <v>927</v>
      </c>
      <c r="B324" s="60" t="s">
        <v>578</v>
      </c>
      <c r="C324" s="44" t="s">
        <v>577</v>
      </c>
      <c r="D324" s="44" t="s">
        <v>892</v>
      </c>
      <c r="F324" s="79">
        <v>0</v>
      </c>
      <c r="H324" s="63">
        <f t="shared" si="136"/>
        <v>0</v>
      </c>
      <c r="I324" s="63">
        <f t="shared" si="136"/>
        <v>0</v>
      </c>
      <c r="J324" s="63">
        <f t="shared" si="136"/>
        <v>0</v>
      </c>
      <c r="K324" s="63">
        <f t="shared" si="136"/>
        <v>0</v>
      </c>
      <c r="L324" s="63">
        <f t="shared" si="136"/>
        <v>0</v>
      </c>
      <c r="M324" s="63">
        <f t="shared" si="136"/>
        <v>0</v>
      </c>
      <c r="N324" s="63">
        <f t="shared" si="136"/>
        <v>0</v>
      </c>
      <c r="O324" s="63">
        <f t="shared" si="136"/>
        <v>0</v>
      </c>
      <c r="P324" s="63">
        <f t="shared" si="136"/>
        <v>0</v>
      </c>
      <c r="Q324" s="63">
        <f t="shared" si="136"/>
        <v>0</v>
      </c>
      <c r="R324" s="63">
        <f t="shared" si="137"/>
        <v>0</v>
      </c>
      <c r="S324" s="63">
        <f t="shared" si="137"/>
        <v>0</v>
      </c>
      <c r="T324" s="63">
        <f t="shared" si="137"/>
        <v>0</v>
      </c>
      <c r="U324" s="63">
        <f t="shared" si="137"/>
        <v>0</v>
      </c>
      <c r="V324" s="63">
        <f t="shared" si="137"/>
        <v>0</v>
      </c>
      <c r="W324" s="63">
        <f t="shared" si="137"/>
        <v>0</v>
      </c>
      <c r="X324" s="63">
        <f t="shared" si="137"/>
        <v>0</v>
      </c>
      <c r="Y324" s="63">
        <f t="shared" si="137"/>
        <v>0</v>
      </c>
      <c r="Z324" s="63">
        <f t="shared" si="137"/>
        <v>0</v>
      </c>
      <c r="AA324" s="63">
        <f t="shared" si="137"/>
        <v>0</v>
      </c>
      <c r="AB324" s="63">
        <f t="shared" si="137"/>
        <v>0</v>
      </c>
      <c r="AC324" s="63">
        <f t="shared" si="137"/>
        <v>0</v>
      </c>
      <c r="AD324" s="63">
        <f t="shared" si="137"/>
        <v>0</v>
      </c>
      <c r="AE324" s="63">
        <f t="shared" si="137"/>
        <v>0</v>
      </c>
      <c r="AF324" s="63">
        <f>SUM(H324:AE324)</f>
        <v>0</v>
      </c>
      <c r="AG324" s="58" t="str">
        <f t="shared" si="139"/>
        <v>ok</v>
      </c>
    </row>
    <row r="325" spans="1:33">
      <c r="A325" s="60">
        <v>928</v>
      </c>
      <c r="B325" s="60" t="s">
        <v>819</v>
      </c>
      <c r="C325" s="44" t="s">
        <v>983</v>
      </c>
      <c r="D325" s="44" t="s">
        <v>892</v>
      </c>
      <c r="F325" s="79">
        <v>984809.49999999895</v>
      </c>
      <c r="H325" s="63">
        <f t="shared" si="136"/>
        <v>598321.83431517996</v>
      </c>
      <c r="I325" s="63">
        <f t="shared" si="136"/>
        <v>0</v>
      </c>
      <c r="J325" s="63">
        <f t="shared" si="136"/>
        <v>0</v>
      </c>
      <c r="K325" s="63">
        <f t="shared" si="136"/>
        <v>0</v>
      </c>
      <c r="L325" s="63">
        <f t="shared" si="136"/>
        <v>0</v>
      </c>
      <c r="M325" s="63">
        <f t="shared" si="136"/>
        <v>0</v>
      </c>
      <c r="N325" s="63">
        <f t="shared" si="136"/>
        <v>94817.676713291221</v>
      </c>
      <c r="O325" s="63">
        <f t="shared" si="136"/>
        <v>0</v>
      </c>
      <c r="P325" s="63">
        <f t="shared" si="136"/>
        <v>0</v>
      </c>
      <c r="Q325" s="63">
        <f t="shared" si="136"/>
        <v>0</v>
      </c>
      <c r="R325" s="63">
        <f t="shared" si="137"/>
        <v>36371.741680992403</v>
      </c>
      <c r="S325" s="63">
        <f t="shared" si="137"/>
        <v>0</v>
      </c>
      <c r="T325" s="63">
        <f t="shared" si="137"/>
        <v>55837.12234614406</v>
      </c>
      <c r="U325" s="63">
        <f t="shared" si="137"/>
        <v>91373.476877640496</v>
      </c>
      <c r="V325" s="63">
        <f t="shared" si="137"/>
        <v>15579.066671256369</v>
      </c>
      <c r="W325" s="63">
        <f t="shared" si="137"/>
        <v>26620.81163296528</v>
      </c>
      <c r="X325" s="63">
        <f t="shared" si="137"/>
        <v>19085.234123450104</v>
      </c>
      <c r="Y325" s="63">
        <f t="shared" si="137"/>
        <v>10638.260389004834</v>
      </c>
      <c r="Z325" s="63">
        <f t="shared" si="137"/>
        <v>6801.7948794458953</v>
      </c>
      <c r="AA325" s="63">
        <f t="shared" si="137"/>
        <v>6936.6573002831483</v>
      </c>
      <c r="AB325" s="63">
        <f t="shared" si="137"/>
        <v>22425.823070345381</v>
      </c>
      <c r="AC325" s="63">
        <f t="shared" si="137"/>
        <v>0</v>
      </c>
      <c r="AD325" s="63">
        <f t="shared" si="137"/>
        <v>0</v>
      </c>
      <c r="AE325" s="63">
        <f t="shared" si="137"/>
        <v>0</v>
      </c>
      <c r="AF325" s="63">
        <f t="shared" si="138"/>
        <v>984809.49999999907</v>
      </c>
      <c r="AG325" s="58" t="str">
        <f t="shared" si="139"/>
        <v>ok</v>
      </c>
    </row>
    <row r="326" spans="1:33">
      <c r="A326" s="60">
        <v>929</v>
      </c>
      <c r="B326" s="60" t="s">
        <v>1082</v>
      </c>
      <c r="C326" s="44" t="s">
        <v>1083</v>
      </c>
      <c r="D326" s="44" t="s">
        <v>642</v>
      </c>
      <c r="F326" s="79">
        <v>-216193</v>
      </c>
      <c r="H326" s="63">
        <f t="shared" si="136"/>
        <v>-70401.322504859068</v>
      </c>
      <c r="I326" s="63">
        <f t="shared" si="136"/>
        <v>0</v>
      </c>
      <c r="J326" s="63">
        <f t="shared" si="136"/>
        <v>0</v>
      </c>
      <c r="K326" s="63">
        <f t="shared" si="136"/>
        <v>-59707.813104370172</v>
      </c>
      <c r="L326" s="63">
        <f t="shared" si="136"/>
        <v>0</v>
      </c>
      <c r="M326" s="63">
        <f t="shared" si="136"/>
        <v>0</v>
      </c>
      <c r="N326" s="63">
        <f t="shared" si="136"/>
        <v>-16224.722030553818</v>
      </c>
      <c r="O326" s="63">
        <f t="shared" si="136"/>
        <v>0</v>
      </c>
      <c r="P326" s="63">
        <f t="shared" si="136"/>
        <v>0</v>
      </c>
      <c r="Q326" s="63">
        <f t="shared" si="136"/>
        <v>0</v>
      </c>
      <c r="R326" s="63">
        <f t="shared" si="137"/>
        <v>-6752.6795526997093</v>
      </c>
      <c r="S326" s="63">
        <f t="shared" si="137"/>
        <v>0</v>
      </c>
      <c r="T326" s="63">
        <f t="shared" si="137"/>
        <v>-6697.6621060010993</v>
      </c>
      <c r="U326" s="63">
        <f t="shared" si="137"/>
        <v>-11317.859914667431</v>
      </c>
      <c r="V326" s="63">
        <f t="shared" si="137"/>
        <v>-2222.3802929239455</v>
      </c>
      <c r="W326" s="63">
        <f t="shared" si="137"/>
        <v>-3870.0847798546733</v>
      </c>
      <c r="X326" s="63">
        <f t="shared" si="137"/>
        <v>-607.23672937714798</v>
      </c>
      <c r="Y326" s="63">
        <f t="shared" si="137"/>
        <v>-338.47855379171926</v>
      </c>
      <c r="Z326" s="63">
        <f t="shared" si="137"/>
        <v>-151.79035330966045</v>
      </c>
      <c r="AA326" s="63">
        <f t="shared" si="137"/>
        <v>-13780.339583533363</v>
      </c>
      <c r="AB326" s="63">
        <f t="shared" si="137"/>
        <v>-523.69927150741717</v>
      </c>
      <c r="AC326" s="63">
        <f t="shared" si="137"/>
        <v>-19375.790645135927</v>
      </c>
      <c r="AD326" s="63">
        <f t="shared" si="137"/>
        <v>-4221.1405774148416</v>
      </c>
      <c r="AE326" s="63">
        <f t="shared" si="137"/>
        <v>0</v>
      </c>
      <c r="AF326" s="63">
        <f t="shared" si="138"/>
        <v>-216192.99999999994</v>
      </c>
      <c r="AG326" s="58" t="str">
        <f t="shared" si="139"/>
        <v>ok</v>
      </c>
    </row>
    <row r="327" spans="1:33">
      <c r="A327" s="60">
        <v>930</v>
      </c>
      <c r="B327" s="60" t="s">
        <v>984</v>
      </c>
      <c r="C327" s="44" t="s">
        <v>985</v>
      </c>
      <c r="D327" s="44" t="s">
        <v>642</v>
      </c>
      <c r="F327" s="79">
        <f>2554269.6</f>
        <v>2554269.6</v>
      </c>
      <c r="H327" s="63">
        <f t="shared" si="136"/>
        <v>831775.11702024285</v>
      </c>
      <c r="I327" s="63">
        <f t="shared" si="136"/>
        <v>0</v>
      </c>
      <c r="J327" s="63">
        <f t="shared" si="136"/>
        <v>0</v>
      </c>
      <c r="K327" s="63">
        <f t="shared" si="136"/>
        <v>705433.8109697093</v>
      </c>
      <c r="L327" s="63">
        <f t="shared" si="136"/>
        <v>0</v>
      </c>
      <c r="M327" s="63">
        <f t="shared" si="136"/>
        <v>0</v>
      </c>
      <c r="N327" s="63">
        <f t="shared" si="136"/>
        <v>191691.28626317176</v>
      </c>
      <c r="O327" s="63">
        <f t="shared" si="136"/>
        <v>0</v>
      </c>
      <c r="P327" s="63">
        <f t="shared" si="136"/>
        <v>0</v>
      </c>
      <c r="Q327" s="63">
        <f t="shared" si="136"/>
        <v>0</v>
      </c>
      <c r="R327" s="63">
        <f t="shared" si="137"/>
        <v>79781.325482335073</v>
      </c>
      <c r="S327" s="63">
        <f t="shared" si="137"/>
        <v>0</v>
      </c>
      <c r="T327" s="63">
        <f t="shared" si="137"/>
        <v>79131.307250607497</v>
      </c>
      <c r="U327" s="63">
        <f t="shared" si="137"/>
        <v>133717.86097187983</v>
      </c>
      <c r="V327" s="63">
        <f t="shared" si="137"/>
        <v>26256.902035934232</v>
      </c>
      <c r="W327" s="63">
        <f t="shared" si="137"/>
        <v>45724.144179531642</v>
      </c>
      <c r="X327" s="63">
        <f t="shared" si="137"/>
        <v>7174.3595669215747</v>
      </c>
      <c r="Y327" s="63">
        <f t="shared" si="137"/>
        <v>3999.0447433642776</v>
      </c>
      <c r="Z327" s="63">
        <f t="shared" si="137"/>
        <v>1793.3674311014931</v>
      </c>
      <c r="AA327" s="63">
        <f t="shared" si="137"/>
        <v>162811.48083377321</v>
      </c>
      <c r="AB327" s="63">
        <f t="shared" si="137"/>
        <v>6187.384090851886</v>
      </c>
      <c r="AC327" s="63">
        <f t="shared" si="137"/>
        <v>228920.42305178745</v>
      </c>
      <c r="AD327" s="63">
        <f t="shared" si="137"/>
        <v>49871.786108787877</v>
      </c>
      <c r="AE327" s="63">
        <f t="shared" si="137"/>
        <v>0</v>
      </c>
      <c r="AF327" s="63">
        <f t="shared" si="138"/>
        <v>2554269.6</v>
      </c>
      <c r="AG327" s="58" t="str">
        <f t="shared" si="139"/>
        <v>ok</v>
      </c>
    </row>
    <row r="328" spans="1:33">
      <c r="A328" s="60">
        <v>931</v>
      </c>
      <c r="B328" s="60" t="s">
        <v>986</v>
      </c>
      <c r="C328" s="44" t="s">
        <v>987</v>
      </c>
      <c r="D328" s="44" t="s">
        <v>882</v>
      </c>
      <c r="F328" s="79">
        <v>1807941</v>
      </c>
      <c r="H328" s="63">
        <f t="shared" si="136"/>
        <v>1103634.6365621204</v>
      </c>
      <c r="I328" s="63">
        <f t="shared" si="136"/>
        <v>0</v>
      </c>
      <c r="J328" s="63">
        <f t="shared" si="136"/>
        <v>0</v>
      </c>
      <c r="K328" s="63">
        <f t="shared" si="136"/>
        <v>0</v>
      </c>
      <c r="L328" s="63">
        <f t="shared" si="136"/>
        <v>0</v>
      </c>
      <c r="M328" s="63">
        <f t="shared" si="136"/>
        <v>0</v>
      </c>
      <c r="N328" s="63">
        <f t="shared" si="136"/>
        <v>169506.94499818029</v>
      </c>
      <c r="O328" s="63">
        <f t="shared" si="136"/>
        <v>0</v>
      </c>
      <c r="P328" s="63">
        <f t="shared" si="136"/>
        <v>0</v>
      </c>
      <c r="Q328" s="63">
        <f t="shared" si="136"/>
        <v>0</v>
      </c>
      <c r="R328" s="63">
        <f t="shared" si="137"/>
        <v>66690.393369653524</v>
      </c>
      <c r="S328" s="63">
        <f t="shared" si="137"/>
        <v>0</v>
      </c>
      <c r="T328" s="63">
        <f t="shared" si="137"/>
        <v>102381.66999409457</v>
      </c>
      <c r="U328" s="63">
        <f t="shared" si="137"/>
        <v>167540.31659988733</v>
      </c>
      <c r="V328" s="63">
        <f t="shared" si="137"/>
        <v>28565.420203154743</v>
      </c>
      <c r="W328" s="63">
        <f t="shared" si="137"/>
        <v>48811.31113250176</v>
      </c>
      <c r="X328" s="63">
        <f t="shared" si="137"/>
        <v>34994.248623237596</v>
      </c>
      <c r="Y328" s="63">
        <f t="shared" si="137"/>
        <v>19506.070848465832</v>
      </c>
      <c r="Z328" s="63">
        <f t="shared" si="137"/>
        <v>12471.61546753746</v>
      </c>
      <c r="AA328" s="63">
        <f t="shared" si="137"/>
        <v>12718.896116765218</v>
      </c>
      <c r="AB328" s="63">
        <f t="shared" si="137"/>
        <v>41119.476084401176</v>
      </c>
      <c r="AC328" s="63">
        <f t="shared" si="137"/>
        <v>0</v>
      </c>
      <c r="AD328" s="63">
        <f t="shared" si="137"/>
        <v>0</v>
      </c>
      <c r="AE328" s="63">
        <f t="shared" si="137"/>
        <v>0</v>
      </c>
      <c r="AF328" s="63">
        <f t="shared" si="138"/>
        <v>1807941</v>
      </c>
      <c r="AG328" s="58" t="str">
        <f t="shared" si="139"/>
        <v>ok</v>
      </c>
    </row>
    <row r="329" spans="1:33">
      <c r="A329" s="60">
        <v>935</v>
      </c>
      <c r="B329" s="60" t="s">
        <v>988</v>
      </c>
      <c r="C329" s="44" t="s">
        <v>271</v>
      </c>
      <c r="D329" s="44" t="s">
        <v>882</v>
      </c>
      <c r="F329" s="79">
        <v>1055259.0900000001</v>
      </c>
      <c r="H329" s="63">
        <f t="shared" si="136"/>
        <v>644169.51784987678</v>
      </c>
      <c r="I329" s="63">
        <f t="shared" si="136"/>
        <v>0</v>
      </c>
      <c r="J329" s="63">
        <f t="shared" si="136"/>
        <v>0</v>
      </c>
      <c r="K329" s="63">
        <f t="shared" si="136"/>
        <v>0</v>
      </c>
      <c r="L329" s="63">
        <f t="shared" si="136"/>
        <v>0</v>
      </c>
      <c r="M329" s="63">
        <f t="shared" si="136"/>
        <v>0</v>
      </c>
      <c r="N329" s="63">
        <f t="shared" si="136"/>
        <v>98937.821824639075</v>
      </c>
      <c r="O329" s="63">
        <f t="shared" si="136"/>
        <v>0</v>
      </c>
      <c r="P329" s="63">
        <f t="shared" si="136"/>
        <v>0</v>
      </c>
      <c r="Q329" s="63">
        <f t="shared" si="136"/>
        <v>0</v>
      </c>
      <c r="R329" s="63">
        <f t="shared" si="137"/>
        <v>38925.852015636912</v>
      </c>
      <c r="S329" s="63">
        <f t="shared" si="137"/>
        <v>0</v>
      </c>
      <c r="T329" s="63">
        <f t="shared" si="137"/>
        <v>59758.138075660958</v>
      </c>
      <c r="U329" s="63">
        <f t="shared" si="137"/>
        <v>97789.940066356707</v>
      </c>
      <c r="V329" s="63">
        <f t="shared" si="137"/>
        <v>16673.065840671068</v>
      </c>
      <c r="W329" s="63">
        <f t="shared" si="137"/>
        <v>28490.188433909447</v>
      </c>
      <c r="X329" s="63">
        <f t="shared" si="137"/>
        <v>20425.444722693639</v>
      </c>
      <c r="Y329" s="63">
        <f t="shared" si="137"/>
        <v>11385.304372779634</v>
      </c>
      <c r="Z329" s="63">
        <f t="shared" si="137"/>
        <v>7279.433117067153</v>
      </c>
      <c r="AA329" s="63">
        <f t="shared" si="137"/>
        <v>7423.7658983242254</v>
      </c>
      <c r="AB329" s="63">
        <f t="shared" si="137"/>
        <v>24000.617782384466</v>
      </c>
      <c r="AC329" s="63">
        <f t="shared" si="137"/>
        <v>0</v>
      </c>
      <c r="AD329" s="63">
        <f t="shared" si="137"/>
        <v>0</v>
      </c>
      <c r="AE329" s="63">
        <f t="shared" si="137"/>
        <v>0</v>
      </c>
      <c r="AF329" s="63"/>
      <c r="AG329" s="58"/>
    </row>
    <row r="330" spans="1:33">
      <c r="A330" s="60"/>
      <c r="B330" s="60"/>
      <c r="F330" s="79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58"/>
    </row>
    <row r="331" spans="1:33">
      <c r="A331" s="60" t="s">
        <v>989</v>
      </c>
      <c r="B331" s="60"/>
      <c r="C331" s="44" t="s">
        <v>990</v>
      </c>
      <c r="F331" s="173">
        <f t="shared" ref="F331:M331" si="140">SUM(F317:F330)</f>
        <v>86141161.403472722</v>
      </c>
      <c r="G331" s="62">
        <f t="shared" si="140"/>
        <v>0</v>
      </c>
      <c r="H331" s="62">
        <f t="shared" si="140"/>
        <v>31179144.410739217</v>
      </c>
      <c r="I331" s="62">
        <f t="shared" si="140"/>
        <v>0</v>
      </c>
      <c r="J331" s="62">
        <f t="shared" si="140"/>
        <v>0</v>
      </c>
      <c r="K331" s="62">
        <f t="shared" si="140"/>
        <v>20733967.575263679</v>
      </c>
      <c r="L331" s="62">
        <f t="shared" si="140"/>
        <v>0</v>
      </c>
      <c r="M331" s="62">
        <f t="shared" si="140"/>
        <v>0</v>
      </c>
      <c r="N331" s="62">
        <f>SUM(N317:N330)</f>
        <v>6692420.1121264314</v>
      </c>
      <c r="O331" s="62">
        <f>SUM(O317:O330)</f>
        <v>0</v>
      </c>
      <c r="P331" s="62">
        <f>SUM(P317:P330)</f>
        <v>0</v>
      </c>
      <c r="Q331" s="62">
        <f t="shared" ref="Q331:AB331" si="141">SUM(Q317:Q330)</f>
        <v>0</v>
      </c>
      <c r="R331" s="62">
        <f t="shared" si="141"/>
        <v>2753506.5880115326</v>
      </c>
      <c r="S331" s="62">
        <f t="shared" si="141"/>
        <v>0</v>
      </c>
      <c r="T331" s="62">
        <f t="shared" si="141"/>
        <v>2953070.0626770994</v>
      </c>
      <c r="U331" s="62">
        <f t="shared" si="141"/>
        <v>4956672.5190970311</v>
      </c>
      <c r="V331" s="62">
        <f t="shared" si="141"/>
        <v>946748.44917554583</v>
      </c>
      <c r="W331" s="62">
        <f t="shared" si="141"/>
        <v>1642965.5795265385</v>
      </c>
      <c r="X331" s="62">
        <f t="shared" si="141"/>
        <v>425265.5402210069</v>
      </c>
      <c r="Y331" s="62">
        <f t="shared" si="141"/>
        <v>237046.37428487805</v>
      </c>
      <c r="Z331" s="62">
        <f t="shared" si="141"/>
        <v>129119.76609374654</v>
      </c>
      <c r="AA331" s="62">
        <f t="shared" si="141"/>
        <v>4863246.5226080706</v>
      </c>
      <c r="AB331" s="62">
        <f t="shared" si="141"/>
        <v>433783.80528541713</v>
      </c>
      <c r="AC331" s="62">
        <f>SUM(AC317:AC330)</f>
        <v>6728382.6704405174</v>
      </c>
      <c r="AD331" s="62">
        <f>SUM(AD317:AD330)</f>
        <v>1465821.4279220221</v>
      </c>
      <c r="AE331" s="62">
        <f>SUM(AE317:AE330)</f>
        <v>0</v>
      </c>
      <c r="AF331" s="63">
        <f>SUM(H331:AE331)</f>
        <v>86141161.403472766</v>
      </c>
      <c r="AG331" s="58" t="str">
        <f>IF(ABS(AF331-F331)&lt;1,"ok","err")</f>
        <v>ok</v>
      </c>
    </row>
    <row r="332" spans="1:33">
      <c r="A332" s="60"/>
      <c r="B332" s="60"/>
      <c r="F332" s="79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58"/>
    </row>
    <row r="333" spans="1:33">
      <c r="A333" s="60" t="s">
        <v>991</v>
      </c>
      <c r="B333" s="60"/>
      <c r="C333" s="44" t="s">
        <v>992</v>
      </c>
      <c r="F333" s="76">
        <f>F280+F292+F306+F331</f>
        <v>643436661.2413125</v>
      </c>
      <c r="G333" s="62"/>
      <c r="H333" s="62">
        <f t="shared" ref="H333:AE333" si="142">H280+H292+H306+H331</f>
        <v>111958098.21523491</v>
      </c>
      <c r="I333" s="62">
        <f t="shared" si="142"/>
        <v>0</v>
      </c>
      <c r="J333" s="62">
        <f t="shared" si="142"/>
        <v>0</v>
      </c>
      <c r="K333" s="62">
        <f t="shared" si="142"/>
        <v>397495518.54181111</v>
      </c>
      <c r="L333" s="62">
        <f t="shared" si="142"/>
        <v>0</v>
      </c>
      <c r="M333" s="62">
        <f t="shared" si="142"/>
        <v>0</v>
      </c>
      <c r="N333" s="62">
        <f t="shared" si="142"/>
        <v>34465993.112126328</v>
      </c>
      <c r="O333" s="62">
        <f t="shared" si="142"/>
        <v>0</v>
      </c>
      <c r="P333" s="62">
        <f t="shared" si="142"/>
        <v>0</v>
      </c>
      <c r="Q333" s="62">
        <f t="shared" si="142"/>
        <v>0</v>
      </c>
      <c r="R333" s="62">
        <f t="shared" si="142"/>
        <v>8074378.6521175466</v>
      </c>
      <c r="S333" s="62">
        <f t="shared" si="142"/>
        <v>0</v>
      </c>
      <c r="T333" s="62">
        <f t="shared" si="142"/>
        <v>13200174.80048782</v>
      </c>
      <c r="U333" s="62">
        <f t="shared" si="142"/>
        <v>22092723.664574921</v>
      </c>
      <c r="V333" s="62">
        <f t="shared" si="142"/>
        <v>4169128.806815919</v>
      </c>
      <c r="W333" s="62">
        <f t="shared" si="142"/>
        <v>7223790.8391335364</v>
      </c>
      <c r="X333" s="62">
        <f t="shared" si="142"/>
        <v>1117029.2182578882</v>
      </c>
      <c r="Y333" s="62">
        <f t="shared" si="142"/>
        <v>622640.91753283411</v>
      </c>
      <c r="Z333" s="62">
        <f t="shared" si="142"/>
        <v>332912.57849805721</v>
      </c>
      <c r="AA333" s="62">
        <f t="shared" si="142"/>
        <v>13918315.257724669</v>
      </c>
      <c r="AB333" s="62">
        <f t="shared" si="142"/>
        <v>1673935.4718376463</v>
      </c>
      <c r="AC333" s="62">
        <f t="shared" si="142"/>
        <v>22203327.895651627</v>
      </c>
      <c r="AD333" s="62">
        <f t="shared" si="142"/>
        <v>4888693.2695076521</v>
      </c>
      <c r="AE333" s="62">
        <f t="shared" si="142"/>
        <v>0</v>
      </c>
      <c r="AF333" s="63">
        <f>SUM(H333:AE333)</f>
        <v>643436661.24131227</v>
      </c>
      <c r="AG333" s="58" t="str">
        <f>IF(ABS(AF333-F333)&lt;1,"ok","err")</f>
        <v>ok</v>
      </c>
    </row>
    <row r="334" spans="1:33">
      <c r="A334" s="60"/>
      <c r="B334" s="60"/>
      <c r="F334" s="79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58"/>
    </row>
    <row r="335" spans="1:33">
      <c r="A335" s="60" t="s">
        <v>19</v>
      </c>
      <c r="B335" s="60"/>
      <c r="C335" s="44" t="s">
        <v>901</v>
      </c>
      <c r="F335" s="80">
        <f>F333-F214-F215-F216-F217</f>
        <v>600159989.99844694</v>
      </c>
      <c r="G335" s="64">
        <f>G333-G214</f>
        <v>0</v>
      </c>
      <c r="H335" s="64">
        <f t="shared" ref="H335:AE335" si="143">H333-H214-H215-H216-H217</f>
        <v>88271387.475935325</v>
      </c>
      <c r="I335" s="64">
        <f t="shared" si="143"/>
        <v>0</v>
      </c>
      <c r="J335" s="64">
        <f t="shared" si="143"/>
        <v>0</v>
      </c>
      <c r="K335" s="64">
        <f t="shared" si="143"/>
        <v>377905558.0382452</v>
      </c>
      <c r="L335" s="64">
        <f t="shared" si="143"/>
        <v>0</v>
      </c>
      <c r="M335" s="64">
        <f t="shared" si="143"/>
        <v>0</v>
      </c>
      <c r="N335" s="64">
        <f t="shared" si="143"/>
        <v>34465993.112126328</v>
      </c>
      <c r="O335" s="64">
        <f t="shared" si="143"/>
        <v>0</v>
      </c>
      <c r="P335" s="64">
        <f t="shared" si="143"/>
        <v>0</v>
      </c>
      <c r="Q335" s="64">
        <f t="shared" si="143"/>
        <v>0</v>
      </c>
      <c r="R335" s="64">
        <f t="shared" si="143"/>
        <v>8074378.6521175466</v>
      </c>
      <c r="S335" s="64">
        <f t="shared" si="143"/>
        <v>0</v>
      </c>
      <c r="T335" s="64">
        <f t="shared" si="143"/>
        <v>13200174.80048782</v>
      </c>
      <c r="U335" s="64">
        <f t="shared" si="143"/>
        <v>22092723.664574921</v>
      </c>
      <c r="V335" s="64">
        <f t="shared" si="143"/>
        <v>4169128.806815919</v>
      </c>
      <c r="W335" s="64">
        <f t="shared" si="143"/>
        <v>7223790.8391335364</v>
      </c>
      <c r="X335" s="64">
        <f t="shared" si="143"/>
        <v>1117029.2182578882</v>
      </c>
      <c r="Y335" s="64">
        <f t="shared" si="143"/>
        <v>622640.91753283411</v>
      </c>
      <c r="Z335" s="64">
        <f t="shared" si="143"/>
        <v>332912.57849805721</v>
      </c>
      <c r="AA335" s="64">
        <f t="shared" si="143"/>
        <v>13918315.257724669</v>
      </c>
      <c r="AB335" s="64">
        <f t="shared" si="143"/>
        <v>1673935.4718376463</v>
      </c>
      <c r="AC335" s="64">
        <f t="shared" si="143"/>
        <v>22203327.895651627</v>
      </c>
      <c r="AD335" s="64">
        <f t="shared" si="143"/>
        <v>4888693.2695076521</v>
      </c>
      <c r="AE335" s="64">
        <f t="shared" si="143"/>
        <v>0</v>
      </c>
      <c r="AF335" s="63">
        <f>SUM(H335:AE335)</f>
        <v>600159989.9984467</v>
      </c>
      <c r="AG335" s="58" t="str">
        <f>IF(ABS(AF335-F335)&lt;1,"ok","err")</f>
        <v>ok</v>
      </c>
    </row>
    <row r="336" spans="1:33">
      <c r="A336" s="60"/>
      <c r="B336" s="60"/>
      <c r="W336" s="44"/>
      <c r="AG336" s="58"/>
    </row>
    <row r="337" spans="1:33">
      <c r="A337" s="60"/>
      <c r="B337" s="60"/>
      <c r="W337" s="44"/>
      <c r="AA337" s="64">
        <f>R335+T335+U335+V335+W335+X335+Y335+Z335+AA335</f>
        <v>70751094.7351432</v>
      </c>
      <c r="AG337" s="58"/>
    </row>
    <row r="338" spans="1:33">
      <c r="A338" s="60"/>
      <c r="B338" s="60"/>
      <c r="W338" s="44"/>
      <c r="AG338" s="58"/>
    </row>
    <row r="339" spans="1:33">
      <c r="A339" s="60"/>
      <c r="B339" s="60"/>
      <c r="H339" s="64"/>
      <c r="W339" s="44"/>
      <c r="AG339" s="58"/>
    </row>
    <row r="340" spans="1:33">
      <c r="A340" s="60"/>
      <c r="B340" s="60"/>
      <c r="W340" s="44"/>
      <c r="AG340" s="58"/>
    </row>
    <row r="341" spans="1:33">
      <c r="A341" s="60"/>
      <c r="B341" s="60"/>
      <c r="W341" s="44"/>
      <c r="AG341" s="58"/>
    </row>
    <row r="342" spans="1:33">
      <c r="A342" s="60"/>
      <c r="B342" s="60"/>
      <c r="W342" s="44"/>
      <c r="AG342" s="58"/>
    </row>
    <row r="343" spans="1:33">
      <c r="A343" s="60"/>
      <c r="B343" s="60"/>
      <c r="W343" s="44"/>
      <c r="AG343" s="58"/>
    </row>
    <row r="344" spans="1:33">
      <c r="A344" s="60"/>
      <c r="B344" s="60"/>
      <c r="W344" s="44"/>
      <c r="AG344" s="58"/>
    </row>
    <row r="345" spans="1:33">
      <c r="A345" s="60"/>
      <c r="B345" s="60"/>
      <c r="W345" s="44"/>
      <c r="AG345" s="58"/>
    </row>
    <row r="346" spans="1:33">
      <c r="A346" s="60"/>
      <c r="B346" s="60"/>
      <c r="W346" s="44"/>
      <c r="AG346" s="58"/>
    </row>
    <row r="347" spans="1:33">
      <c r="A347" s="60"/>
      <c r="B347" s="60"/>
      <c r="W347" s="44"/>
      <c r="AG347" s="58"/>
    </row>
    <row r="348" spans="1:33">
      <c r="A348" s="60"/>
      <c r="B348" s="60"/>
      <c r="W348" s="44"/>
      <c r="AG348" s="58"/>
    </row>
    <row r="349" spans="1:33">
      <c r="A349" s="60"/>
      <c r="B349" s="60"/>
      <c r="AG349" s="58"/>
    </row>
    <row r="350" spans="1:33">
      <c r="A350" s="60"/>
      <c r="B350" s="60"/>
      <c r="AG350" s="58"/>
    </row>
    <row r="351" spans="1:33">
      <c r="A351" s="60"/>
      <c r="B351" s="60"/>
      <c r="AG351" s="58"/>
    </row>
    <row r="352" spans="1:33">
      <c r="A352" s="60"/>
      <c r="B352" s="60"/>
      <c r="AG352" s="58"/>
    </row>
    <row r="353" spans="1:33">
      <c r="A353" s="60"/>
      <c r="B353" s="60"/>
      <c r="AG353" s="58"/>
    </row>
    <row r="354" spans="1:33">
      <c r="A354" s="60"/>
      <c r="B354" s="60"/>
      <c r="AG354" s="58"/>
    </row>
    <row r="355" spans="1:33">
      <c r="A355" s="60"/>
      <c r="B355" s="60"/>
      <c r="AG355" s="58"/>
    </row>
    <row r="356" spans="1:33">
      <c r="A356" s="60"/>
      <c r="B356" s="60"/>
      <c r="AG356" s="58"/>
    </row>
    <row r="357" spans="1:33">
      <c r="A357" s="60"/>
      <c r="B357" s="60"/>
      <c r="AG357" s="58"/>
    </row>
    <row r="358" spans="1:33">
      <c r="A358" s="60"/>
      <c r="B358" s="60"/>
      <c r="AG358" s="58"/>
    </row>
    <row r="359" spans="1:33">
      <c r="A359" s="60"/>
      <c r="B359" s="60"/>
      <c r="AG359" s="58"/>
    </row>
    <row r="360" spans="1:33">
      <c r="A360" s="60"/>
      <c r="B360" s="60"/>
      <c r="AG360" s="58"/>
    </row>
    <row r="361" spans="1:33" ht="14.1">
      <c r="A361" s="59" t="s">
        <v>993</v>
      </c>
      <c r="B361" s="60"/>
      <c r="W361" s="44"/>
      <c r="AG361" s="58"/>
    </row>
    <row r="362" spans="1:33" ht="14.1">
      <c r="A362" s="59"/>
      <c r="B362" s="60"/>
      <c r="W362" s="44"/>
      <c r="AG362" s="58"/>
    </row>
    <row r="363" spans="1:33" ht="14.1">
      <c r="A363" s="65" t="s">
        <v>207</v>
      </c>
      <c r="B363" s="60"/>
      <c r="W363" s="44"/>
      <c r="AG363" s="58"/>
    </row>
    <row r="364" spans="1:33">
      <c r="A364" s="60">
        <v>500</v>
      </c>
      <c r="B364" s="60" t="s">
        <v>199</v>
      </c>
      <c r="C364" s="44" t="s">
        <v>272</v>
      </c>
      <c r="D364" s="44" t="s">
        <v>621</v>
      </c>
      <c r="F364" s="76">
        <v>3778998</v>
      </c>
      <c r="H364" s="63">
        <f t="shared" ref="H364:Q370" si="144">IF(VLOOKUP($D364,$C$6:$AE$653,H$2,)=0,0,((VLOOKUP($D364,$C$6:$AE$653,H$2,)/VLOOKUP($D364,$C$6:$AE$653,4,))*$F364))</f>
        <v>3300979.6732154498</v>
      </c>
      <c r="I364" s="63">
        <f t="shared" si="144"/>
        <v>0</v>
      </c>
      <c r="J364" s="63">
        <f t="shared" si="144"/>
        <v>0</v>
      </c>
      <c r="K364" s="63">
        <f t="shared" si="144"/>
        <v>478018.32678455021</v>
      </c>
      <c r="L364" s="63">
        <f t="shared" si="144"/>
        <v>0</v>
      </c>
      <c r="M364" s="63">
        <f t="shared" si="144"/>
        <v>0</v>
      </c>
      <c r="N364" s="63">
        <f t="shared" si="144"/>
        <v>0</v>
      </c>
      <c r="O364" s="63">
        <f t="shared" si="144"/>
        <v>0</v>
      </c>
      <c r="P364" s="63">
        <f t="shared" si="144"/>
        <v>0</v>
      </c>
      <c r="Q364" s="63">
        <f t="shared" si="144"/>
        <v>0</v>
      </c>
      <c r="R364" s="63">
        <f t="shared" ref="R364:AE370" si="145">IF(VLOOKUP($D364,$C$6:$AE$653,R$2,)=0,0,((VLOOKUP($D364,$C$6:$AE$653,R$2,)/VLOOKUP($D364,$C$6:$AE$653,4,))*$F364))</f>
        <v>0</v>
      </c>
      <c r="S364" s="63">
        <f t="shared" si="145"/>
        <v>0</v>
      </c>
      <c r="T364" s="63">
        <f t="shared" si="145"/>
        <v>0</v>
      </c>
      <c r="U364" s="63">
        <f t="shared" si="145"/>
        <v>0</v>
      </c>
      <c r="V364" s="63">
        <f t="shared" si="145"/>
        <v>0</v>
      </c>
      <c r="W364" s="63">
        <f t="shared" si="145"/>
        <v>0</v>
      </c>
      <c r="X364" s="63">
        <f t="shared" si="145"/>
        <v>0</v>
      </c>
      <c r="Y364" s="63">
        <f t="shared" si="145"/>
        <v>0</v>
      </c>
      <c r="Z364" s="63">
        <f t="shared" si="145"/>
        <v>0</v>
      </c>
      <c r="AA364" s="63">
        <f t="shared" si="145"/>
        <v>0</v>
      </c>
      <c r="AB364" s="63">
        <f t="shared" si="145"/>
        <v>0</v>
      </c>
      <c r="AC364" s="63">
        <f t="shared" si="145"/>
        <v>0</v>
      </c>
      <c r="AD364" s="63">
        <f t="shared" si="145"/>
        <v>0</v>
      </c>
      <c r="AE364" s="63">
        <f t="shared" si="145"/>
        <v>0</v>
      </c>
      <c r="AF364" s="63">
        <f t="shared" ref="AF364:AF383" si="146">SUM(H364:AE364)</f>
        <v>3778998</v>
      </c>
      <c r="AG364" s="58" t="str">
        <f t="shared" ref="AG364:AG370" si="147">IF(ABS(AF364-F364)&lt;1,"ok","err")</f>
        <v>ok</v>
      </c>
    </row>
    <row r="365" spans="1:33">
      <c r="A365" s="275">
        <v>501</v>
      </c>
      <c r="B365" s="60" t="s">
        <v>201</v>
      </c>
      <c r="C365" s="44" t="s">
        <v>273</v>
      </c>
      <c r="D365" s="44" t="s">
        <v>854</v>
      </c>
      <c r="F365" s="79">
        <v>1594068</v>
      </c>
      <c r="H365" s="63">
        <f t="shared" si="144"/>
        <v>0</v>
      </c>
      <c r="I365" s="63">
        <f t="shared" si="144"/>
        <v>0</v>
      </c>
      <c r="J365" s="63">
        <f t="shared" si="144"/>
        <v>0</v>
      </c>
      <c r="K365" s="63">
        <f t="shared" si="144"/>
        <v>1594068</v>
      </c>
      <c r="L365" s="63">
        <f t="shared" si="144"/>
        <v>0</v>
      </c>
      <c r="M365" s="63">
        <f t="shared" si="144"/>
        <v>0</v>
      </c>
      <c r="N365" s="63">
        <f t="shared" si="144"/>
        <v>0</v>
      </c>
      <c r="O365" s="63">
        <f t="shared" si="144"/>
        <v>0</v>
      </c>
      <c r="P365" s="63">
        <f t="shared" si="144"/>
        <v>0</v>
      </c>
      <c r="Q365" s="63">
        <f t="shared" si="144"/>
        <v>0</v>
      </c>
      <c r="R365" s="63">
        <f t="shared" si="145"/>
        <v>0</v>
      </c>
      <c r="S365" s="63">
        <f t="shared" si="145"/>
        <v>0</v>
      </c>
      <c r="T365" s="63">
        <f t="shared" si="145"/>
        <v>0</v>
      </c>
      <c r="U365" s="63">
        <f t="shared" si="145"/>
        <v>0</v>
      </c>
      <c r="V365" s="63">
        <f t="shared" si="145"/>
        <v>0</v>
      </c>
      <c r="W365" s="63">
        <f t="shared" si="145"/>
        <v>0</v>
      </c>
      <c r="X365" s="63">
        <f t="shared" si="145"/>
        <v>0</v>
      </c>
      <c r="Y365" s="63">
        <f t="shared" si="145"/>
        <v>0</v>
      </c>
      <c r="Z365" s="63">
        <f t="shared" si="145"/>
        <v>0</v>
      </c>
      <c r="AA365" s="63">
        <f t="shared" si="145"/>
        <v>0</v>
      </c>
      <c r="AB365" s="63">
        <f t="shared" si="145"/>
        <v>0</v>
      </c>
      <c r="AC365" s="63">
        <f t="shared" si="145"/>
        <v>0</v>
      </c>
      <c r="AD365" s="63">
        <f t="shared" si="145"/>
        <v>0</v>
      </c>
      <c r="AE365" s="63">
        <f t="shared" si="145"/>
        <v>0</v>
      </c>
      <c r="AF365" s="63">
        <f t="shared" si="146"/>
        <v>1594068</v>
      </c>
      <c r="AG365" s="58" t="str">
        <f t="shared" si="147"/>
        <v>ok</v>
      </c>
    </row>
    <row r="366" spans="1:33">
      <c r="A366" s="60">
        <v>502</v>
      </c>
      <c r="B366" s="60" t="s">
        <v>203</v>
      </c>
      <c r="C366" s="44" t="s">
        <v>274</v>
      </c>
      <c r="D366" s="44" t="s">
        <v>624</v>
      </c>
      <c r="F366" s="79">
        <v>6850162</v>
      </c>
      <c r="H366" s="63">
        <f t="shared" si="144"/>
        <v>6850162</v>
      </c>
      <c r="I366" s="63">
        <f t="shared" si="144"/>
        <v>0</v>
      </c>
      <c r="J366" s="63">
        <f t="shared" si="144"/>
        <v>0</v>
      </c>
      <c r="K366" s="63">
        <f t="shared" si="144"/>
        <v>0</v>
      </c>
      <c r="L366" s="63">
        <f t="shared" si="144"/>
        <v>0</v>
      </c>
      <c r="M366" s="63">
        <f t="shared" si="144"/>
        <v>0</v>
      </c>
      <c r="N366" s="63">
        <f t="shared" si="144"/>
        <v>0</v>
      </c>
      <c r="O366" s="63">
        <f t="shared" si="144"/>
        <v>0</v>
      </c>
      <c r="P366" s="63">
        <f t="shared" si="144"/>
        <v>0</v>
      </c>
      <c r="Q366" s="63">
        <f t="shared" si="144"/>
        <v>0</v>
      </c>
      <c r="R366" s="63">
        <f t="shared" si="145"/>
        <v>0</v>
      </c>
      <c r="S366" s="63">
        <f t="shared" si="145"/>
        <v>0</v>
      </c>
      <c r="T366" s="63">
        <f t="shared" si="145"/>
        <v>0</v>
      </c>
      <c r="U366" s="63">
        <f t="shared" si="145"/>
        <v>0</v>
      </c>
      <c r="V366" s="63">
        <f t="shared" si="145"/>
        <v>0</v>
      </c>
      <c r="W366" s="63">
        <f t="shared" si="145"/>
        <v>0</v>
      </c>
      <c r="X366" s="63">
        <f t="shared" si="145"/>
        <v>0</v>
      </c>
      <c r="Y366" s="63">
        <f t="shared" si="145"/>
        <v>0</v>
      </c>
      <c r="Z366" s="63">
        <f t="shared" si="145"/>
        <v>0</v>
      </c>
      <c r="AA366" s="63">
        <f t="shared" si="145"/>
        <v>0</v>
      </c>
      <c r="AB366" s="63">
        <f t="shared" si="145"/>
        <v>0</v>
      </c>
      <c r="AC366" s="63">
        <f t="shared" si="145"/>
        <v>0</v>
      </c>
      <c r="AD366" s="63">
        <f t="shared" si="145"/>
        <v>0</v>
      </c>
      <c r="AE366" s="63">
        <f t="shared" si="145"/>
        <v>0</v>
      </c>
      <c r="AF366" s="63">
        <f t="shared" si="146"/>
        <v>6850162</v>
      </c>
      <c r="AG366" s="58" t="str">
        <f t="shared" si="147"/>
        <v>ok</v>
      </c>
    </row>
    <row r="367" spans="1:33">
      <c r="A367" s="60">
        <v>504</v>
      </c>
      <c r="B367" s="60" t="s">
        <v>1176</v>
      </c>
      <c r="C367" s="44" t="s">
        <v>1175</v>
      </c>
      <c r="D367" s="44" t="s">
        <v>624</v>
      </c>
      <c r="F367" s="79">
        <v>0</v>
      </c>
      <c r="H367" s="63">
        <f t="shared" si="144"/>
        <v>0</v>
      </c>
      <c r="I367" s="63">
        <f t="shared" si="144"/>
        <v>0</v>
      </c>
      <c r="J367" s="63">
        <f t="shared" si="144"/>
        <v>0</v>
      </c>
      <c r="K367" s="63">
        <f t="shared" si="144"/>
        <v>0</v>
      </c>
      <c r="L367" s="63">
        <f t="shared" si="144"/>
        <v>0</v>
      </c>
      <c r="M367" s="63">
        <f t="shared" si="144"/>
        <v>0</v>
      </c>
      <c r="N367" s="63">
        <f t="shared" si="144"/>
        <v>0</v>
      </c>
      <c r="O367" s="63">
        <f t="shared" si="144"/>
        <v>0</v>
      </c>
      <c r="P367" s="63">
        <f t="shared" si="144"/>
        <v>0</v>
      </c>
      <c r="Q367" s="63">
        <f t="shared" si="144"/>
        <v>0</v>
      </c>
      <c r="R367" s="63">
        <f t="shared" si="145"/>
        <v>0</v>
      </c>
      <c r="S367" s="63">
        <f t="shared" si="145"/>
        <v>0</v>
      </c>
      <c r="T367" s="63">
        <f t="shared" si="145"/>
        <v>0</v>
      </c>
      <c r="U367" s="63">
        <f t="shared" si="145"/>
        <v>0</v>
      </c>
      <c r="V367" s="63">
        <f t="shared" si="145"/>
        <v>0</v>
      </c>
      <c r="W367" s="63">
        <f t="shared" si="145"/>
        <v>0</v>
      </c>
      <c r="X367" s="63">
        <f t="shared" si="145"/>
        <v>0</v>
      </c>
      <c r="Y367" s="63">
        <f t="shared" si="145"/>
        <v>0</v>
      </c>
      <c r="Z367" s="63">
        <f t="shared" si="145"/>
        <v>0</v>
      </c>
      <c r="AA367" s="63">
        <f t="shared" si="145"/>
        <v>0</v>
      </c>
      <c r="AB367" s="63">
        <f t="shared" si="145"/>
        <v>0</v>
      </c>
      <c r="AC367" s="63">
        <f t="shared" si="145"/>
        <v>0</v>
      </c>
      <c r="AD367" s="63">
        <f t="shared" si="145"/>
        <v>0</v>
      </c>
      <c r="AE367" s="63">
        <f t="shared" si="145"/>
        <v>0</v>
      </c>
      <c r="AF367" s="63">
        <f>SUM(H367:AE367)</f>
        <v>0</v>
      </c>
      <c r="AG367" s="58" t="str">
        <f>IF(ABS(AF367-F367)&lt;1,"ok","err")</f>
        <v>ok</v>
      </c>
    </row>
    <row r="368" spans="1:33">
      <c r="A368" s="60">
        <v>505</v>
      </c>
      <c r="B368" s="60" t="s">
        <v>205</v>
      </c>
      <c r="C368" s="44" t="s">
        <v>275</v>
      </c>
      <c r="D368" s="44" t="s">
        <v>624</v>
      </c>
      <c r="F368" s="79">
        <v>1917383</v>
      </c>
      <c r="H368" s="63">
        <f t="shared" si="144"/>
        <v>1917383</v>
      </c>
      <c r="I368" s="63">
        <f t="shared" si="144"/>
        <v>0</v>
      </c>
      <c r="J368" s="63">
        <f t="shared" si="144"/>
        <v>0</v>
      </c>
      <c r="K368" s="63">
        <f t="shared" si="144"/>
        <v>0</v>
      </c>
      <c r="L368" s="63">
        <f t="shared" si="144"/>
        <v>0</v>
      </c>
      <c r="M368" s="63">
        <f t="shared" si="144"/>
        <v>0</v>
      </c>
      <c r="N368" s="63">
        <f t="shared" si="144"/>
        <v>0</v>
      </c>
      <c r="O368" s="63">
        <f t="shared" si="144"/>
        <v>0</v>
      </c>
      <c r="P368" s="63">
        <f t="shared" si="144"/>
        <v>0</v>
      </c>
      <c r="Q368" s="63">
        <f t="shared" si="144"/>
        <v>0</v>
      </c>
      <c r="R368" s="63">
        <f t="shared" si="145"/>
        <v>0</v>
      </c>
      <c r="S368" s="63">
        <f t="shared" si="145"/>
        <v>0</v>
      </c>
      <c r="T368" s="63">
        <f t="shared" si="145"/>
        <v>0</v>
      </c>
      <c r="U368" s="63">
        <f t="shared" si="145"/>
        <v>0</v>
      </c>
      <c r="V368" s="63">
        <f t="shared" si="145"/>
        <v>0</v>
      </c>
      <c r="W368" s="63">
        <f t="shared" si="145"/>
        <v>0</v>
      </c>
      <c r="X368" s="63">
        <f t="shared" si="145"/>
        <v>0</v>
      </c>
      <c r="Y368" s="63">
        <f t="shared" si="145"/>
        <v>0</v>
      </c>
      <c r="Z368" s="63">
        <f t="shared" si="145"/>
        <v>0</v>
      </c>
      <c r="AA368" s="63">
        <f t="shared" si="145"/>
        <v>0</v>
      </c>
      <c r="AB368" s="63">
        <f t="shared" si="145"/>
        <v>0</v>
      </c>
      <c r="AC368" s="63">
        <f t="shared" si="145"/>
        <v>0</v>
      </c>
      <c r="AD368" s="63">
        <f t="shared" si="145"/>
        <v>0</v>
      </c>
      <c r="AE368" s="63">
        <f t="shared" si="145"/>
        <v>0</v>
      </c>
      <c r="AF368" s="63">
        <f t="shared" si="146"/>
        <v>1917383</v>
      </c>
      <c r="AG368" s="58" t="str">
        <f t="shared" si="147"/>
        <v>ok</v>
      </c>
    </row>
    <row r="369" spans="1:33">
      <c r="A369" s="60">
        <v>506</v>
      </c>
      <c r="B369" s="60" t="s">
        <v>208</v>
      </c>
      <c r="C369" s="44" t="s">
        <v>276</v>
      </c>
      <c r="D369" s="44" t="s">
        <v>624</v>
      </c>
      <c r="F369" s="79">
        <v>2240372</v>
      </c>
      <c r="H369" s="63">
        <f t="shared" si="144"/>
        <v>2240372</v>
      </c>
      <c r="I369" s="63">
        <f t="shared" si="144"/>
        <v>0</v>
      </c>
      <c r="J369" s="63">
        <f t="shared" si="144"/>
        <v>0</v>
      </c>
      <c r="K369" s="63">
        <f t="shared" si="144"/>
        <v>0</v>
      </c>
      <c r="L369" s="63">
        <f t="shared" si="144"/>
        <v>0</v>
      </c>
      <c r="M369" s="63">
        <f t="shared" si="144"/>
        <v>0</v>
      </c>
      <c r="N369" s="63">
        <f t="shared" si="144"/>
        <v>0</v>
      </c>
      <c r="O369" s="63">
        <f t="shared" si="144"/>
        <v>0</v>
      </c>
      <c r="P369" s="63">
        <f t="shared" si="144"/>
        <v>0</v>
      </c>
      <c r="Q369" s="63">
        <f t="shared" si="144"/>
        <v>0</v>
      </c>
      <c r="R369" s="63">
        <f t="shared" si="145"/>
        <v>0</v>
      </c>
      <c r="S369" s="63">
        <f t="shared" si="145"/>
        <v>0</v>
      </c>
      <c r="T369" s="63">
        <f t="shared" si="145"/>
        <v>0</v>
      </c>
      <c r="U369" s="63">
        <f t="shared" si="145"/>
        <v>0</v>
      </c>
      <c r="V369" s="63">
        <f t="shared" si="145"/>
        <v>0</v>
      </c>
      <c r="W369" s="63">
        <f t="shared" si="145"/>
        <v>0</v>
      </c>
      <c r="X369" s="63">
        <f t="shared" si="145"/>
        <v>0</v>
      </c>
      <c r="Y369" s="63">
        <f t="shared" si="145"/>
        <v>0</v>
      </c>
      <c r="Z369" s="63">
        <f t="shared" si="145"/>
        <v>0</v>
      </c>
      <c r="AA369" s="63">
        <f t="shared" si="145"/>
        <v>0</v>
      </c>
      <c r="AB369" s="63">
        <f t="shared" si="145"/>
        <v>0</v>
      </c>
      <c r="AC369" s="63">
        <f t="shared" si="145"/>
        <v>0</v>
      </c>
      <c r="AD369" s="63">
        <f t="shared" si="145"/>
        <v>0</v>
      </c>
      <c r="AE369" s="63">
        <f t="shared" si="145"/>
        <v>0</v>
      </c>
      <c r="AF369" s="63">
        <f t="shared" si="146"/>
        <v>2240372</v>
      </c>
      <c r="AG369" s="58" t="str">
        <f t="shared" si="147"/>
        <v>ok</v>
      </c>
    </row>
    <row r="370" spans="1:33">
      <c r="A370" s="60">
        <v>507</v>
      </c>
      <c r="B370" s="60" t="s">
        <v>928</v>
      </c>
      <c r="C370" s="44" t="s">
        <v>347</v>
      </c>
      <c r="D370" s="44" t="s">
        <v>624</v>
      </c>
      <c r="F370" s="79">
        <v>0</v>
      </c>
      <c r="H370" s="63">
        <f t="shared" si="144"/>
        <v>0</v>
      </c>
      <c r="I370" s="63">
        <f t="shared" si="144"/>
        <v>0</v>
      </c>
      <c r="J370" s="63">
        <f t="shared" si="144"/>
        <v>0</v>
      </c>
      <c r="K370" s="63">
        <f t="shared" si="144"/>
        <v>0</v>
      </c>
      <c r="L370" s="63">
        <f t="shared" si="144"/>
        <v>0</v>
      </c>
      <c r="M370" s="63">
        <f t="shared" si="144"/>
        <v>0</v>
      </c>
      <c r="N370" s="63">
        <f t="shared" si="144"/>
        <v>0</v>
      </c>
      <c r="O370" s="63">
        <f t="shared" si="144"/>
        <v>0</v>
      </c>
      <c r="P370" s="63">
        <f t="shared" si="144"/>
        <v>0</v>
      </c>
      <c r="Q370" s="63">
        <f t="shared" si="144"/>
        <v>0</v>
      </c>
      <c r="R370" s="63">
        <f t="shared" si="145"/>
        <v>0</v>
      </c>
      <c r="S370" s="63">
        <f t="shared" si="145"/>
        <v>0</v>
      </c>
      <c r="T370" s="63">
        <f t="shared" si="145"/>
        <v>0</v>
      </c>
      <c r="U370" s="63">
        <f t="shared" si="145"/>
        <v>0</v>
      </c>
      <c r="V370" s="63">
        <f t="shared" si="145"/>
        <v>0</v>
      </c>
      <c r="W370" s="63">
        <f t="shared" si="145"/>
        <v>0</v>
      </c>
      <c r="X370" s="63">
        <f t="shared" si="145"/>
        <v>0</v>
      </c>
      <c r="Y370" s="63">
        <f t="shared" si="145"/>
        <v>0</v>
      </c>
      <c r="Z370" s="63">
        <f t="shared" si="145"/>
        <v>0</v>
      </c>
      <c r="AA370" s="63">
        <f t="shared" si="145"/>
        <v>0</v>
      </c>
      <c r="AB370" s="63">
        <f t="shared" si="145"/>
        <v>0</v>
      </c>
      <c r="AC370" s="63">
        <f t="shared" si="145"/>
        <v>0</v>
      </c>
      <c r="AD370" s="63">
        <f t="shared" si="145"/>
        <v>0</v>
      </c>
      <c r="AE370" s="63">
        <f t="shared" si="145"/>
        <v>0</v>
      </c>
      <c r="AF370" s="63">
        <f t="shared" si="146"/>
        <v>0</v>
      </c>
      <c r="AG370" s="58" t="str">
        <f t="shared" si="147"/>
        <v>ok</v>
      </c>
    </row>
    <row r="371" spans="1:33">
      <c r="A371" s="60"/>
      <c r="B371" s="60"/>
      <c r="F371" s="76"/>
      <c r="W371" s="44"/>
      <c r="AF371" s="63"/>
      <c r="AG371" s="58"/>
    </row>
    <row r="372" spans="1:33">
      <c r="A372" s="60"/>
      <c r="B372" s="60" t="s">
        <v>210</v>
      </c>
      <c r="C372" s="44" t="s">
        <v>629</v>
      </c>
      <c r="F372" s="76">
        <f>SUM(F364:F371)</f>
        <v>16380983</v>
      </c>
      <c r="H372" s="62">
        <f t="shared" ref="H372:M372" si="148">SUM(H364:H371)</f>
        <v>14308896.673215449</v>
      </c>
      <c r="I372" s="62">
        <f t="shared" si="148"/>
        <v>0</v>
      </c>
      <c r="J372" s="62">
        <f t="shared" si="148"/>
        <v>0</v>
      </c>
      <c r="K372" s="62">
        <f t="shared" si="148"/>
        <v>2072086.3267845502</v>
      </c>
      <c r="L372" s="62">
        <f t="shared" si="148"/>
        <v>0</v>
      </c>
      <c r="M372" s="62">
        <f t="shared" si="148"/>
        <v>0</v>
      </c>
      <c r="N372" s="62">
        <f>SUM(N364:N371)</f>
        <v>0</v>
      </c>
      <c r="O372" s="62">
        <f>SUM(O364:O371)</f>
        <v>0</v>
      </c>
      <c r="P372" s="62">
        <f>SUM(P364:P371)</f>
        <v>0</v>
      </c>
      <c r="Q372" s="62">
        <f t="shared" ref="Q372:AB372" si="149">SUM(Q364:Q371)</f>
        <v>0</v>
      </c>
      <c r="R372" s="62">
        <f t="shared" si="149"/>
        <v>0</v>
      </c>
      <c r="S372" s="62">
        <f t="shared" si="149"/>
        <v>0</v>
      </c>
      <c r="T372" s="62">
        <f t="shared" si="149"/>
        <v>0</v>
      </c>
      <c r="U372" s="62">
        <f t="shared" si="149"/>
        <v>0</v>
      </c>
      <c r="V372" s="62">
        <f t="shared" si="149"/>
        <v>0</v>
      </c>
      <c r="W372" s="62">
        <f t="shared" si="149"/>
        <v>0</v>
      </c>
      <c r="X372" s="62">
        <f t="shared" si="149"/>
        <v>0</v>
      </c>
      <c r="Y372" s="62">
        <f t="shared" si="149"/>
        <v>0</v>
      </c>
      <c r="Z372" s="62">
        <f t="shared" si="149"/>
        <v>0</v>
      </c>
      <c r="AA372" s="62">
        <f t="shared" si="149"/>
        <v>0</v>
      </c>
      <c r="AB372" s="62">
        <f t="shared" si="149"/>
        <v>0</v>
      </c>
      <c r="AC372" s="62">
        <f>SUM(AC364:AC371)</f>
        <v>0</v>
      </c>
      <c r="AD372" s="62">
        <f>SUM(AD364:AD371)</f>
        <v>0</v>
      </c>
      <c r="AE372" s="62">
        <f>SUM(AE364:AE371)</f>
        <v>0</v>
      </c>
      <c r="AF372" s="63">
        <f t="shared" si="146"/>
        <v>16380983</v>
      </c>
      <c r="AG372" s="58" t="str">
        <f>IF(ABS(AF372-F372)&lt;1,"ok","err")</f>
        <v>ok</v>
      </c>
    </row>
    <row r="373" spans="1:33">
      <c r="A373" s="60"/>
      <c r="B373" s="60"/>
      <c r="F373" s="76"/>
      <c r="W373" s="44"/>
      <c r="AF373" s="63"/>
      <c r="AG373" s="58"/>
    </row>
    <row r="374" spans="1:33" ht="14.1">
      <c r="A374" s="65" t="s">
        <v>211</v>
      </c>
      <c r="B374" s="60"/>
      <c r="F374" s="76"/>
      <c r="W374" s="44"/>
      <c r="AF374" s="63"/>
      <c r="AG374" s="58"/>
    </row>
    <row r="375" spans="1:33">
      <c r="A375" s="60">
        <v>510</v>
      </c>
      <c r="B375" s="60" t="s">
        <v>214</v>
      </c>
      <c r="C375" s="44" t="s">
        <v>277</v>
      </c>
      <c r="D375" s="44" t="s">
        <v>626</v>
      </c>
      <c r="F375" s="76">
        <v>5516682</v>
      </c>
      <c r="H375" s="63">
        <f t="shared" ref="H375:Q379" si="150">IF(VLOOKUP($D375,$C$6:$AE$653,H$2,)=0,0,((VLOOKUP($D375,$C$6:$AE$653,H$2,)/VLOOKUP($D375,$C$6:$AE$653,4,))*$F375))</f>
        <v>21651.584021179897</v>
      </c>
      <c r="I375" s="63">
        <f t="shared" si="150"/>
        <v>0</v>
      </c>
      <c r="J375" s="63">
        <f t="shared" si="150"/>
        <v>0</v>
      </c>
      <c r="K375" s="63">
        <f t="shared" si="150"/>
        <v>5495030.4159788201</v>
      </c>
      <c r="L375" s="63">
        <f t="shared" si="150"/>
        <v>0</v>
      </c>
      <c r="M375" s="63">
        <f t="shared" si="150"/>
        <v>0</v>
      </c>
      <c r="N375" s="63">
        <f t="shared" si="150"/>
        <v>0</v>
      </c>
      <c r="O375" s="63">
        <f t="shared" si="150"/>
        <v>0</v>
      </c>
      <c r="P375" s="63">
        <f t="shared" si="150"/>
        <v>0</v>
      </c>
      <c r="Q375" s="63">
        <f t="shared" si="150"/>
        <v>0</v>
      </c>
      <c r="R375" s="63">
        <f t="shared" ref="R375:AE379" si="151">IF(VLOOKUP($D375,$C$6:$AE$653,R$2,)=0,0,((VLOOKUP($D375,$C$6:$AE$653,R$2,)/VLOOKUP($D375,$C$6:$AE$653,4,))*$F375))</f>
        <v>0</v>
      </c>
      <c r="S375" s="63">
        <f t="shared" si="151"/>
        <v>0</v>
      </c>
      <c r="T375" s="63">
        <f t="shared" si="151"/>
        <v>0</v>
      </c>
      <c r="U375" s="63">
        <f t="shared" si="151"/>
        <v>0</v>
      </c>
      <c r="V375" s="63">
        <f t="shared" si="151"/>
        <v>0</v>
      </c>
      <c r="W375" s="63">
        <f t="shared" si="151"/>
        <v>0</v>
      </c>
      <c r="X375" s="63">
        <f t="shared" si="151"/>
        <v>0</v>
      </c>
      <c r="Y375" s="63">
        <f t="shared" si="151"/>
        <v>0</v>
      </c>
      <c r="Z375" s="63">
        <f t="shared" si="151"/>
        <v>0</v>
      </c>
      <c r="AA375" s="63">
        <f t="shared" si="151"/>
        <v>0</v>
      </c>
      <c r="AB375" s="63">
        <f t="shared" si="151"/>
        <v>0</v>
      </c>
      <c r="AC375" s="63">
        <f t="shared" si="151"/>
        <v>0</v>
      </c>
      <c r="AD375" s="63">
        <f t="shared" si="151"/>
        <v>0</v>
      </c>
      <c r="AE375" s="63">
        <f t="shared" si="151"/>
        <v>0</v>
      </c>
      <c r="AF375" s="63">
        <f t="shared" si="146"/>
        <v>5516682</v>
      </c>
      <c r="AG375" s="58" t="str">
        <f>IF(ABS(AF375-F375)&lt;1,"ok","err")</f>
        <v>ok</v>
      </c>
    </row>
    <row r="376" spans="1:33">
      <c r="A376" s="60">
        <v>511</v>
      </c>
      <c r="B376" s="60" t="s">
        <v>213</v>
      </c>
      <c r="C376" s="44" t="s">
        <v>278</v>
      </c>
      <c r="D376" s="44" t="s">
        <v>624</v>
      </c>
      <c r="F376" s="79">
        <v>30396</v>
      </c>
      <c r="H376" s="63">
        <f t="shared" si="150"/>
        <v>30396</v>
      </c>
      <c r="I376" s="63">
        <f t="shared" si="150"/>
        <v>0</v>
      </c>
      <c r="J376" s="63">
        <f t="shared" si="150"/>
        <v>0</v>
      </c>
      <c r="K376" s="63">
        <f t="shared" si="150"/>
        <v>0</v>
      </c>
      <c r="L376" s="63">
        <f t="shared" si="150"/>
        <v>0</v>
      </c>
      <c r="M376" s="63">
        <f t="shared" si="150"/>
        <v>0</v>
      </c>
      <c r="N376" s="63">
        <f t="shared" si="150"/>
        <v>0</v>
      </c>
      <c r="O376" s="63">
        <f t="shared" si="150"/>
        <v>0</v>
      </c>
      <c r="P376" s="63">
        <f t="shared" si="150"/>
        <v>0</v>
      </c>
      <c r="Q376" s="63">
        <f t="shared" si="150"/>
        <v>0</v>
      </c>
      <c r="R376" s="63">
        <f t="shared" si="151"/>
        <v>0</v>
      </c>
      <c r="S376" s="63">
        <f t="shared" si="151"/>
        <v>0</v>
      </c>
      <c r="T376" s="63">
        <f t="shared" si="151"/>
        <v>0</v>
      </c>
      <c r="U376" s="63">
        <f t="shared" si="151"/>
        <v>0</v>
      </c>
      <c r="V376" s="63">
        <f t="shared" si="151"/>
        <v>0</v>
      </c>
      <c r="W376" s="63">
        <f t="shared" si="151"/>
        <v>0</v>
      </c>
      <c r="X376" s="63">
        <f t="shared" si="151"/>
        <v>0</v>
      </c>
      <c r="Y376" s="63">
        <f t="shared" si="151"/>
        <v>0</v>
      </c>
      <c r="Z376" s="63">
        <f t="shared" si="151"/>
        <v>0</v>
      </c>
      <c r="AA376" s="63">
        <f t="shared" si="151"/>
        <v>0</v>
      </c>
      <c r="AB376" s="63">
        <f t="shared" si="151"/>
        <v>0</v>
      </c>
      <c r="AC376" s="63">
        <f t="shared" si="151"/>
        <v>0</v>
      </c>
      <c r="AD376" s="63">
        <f t="shared" si="151"/>
        <v>0</v>
      </c>
      <c r="AE376" s="63">
        <f t="shared" si="151"/>
        <v>0</v>
      </c>
      <c r="AF376" s="63">
        <f t="shared" si="146"/>
        <v>30396</v>
      </c>
      <c r="AG376" s="58" t="str">
        <f>IF(ABS(AF376-F376)&lt;1,"ok","err")</f>
        <v>ok</v>
      </c>
    </row>
    <row r="377" spans="1:33">
      <c r="A377" s="60">
        <v>512</v>
      </c>
      <c r="B377" s="60" t="s">
        <v>216</v>
      </c>
      <c r="C377" s="44" t="s">
        <v>279</v>
      </c>
      <c r="D377" s="44" t="s">
        <v>854</v>
      </c>
      <c r="F377" s="79">
        <v>4426057</v>
      </c>
      <c r="H377" s="63">
        <f t="shared" si="150"/>
        <v>0</v>
      </c>
      <c r="I377" s="63">
        <f t="shared" si="150"/>
        <v>0</v>
      </c>
      <c r="J377" s="63">
        <f t="shared" si="150"/>
        <v>0</v>
      </c>
      <c r="K377" s="63">
        <f t="shared" si="150"/>
        <v>4426057</v>
      </c>
      <c r="L377" s="63">
        <f t="shared" si="150"/>
        <v>0</v>
      </c>
      <c r="M377" s="63">
        <f t="shared" si="150"/>
        <v>0</v>
      </c>
      <c r="N377" s="63">
        <f t="shared" si="150"/>
        <v>0</v>
      </c>
      <c r="O377" s="63">
        <f t="shared" si="150"/>
        <v>0</v>
      </c>
      <c r="P377" s="63">
        <f t="shared" si="150"/>
        <v>0</v>
      </c>
      <c r="Q377" s="63">
        <f t="shared" si="150"/>
        <v>0</v>
      </c>
      <c r="R377" s="63">
        <f t="shared" si="151"/>
        <v>0</v>
      </c>
      <c r="S377" s="63">
        <f t="shared" si="151"/>
        <v>0</v>
      </c>
      <c r="T377" s="63">
        <f t="shared" si="151"/>
        <v>0</v>
      </c>
      <c r="U377" s="63">
        <f t="shared" si="151"/>
        <v>0</v>
      </c>
      <c r="V377" s="63">
        <f t="shared" si="151"/>
        <v>0</v>
      </c>
      <c r="W377" s="63">
        <f t="shared" si="151"/>
        <v>0</v>
      </c>
      <c r="X377" s="63">
        <f t="shared" si="151"/>
        <v>0</v>
      </c>
      <c r="Y377" s="63">
        <f t="shared" si="151"/>
        <v>0</v>
      </c>
      <c r="Z377" s="63">
        <f t="shared" si="151"/>
        <v>0</v>
      </c>
      <c r="AA377" s="63">
        <f t="shared" si="151"/>
        <v>0</v>
      </c>
      <c r="AB377" s="63">
        <f t="shared" si="151"/>
        <v>0</v>
      </c>
      <c r="AC377" s="63">
        <f t="shared" si="151"/>
        <v>0</v>
      </c>
      <c r="AD377" s="63">
        <f t="shared" si="151"/>
        <v>0</v>
      </c>
      <c r="AE377" s="63">
        <f t="shared" si="151"/>
        <v>0</v>
      </c>
      <c r="AF377" s="63">
        <f t="shared" si="146"/>
        <v>4426057</v>
      </c>
      <c r="AG377" s="58" t="str">
        <f>IF(ABS(AF377-F377)&lt;1,"ok","err")</f>
        <v>ok</v>
      </c>
    </row>
    <row r="378" spans="1:33">
      <c r="A378" s="60">
        <v>513</v>
      </c>
      <c r="B378" s="60" t="s">
        <v>217</v>
      </c>
      <c r="C378" s="44" t="s">
        <v>280</v>
      </c>
      <c r="D378" s="44" t="s">
        <v>854</v>
      </c>
      <c r="F378" s="79">
        <v>3169334</v>
      </c>
      <c r="H378" s="63">
        <f t="shared" si="150"/>
        <v>0</v>
      </c>
      <c r="I378" s="63">
        <f t="shared" si="150"/>
        <v>0</v>
      </c>
      <c r="J378" s="63">
        <f t="shared" si="150"/>
        <v>0</v>
      </c>
      <c r="K378" s="63">
        <f t="shared" si="150"/>
        <v>3169334</v>
      </c>
      <c r="L378" s="63">
        <f t="shared" si="150"/>
        <v>0</v>
      </c>
      <c r="M378" s="63">
        <f t="shared" si="150"/>
        <v>0</v>
      </c>
      <c r="N378" s="63">
        <f t="shared" si="150"/>
        <v>0</v>
      </c>
      <c r="O378" s="63">
        <f t="shared" si="150"/>
        <v>0</v>
      </c>
      <c r="P378" s="63">
        <f t="shared" si="150"/>
        <v>0</v>
      </c>
      <c r="Q378" s="63">
        <f t="shared" si="150"/>
        <v>0</v>
      </c>
      <c r="R378" s="63">
        <f t="shared" si="151"/>
        <v>0</v>
      </c>
      <c r="S378" s="63">
        <f t="shared" si="151"/>
        <v>0</v>
      </c>
      <c r="T378" s="63">
        <f t="shared" si="151"/>
        <v>0</v>
      </c>
      <c r="U378" s="63">
        <f t="shared" si="151"/>
        <v>0</v>
      </c>
      <c r="V378" s="63">
        <f t="shared" si="151"/>
        <v>0</v>
      </c>
      <c r="W378" s="63">
        <f t="shared" si="151"/>
        <v>0</v>
      </c>
      <c r="X378" s="63">
        <f t="shared" si="151"/>
        <v>0</v>
      </c>
      <c r="Y378" s="63">
        <f t="shared" si="151"/>
        <v>0</v>
      </c>
      <c r="Z378" s="63">
        <f t="shared" si="151"/>
        <v>0</v>
      </c>
      <c r="AA378" s="63">
        <f t="shared" si="151"/>
        <v>0</v>
      </c>
      <c r="AB378" s="63">
        <f t="shared" si="151"/>
        <v>0</v>
      </c>
      <c r="AC378" s="63">
        <f t="shared" si="151"/>
        <v>0</v>
      </c>
      <c r="AD378" s="63">
        <f t="shared" si="151"/>
        <v>0</v>
      </c>
      <c r="AE378" s="63">
        <f t="shared" si="151"/>
        <v>0</v>
      </c>
      <c r="AF378" s="63">
        <f t="shared" si="146"/>
        <v>3169334</v>
      </c>
      <c r="AG378" s="58" t="str">
        <f>IF(ABS(AF378-F378)&lt;1,"ok","err")</f>
        <v>ok</v>
      </c>
    </row>
    <row r="379" spans="1:33">
      <c r="A379" s="60">
        <v>514</v>
      </c>
      <c r="B379" s="60" t="s">
        <v>220</v>
      </c>
      <c r="C379" s="44" t="s">
        <v>281</v>
      </c>
      <c r="D379" s="44" t="s">
        <v>854</v>
      </c>
      <c r="F379" s="79">
        <v>118915</v>
      </c>
      <c r="H379" s="63">
        <f t="shared" si="150"/>
        <v>0</v>
      </c>
      <c r="I379" s="63">
        <f t="shared" si="150"/>
        <v>0</v>
      </c>
      <c r="J379" s="63">
        <f t="shared" si="150"/>
        <v>0</v>
      </c>
      <c r="K379" s="63">
        <f t="shared" si="150"/>
        <v>118915</v>
      </c>
      <c r="L379" s="63">
        <f t="shared" si="150"/>
        <v>0</v>
      </c>
      <c r="M379" s="63">
        <f t="shared" si="150"/>
        <v>0</v>
      </c>
      <c r="N379" s="63">
        <f t="shared" si="150"/>
        <v>0</v>
      </c>
      <c r="O379" s="63">
        <f t="shared" si="150"/>
        <v>0</v>
      </c>
      <c r="P379" s="63">
        <f t="shared" si="150"/>
        <v>0</v>
      </c>
      <c r="Q379" s="63">
        <f t="shared" si="150"/>
        <v>0</v>
      </c>
      <c r="R379" s="63">
        <f t="shared" si="151"/>
        <v>0</v>
      </c>
      <c r="S379" s="63">
        <f t="shared" si="151"/>
        <v>0</v>
      </c>
      <c r="T379" s="63">
        <f t="shared" si="151"/>
        <v>0</v>
      </c>
      <c r="U379" s="63">
        <f t="shared" si="151"/>
        <v>0</v>
      </c>
      <c r="V379" s="63">
        <f t="shared" si="151"/>
        <v>0</v>
      </c>
      <c r="W379" s="63">
        <f t="shared" si="151"/>
        <v>0</v>
      </c>
      <c r="X379" s="63">
        <f t="shared" si="151"/>
        <v>0</v>
      </c>
      <c r="Y379" s="63">
        <f t="shared" si="151"/>
        <v>0</v>
      </c>
      <c r="Z379" s="63">
        <f t="shared" si="151"/>
        <v>0</v>
      </c>
      <c r="AA379" s="63">
        <f t="shared" si="151"/>
        <v>0</v>
      </c>
      <c r="AB379" s="63">
        <f t="shared" si="151"/>
        <v>0</v>
      </c>
      <c r="AC379" s="63">
        <f t="shared" si="151"/>
        <v>0</v>
      </c>
      <c r="AD379" s="63">
        <f t="shared" si="151"/>
        <v>0</v>
      </c>
      <c r="AE379" s="63">
        <f t="shared" si="151"/>
        <v>0</v>
      </c>
      <c r="AF379" s="63">
        <f t="shared" si="146"/>
        <v>118915</v>
      </c>
      <c r="AG379" s="58" t="str">
        <f>IF(ABS(AF379-F379)&lt;1,"ok","err")</f>
        <v>ok</v>
      </c>
    </row>
    <row r="380" spans="1:33">
      <c r="A380" s="60"/>
      <c r="B380" s="60"/>
      <c r="F380" s="76"/>
      <c r="W380" s="44"/>
      <c r="AF380" s="63"/>
      <c r="AG380" s="58"/>
    </row>
    <row r="381" spans="1:33">
      <c r="A381" s="60"/>
      <c r="B381" s="60" t="s">
        <v>222</v>
      </c>
      <c r="C381" s="44" t="s">
        <v>86</v>
      </c>
      <c r="F381" s="76">
        <f>SUM(F375:F380)</f>
        <v>13261384</v>
      </c>
      <c r="H381" s="62">
        <f t="shared" ref="H381:M381" si="152">SUM(H375:H380)</f>
        <v>52047.584021179893</v>
      </c>
      <c r="I381" s="62">
        <f t="shared" si="152"/>
        <v>0</v>
      </c>
      <c r="J381" s="62">
        <f t="shared" si="152"/>
        <v>0</v>
      </c>
      <c r="K381" s="62">
        <f t="shared" si="152"/>
        <v>13209336.415978819</v>
      </c>
      <c r="L381" s="62">
        <f t="shared" si="152"/>
        <v>0</v>
      </c>
      <c r="M381" s="62">
        <f t="shared" si="152"/>
        <v>0</v>
      </c>
      <c r="N381" s="62">
        <f>SUM(N375:N380)</f>
        <v>0</v>
      </c>
      <c r="O381" s="62">
        <f>SUM(O375:O380)</f>
        <v>0</v>
      </c>
      <c r="P381" s="62">
        <f>SUM(P375:P380)</f>
        <v>0</v>
      </c>
      <c r="Q381" s="62">
        <f t="shared" ref="Q381:AB381" si="153">SUM(Q375:Q380)</f>
        <v>0</v>
      </c>
      <c r="R381" s="62">
        <f t="shared" si="153"/>
        <v>0</v>
      </c>
      <c r="S381" s="62">
        <f t="shared" si="153"/>
        <v>0</v>
      </c>
      <c r="T381" s="62">
        <f t="shared" si="153"/>
        <v>0</v>
      </c>
      <c r="U381" s="62">
        <f t="shared" si="153"/>
        <v>0</v>
      </c>
      <c r="V381" s="62">
        <f t="shared" si="153"/>
        <v>0</v>
      </c>
      <c r="W381" s="62">
        <f t="shared" si="153"/>
        <v>0</v>
      </c>
      <c r="X381" s="62">
        <f t="shared" si="153"/>
        <v>0</v>
      </c>
      <c r="Y381" s="62">
        <f t="shared" si="153"/>
        <v>0</v>
      </c>
      <c r="Z381" s="62">
        <f t="shared" si="153"/>
        <v>0</v>
      </c>
      <c r="AA381" s="62">
        <f t="shared" si="153"/>
        <v>0</v>
      </c>
      <c r="AB381" s="62">
        <f t="shared" si="153"/>
        <v>0</v>
      </c>
      <c r="AC381" s="62">
        <f>SUM(AC375:AC380)</f>
        <v>0</v>
      </c>
      <c r="AD381" s="62">
        <f>SUM(AD375:AD380)</f>
        <v>0</v>
      </c>
      <c r="AE381" s="62">
        <f>SUM(AE375:AE380)</f>
        <v>0</v>
      </c>
      <c r="AF381" s="63">
        <f t="shared" si="146"/>
        <v>13261383.999999998</v>
      </c>
      <c r="AG381" s="58" t="str">
        <f>IF(ABS(AF381-F381)&lt;1,"ok","err")</f>
        <v>ok</v>
      </c>
    </row>
    <row r="382" spans="1:33">
      <c r="A382" s="60"/>
      <c r="B382" s="60"/>
      <c r="F382" s="76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3"/>
      <c r="AG382" s="58"/>
    </row>
    <row r="383" spans="1:33">
      <c r="A383" s="60"/>
      <c r="B383" s="60" t="s">
        <v>223</v>
      </c>
      <c r="F383" s="76">
        <f>F372+F381</f>
        <v>29642367</v>
      </c>
      <c r="H383" s="62">
        <f t="shared" ref="H383:M383" si="154">H372+H381</f>
        <v>14360944.257236628</v>
      </c>
      <c r="I383" s="62">
        <f t="shared" si="154"/>
        <v>0</v>
      </c>
      <c r="J383" s="62">
        <f t="shared" si="154"/>
        <v>0</v>
      </c>
      <c r="K383" s="62">
        <f t="shared" si="154"/>
        <v>15281422.74276337</v>
      </c>
      <c r="L383" s="62">
        <f t="shared" si="154"/>
        <v>0</v>
      </c>
      <c r="M383" s="62">
        <f t="shared" si="154"/>
        <v>0</v>
      </c>
      <c r="N383" s="62">
        <f>N372+N381</f>
        <v>0</v>
      </c>
      <c r="O383" s="62">
        <f>O372+O381</f>
        <v>0</v>
      </c>
      <c r="P383" s="62">
        <f>P372+P381</f>
        <v>0</v>
      </c>
      <c r="Q383" s="62">
        <f t="shared" ref="Q383:AB383" si="155">Q372+Q381</f>
        <v>0</v>
      </c>
      <c r="R383" s="62">
        <f t="shared" si="155"/>
        <v>0</v>
      </c>
      <c r="S383" s="62">
        <f t="shared" si="155"/>
        <v>0</v>
      </c>
      <c r="T383" s="62">
        <f t="shared" si="155"/>
        <v>0</v>
      </c>
      <c r="U383" s="62">
        <f t="shared" si="155"/>
        <v>0</v>
      </c>
      <c r="V383" s="62">
        <f t="shared" si="155"/>
        <v>0</v>
      </c>
      <c r="W383" s="62">
        <f t="shared" si="155"/>
        <v>0</v>
      </c>
      <c r="X383" s="62">
        <f t="shared" si="155"/>
        <v>0</v>
      </c>
      <c r="Y383" s="62">
        <f t="shared" si="155"/>
        <v>0</v>
      </c>
      <c r="Z383" s="62">
        <f t="shared" si="155"/>
        <v>0</v>
      </c>
      <c r="AA383" s="62">
        <f t="shared" si="155"/>
        <v>0</v>
      </c>
      <c r="AB383" s="62">
        <f t="shared" si="155"/>
        <v>0</v>
      </c>
      <c r="AC383" s="62">
        <f>AC372+AC381</f>
        <v>0</v>
      </c>
      <c r="AD383" s="62">
        <f>AD372+AD381</f>
        <v>0</v>
      </c>
      <c r="AE383" s="62">
        <f>AE372+AE381</f>
        <v>0</v>
      </c>
      <c r="AF383" s="63">
        <f t="shared" si="146"/>
        <v>29642367</v>
      </c>
      <c r="AG383" s="58" t="str">
        <f>IF(ABS(AF383-F383)&lt;1,"ok","err")</f>
        <v>ok</v>
      </c>
    </row>
    <row r="384" spans="1:33">
      <c r="A384" s="60"/>
      <c r="B384" s="60"/>
      <c r="F384" s="76"/>
      <c r="W384" s="44"/>
      <c r="AF384" s="63"/>
      <c r="AG384" s="58"/>
    </row>
    <row r="385" spans="1:33" ht="14.1">
      <c r="A385" s="65" t="s">
        <v>309</v>
      </c>
      <c r="B385" s="60"/>
      <c r="W385" s="44"/>
      <c r="AG385" s="58"/>
    </row>
    <row r="386" spans="1:33">
      <c r="A386" s="70">
        <v>535</v>
      </c>
      <c r="B386" s="60" t="s">
        <v>199</v>
      </c>
      <c r="C386" s="44" t="s">
        <v>579</v>
      </c>
      <c r="D386" s="44" t="s">
        <v>628</v>
      </c>
      <c r="F386" s="76">
        <v>93014</v>
      </c>
      <c r="H386" s="63">
        <f t="shared" ref="H386:Q391" si="156">IF(VLOOKUP($D386,$C$6:$AE$653,H$2,)=0,0,((VLOOKUP($D386,$C$6:$AE$653,H$2,)/VLOOKUP($D386,$C$6:$AE$653,4,))*$F386))</f>
        <v>93014</v>
      </c>
      <c r="I386" s="63">
        <f t="shared" si="156"/>
        <v>0</v>
      </c>
      <c r="J386" s="63">
        <f t="shared" si="156"/>
        <v>0</v>
      </c>
      <c r="K386" s="63">
        <f t="shared" si="156"/>
        <v>0</v>
      </c>
      <c r="L386" s="63">
        <f t="shared" si="156"/>
        <v>0</v>
      </c>
      <c r="M386" s="63">
        <f t="shared" si="156"/>
        <v>0</v>
      </c>
      <c r="N386" s="63">
        <f t="shared" si="156"/>
        <v>0</v>
      </c>
      <c r="O386" s="63">
        <f t="shared" si="156"/>
        <v>0</v>
      </c>
      <c r="P386" s="63">
        <f t="shared" si="156"/>
        <v>0</v>
      </c>
      <c r="Q386" s="63">
        <f t="shared" si="156"/>
        <v>0</v>
      </c>
      <c r="R386" s="63">
        <f t="shared" ref="R386:AE391" si="157">IF(VLOOKUP($D386,$C$6:$AE$653,R$2,)=0,0,((VLOOKUP($D386,$C$6:$AE$653,R$2,)/VLOOKUP($D386,$C$6:$AE$653,4,))*$F386))</f>
        <v>0</v>
      </c>
      <c r="S386" s="63">
        <f t="shared" si="157"/>
        <v>0</v>
      </c>
      <c r="T386" s="63">
        <f t="shared" si="157"/>
        <v>0</v>
      </c>
      <c r="U386" s="63">
        <f t="shared" si="157"/>
        <v>0</v>
      </c>
      <c r="V386" s="63">
        <f t="shared" si="157"/>
        <v>0</v>
      </c>
      <c r="W386" s="63">
        <f t="shared" si="157"/>
        <v>0</v>
      </c>
      <c r="X386" s="63">
        <f t="shared" si="157"/>
        <v>0</v>
      </c>
      <c r="Y386" s="63">
        <f t="shared" si="157"/>
        <v>0</v>
      </c>
      <c r="Z386" s="63">
        <f t="shared" si="157"/>
        <v>0</v>
      </c>
      <c r="AA386" s="63">
        <f t="shared" si="157"/>
        <v>0</v>
      </c>
      <c r="AB386" s="63">
        <f t="shared" si="157"/>
        <v>0</v>
      </c>
      <c r="AC386" s="63">
        <f t="shared" si="157"/>
        <v>0</v>
      </c>
      <c r="AD386" s="63">
        <f t="shared" si="157"/>
        <v>0</v>
      </c>
      <c r="AE386" s="63">
        <f t="shared" si="157"/>
        <v>0</v>
      </c>
      <c r="AF386" s="63">
        <f t="shared" ref="AF386:AF391" si="158">SUM(H386:AE386)</f>
        <v>93014</v>
      </c>
      <c r="AG386" s="58" t="str">
        <f t="shared" ref="AG386:AG391" si="159">IF(ABS(AF386-F386)&lt;1,"ok","err")</f>
        <v>ok</v>
      </c>
    </row>
    <row r="387" spans="1:33">
      <c r="A387" s="276">
        <v>536</v>
      </c>
      <c r="B387" s="60" t="s">
        <v>316</v>
      </c>
      <c r="C387" s="44" t="s">
        <v>580</v>
      </c>
      <c r="D387" s="44" t="s">
        <v>624</v>
      </c>
      <c r="F387" s="79">
        <v>0</v>
      </c>
      <c r="H387" s="63">
        <f t="shared" si="156"/>
        <v>0</v>
      </c>
      <c r="I387" s="63">
        <f t="shared" si="156"/>
        <v>0</v>
      </c>
      <c r="J387" s="63">
        <f t="shared" si="156"/>
        <v>0</v>
      </c>
      <c r="K387" s="63">
        <f t="shared" si="156"/>
        <v>0</v>
      </c>
      <c r="L387" s="63">
        <f t="shared" si="156"/>
        <v>0</v>
      </c>
      <c r="M387" s="63">
        <f t="shared" si="156"/>
        <v>0</v>
      </c>
      <c r="N387" s="63">
        <f t="shared" si="156"/>
        <v>0</v>
      </c>
      <c r="O387" s="63">
        <f t="shared" si="156"/>
        <v>0</v>
      </c>
      <c r="P387" s="63">
        <f t="shared" si="156"/>
        <v>0</v>
      </c>
      <c r="Q387" s="63">
        <f t="shared" si="156"/>
        <v>0</v>
      </c>
      <c r="R387" s="63">
        <f t="shared" si="157"/>
        <v>0</v>
      </c>
      <c r="S387" s="63">
        <f t="shared" si="157"/>
        <v>0</v>
      </c>
      <c r="T387" s="63">
        <f t="shared" si="157"/>
        <v>0</v>
      </c>
      <c r="U387" s="63">
        <f t="shared" si="157"/>
        <v>0</v>
      </c>
      <c r="V387" s="63">
        <f t="shared" si="157"/>
        <v>0</v>
      </c>
      <c r="W387" s="63">
        <f t="shared" si="157"/>
        <v>0</v>
      </c>
      <c r="X387" s="63">
        <f t="shared" si="157"/>
        <v>0</v>
      </c>
      <c r="Y387" s="63">
        <f t="shared" si="157"/>
        <v>0</v>
      </c>
      <c r="Z387" s="63">
        <f t="shared" si="157"/>
        <v>0</v>
      </c>
      <c r="AA387" s="63">
        <f t="shared" si="157"/>
        <v>0</v>
      </c>
      <c r="AB387" s="63">
        <f t="shared" si="157"/>
        <v>0</v>
      </c>
      <c r="AC387" s="63">
        <f t="shared" si="157"/>
        <v>0</v>
      </c>
      <c r="AD387" s="63">
        <f t="shared" si="157"/>
        <v>0</v>
      </c>
      <c r="AE387" s="63">
        <f t="shared" si="157"/>
        <v>0</v>
      </c>
      <c r="AF387" s="63">
        <f t="shared" si="158"/>
        <v>0</v>
      </c>
      <c r="AG387" s="58" t="str">
        <f t="shared" si="159"/>
        <v>ok</v>
      </c>
    </row>
    <row r="388" spans="1:33">
      <c r="A388" s="60">
        <v>537</v>
      </c>
      <c r="B388" s="60" t="s">
        <v>315</v>
      </c>
      <c r="C388" s="44" t="s">
        <v>581</v>
      </c>
      <c r="D388" s="44" t="s">
        <v>624</v>
      </c>
      <c r="F388" s="79">
        <v>0</v>
      </c>
      <c r="H388" s="63">
        <f t="shared" si="156"/>
        <v>0</v>
      </c>
      <c r="I388" s="63">
        <f t="shared" si="156"/>
        <v>0</v>
      </c>
      <c r="J388" s="63">
        <f t="shared" si="156"/>
        <v>0</v>
      </c>
      <c r="K388" s="63">
        <f t="shared" si="156"/>
        <v>0</v>
      </c>
      <c r="L388" s="63">
        <f t="shared" si="156"/>
        <v>0</v>
      </c>
      <c r="M388" s="63">
        <f t="shared" si="156"/>
        <v>0</v>
      </c>
      <c r="N388" s="63">
        <f t="shared" si="156"/>
        <v>0</v>
      </c>
      <c r="O388" s="63">
        <f t="shared" si="156"/>
        <v>0</v>
      </c>
      <c r="P388" s="63">
        <f t="shared" si="156"/>
        <v>0</v>
      </c>
      <c r="Q388" s="63">
        <f t="shared" si="156"/>
        <v>0</v>
      </c>
      <c r="R388" s="63">
        <f t="shared" si="157"/>
        <v>0</v>
      </c>
      <c r="S388" s="63">
        <f t="shared" si="157"/>
        <v>0</v>
      </c>
      <c r="T388" s="63">
        <f t="shared" si="157"/>
        <v>0</v>
      </c>
      <c r="U388" s="63">
        <f t="shared" si="157"/>
        <v>0</v>
      </c>
      <c r="V388" s="63">
        <f t="shared" si="157"/>
        <v>0</v>
      </c>
      <c r="W388" s="63">
        <f t="shared" si="157"/>
        <v>0</v>
      </c>
      <c r="X388" s="63">
        <f t="shared" si="157"/>
        <v>0</v>
      </c>
      <c r="Y388" s="63">
        <f t="shared" si="157"/>
        <v>0</v>
      </c>
      <c r="Z388" s="63">
        <f t="shared" si="157"/>
        <v>0</v>
      </c>
      <c r="AA388" s="63">
        <f t="shared" si="157"/>
        <v>0</v>
      </c>
      <c r="AB388" s="63">
        <f t="shared" si="157"/>
        <v>0</v>
      </c>
      <c r="AC388" s="63">
        <f t="shared" si="157"/>
        <v>0</v>
      </c>
      <c r="AD388" s="63">
        <f t="shared" si="157"/>
        <v>0</v>
      </c>
      <c r="AE388" s="63">
        <f t="shared" si="157"/>
        <v>0</v>
      </c>
      <c r="AF388" s="63">
        <f t="shared" si="158"/>
        <v>0</v>
      </c>
      <c r="AG388" s="58" t="str">
        <f t="shared" si="159"/>
        <v>ok</v>
      </c>
    </row>
    <row r="389" spans="1:33">
      <c r="A389" s="275">
        <v>538</v>
      </c>
      <c r="B389" s="60" t="s">
        <v>205</v>
      </c>
      <c r="C389" s="44" t="s">
        <v>582</v>
      </c>
      <c r="D389" s="44" t="s">
        <v>624</v>
      </c>
      <c r="F389" s="79">
        <v>262377</v>
      </c>
      <c r="H389" s="63">
        <f t="shared" si="156"/>
        <v>262377</v>
      </c>
      <c r="I389" s="63">
        <f t="shared" si="156"/>
        <v>0</v>
      </c>
      <c r="J389" s="63">
        <f t="shared" si="156"/>
        <v>0</v>
      </c>
      <c r="K389" s="63">
        <f t="shared" si="156"/>
        <v>0</v>
      </c>
      <c r="L389" s="63">
        <f t="shared" si="156"/>
        <v>0</v>
      </c>
      <c r="M389" s="63">
        <f t="shared" si="156"/>
        <v>0</v>
      </c>
      <c r="N389" s="63">
        <f t="shared" si="156"/>
        <v>0</v>
      </c>
      <c r="O389" s="63">
        <f t="shared" si="156"/>
        <v>0</v>
      </c>
      <c r="P389" s="63">
        <f t="shared" si="156"/>
        <v>0</v>
      </c>
      <c r="Q389" s="63">
        <f t="shared" si="156"/>
        <v>0</v>
      </c>
      <c r="R389" s="63">
        <f t="shared" si="157"/>
        <v>0</v>
      </c>
      <c r="S389" s="63">
        <f t="shared" si="157"/>
        <v>0</v>
      </c>
      <c r="T389" s="63">
        <f t="shared" si="157"/>
        <v>0</v>
      </c>
      <c r="U389" s="63">
        <f t="shared" si="157"/>
        <v>0</v>
      </c>
      <c r="V389" s="63">
        <f t="shared" si="157"/>
        <v>0</v>
      </c>
      <c r="W389" s="63">
        <f t="shared" si="157"/>
        <v>0</v>
      </c>
      <c r="X389" s="63">
        <f t="shared" si="157"/>
        <v>0</v>
      </c>
      <c r="Y389" s="63">
        <f t="shared" si="157"/>
        <v>0</v>
      </c>
      <c r="Z389" s="63">
        <f t="shared" si="157"/>
        <v>0</v>
      </c>
      <c r="AA389" s="63">
        <f t="shared" si="157"/>
        <v>0</v>
      </c>
      <c r="AB389" s="63">
        <f t="shared" si="157"/>
        <v>0</v>
      </c>
      <c r="AC389" s="63">
        <f t="shared" si="157"/>
        <v>0</v>
      </c>
      <c r="AD389" s="63">
        <f t="shared" si="157"/>
        <v>0</v>
      </c>
      <c r="AE389" s="63">
        <f t="shared" si="157"/>
        <v>0</v>
      </c>
      <c r="AF389" s="63">
        <f t="shared" si="158"/>
        <v>262377</v>
      </c>
      <c r="AG389" s="58" t="str">
        <f t="shared" si="159"/>
        <v>ok</v>
      </c>
    </row>
    <row r="390" spans="1:33">
      <c r="A390" s="60">
        <v>539</v>
      </c>
      <c r="B390" s="60" t="s">
        <v>317</v>
      </c>
      <c r="C390" s="44" t="s">
        <v>583</v>
      </c>
      <c r="D390" s="44" t="s">
        <v>624</v>
      </c>
      <c r="F390" s="79">
        <v>0</v>
      </c>
      <c r="H390" s="63">
        <f t="shared" si="156"/>
        <v>0</v>
      </c>
      <c r="I390" s="63">
        <f t="shared" si="156"/>
        <v>0</v>
      </c>
      <c r="J390" s="63">
        <f t="shared" si="156"/>
        <v>0</v>
      </c>
      <c r="K390" s="63">
        <f t="shared" si="156"/>
        <v>0</v>
      </c>
      <c r="L390" s="63">
        <f t="shared" si="156"/>
        <v>0</v>
      </c>
      <c r="M390" s="63">
        <f t="shared" si="156"/>
        <v>0</v>
      </c>
      <c r="N390" s="63">
        <f t="shared" si="156"/>
        <v>0</v>
      </c>
      <c r="O390" s="63">
        <f t="shared" si="156"/>
        <v>0</v>
      </c>
      <c r="P390" s="63">
        <f t="shared" si="156"/>
        <v>0</v>
      </c>
      <c r="Q390" s="63">
        <f t="shared" si="156"/>
        <v>0</v>
      </c>
      <c r="R390" s="63">
        <f t="shared" si="157"/>
        <v>0</v>
      </c>
      <c r="S390" s="63">
        <f t="shared" si="157"/>
        <v>0</v>
      </c>
      <c r="T390" s="63">
        <f t="shared" si="157"/>
        <v>0</v>
      </c>
      <c r="U390" s="63">
        <f t="shared" si="157"/>
        <v>0</v>
      </c>
      <c r="V390" s="63">
        <f t="shared" si="157"/>
        <v>0</v>
      </c>
      <c r="W390" s="63">
        <f t="shared" si="157"/>
        <v>0</v>
      </c>
      <c r="X390" s="63">
        <f t="shared" si="157"/>
        <v>0</v>
      </c>
      <c r="Y390" s="63">
        <f t="shared" si="157"/>
        <v>0</v>
      </c>
      <c r="Z390" s="63">
        <f t="shared" si="157"/>
        <v>0</v>
      </c>
      <c r="AA390" s="63">
        <f t="shared" si="157"/>
        <v>0</v>
      </c>
      <c r="AB390" s="63">
        <f t="shared" si="157"/>
        <v>0</v>
      </c>
      <c r="AC390" s="63">
        <f t="shared" si="157"/>
        <v>0</v>
      </c>
      <c r="AD390" s="63">
        <f t="shared" si="157"/>
        <v>0</v>
      </c>
      <c r="AE390" s="63">
        <f t="shared" si="157"/>
        <v>0</v>
      </c>
      <c r="AF390" s="63">
        <f t="shared" si="158"/>
        <v>0</v>
      </c>
      <c r="AG390" s="58" t="str">
        <f t="shared" si="159"/>
        <v>ok</v>
      </c>
    </row>
    <row r="391" spans="1:33">
      <c r="A391" s="275">
        <v>540</v>
      </c>
      <c r="B391" s="60" t="s">
        <v>928</v>
      </c>
      <c r="D391" s="44" t="s">
        <v>624</v>
      </c>
      <c r="F391" s="79">
        <v>0</v>
      </c>
      <c r="H391" s="63">
        <f t="shared" si="156"/>
        <v>0</v>
      </c>
      <c r="I391" s="63">
        <f t="shared" si="156"/>
        <v>0</v>
      </c>
      <c r="J391" s="63">
        <f t="shared" si="156"/>
        <v>0</v>
      </c>
      <c r="K391" s="63">
        <f t="shared" si="156"/>
        <v>0</v>
      </c>
      <c r="L391" s="63">
        <f t="shared" si="156"/>
        <v>0</v>
      </c>
      <c r="M391" s="63">
        <f t="shared" si="156"/>
        <v>0</v>
      </c>
      <c r="N391" s="63">
        <f t="shared" si="156"/>
        <v>0</v>
      </c>
      <c r="O391" s="63">
        <f t="shared" si="156"/>
        <v>0</v>
      </c>
      <c r="P391" s="63">
        <f t="shared" si="156"/>
        <v>0</v>
      </c>
      <c r="Q391" s="63">
        <f t="shared" si="156"/>
        <v>0</v>
      </c>
      <c r="R391" s="63">
        <f t="shared" si="157"/>
        <v>0</v>
      </c>
      <c r="S391" s="63">
        <f t="shared" si="157"/>
        <v>0</v>
      </c>
      <c r="T391" s="63">
        <f t="shared" si="157"/>
        <v>0</v>
      </c>
      <c r="U391" s="63">
        <f t="shared" si="157"/>
        <v>0</v>
      </c>
      <c r="V391" s="63">
        <f t="shared" si="157"/>
        <v>0</v>
      </c>
      <c r="W391" s="63">
        <f t="shared" si="157"/>
        <v>0</v>
      </c>
      <c r="X391" s="63">
        <f t="shared" si="157"/>
        <v>0</v>
      </c>
      <c r="Y391" s="63">
        <f t="shared" si="157"/>
        <v>0</v>
      </c>
      <c r="Z391" s="63">
        <f t="shared" si="157"/>
        <v>0</v>
      </c>
      <c r="AA391" s="63">
        <f t="shared" si="157"/>
        <v>0</v>
      </c>
      <c r="AB391" s="63">
        <f t="shared" si="157"/>
        <v>0</v>
      </c>
      <c r="AC391" s="63">
        <f t="shared" si="157"/>
        <v>0</v>
      </c>
      <c r="AD391" s="63">
        <f t="shared" si="157"/>
        <v>0</v>
      </c>
      <c r="AE391" s="63">
        <f t="shared" si="157"/>
        <v>0</v>
      </c>
      <c r="AF391" s="63">
        <f t="shared" si="158"/>
        <v>0</v>
      </c>
      <c r="AG391" s="58" t="str">
        <f t="shared" si="159"/>
        <v>ok</v>
      </c>
    </row>
    <row r="392" spans="1:33">
      <c r="A392" s="60"/>
      <c r="B392" s="60"/>
      <c r="F392" s="76"/>
      <c r="W392" s="44"/>
      <c r="AF392" s="63"/>
      <c r="AG392" s="58"/>
    </row>
    <row r="393" spans="1:33">
      <c r="A393" s="60"/>
      <c r="B393" s="60" t="s">
        <v>312</v>
      </c>
      <c r="C393" s="44" t="s">
        <v>630</v>
      </c>
      <c r="F393" s="76">
        <f>SUM(F386:F392)</f>
        <v>355391</v>
      </c>
      <c r="H393" s="62">
        <f t="shared" ref="H393:M393" si="160">SUM(H386:H392)</f>
        <v>355391</v>
      </c>
      <c r="I393" s="62">
        <f t="shared" si="160"/>
        <v>0</v>
      </c>
      <c r="J393" s="62">
        <f t="shared" si="160"/>
        <v>0</v>
      </c>
      <c r="K393" s="62">
        <f t="shared" si="160"/>
        <v>0</v>
      </c>
      <c r="L393" s="62">
        <f t="shared" si="160"/>
        <v>0</v>
      </c>
      <c r="M393" s="62">
        <f t="shared" si="160"/>
        <v>0</v>
      </c>
      <c r="N393" s="62">
        <f>SUM(N386:N392)</f>
        <v>0</v>
      </c>
      <c r="O393" s="62">
        <f>SUM(O386:O392)</f>
        <v>0</v>
      </c>
      <c r="P393" s="62">
        <f>SUM(P386:P392)</f>
        <v>0</v>
      </c>
      <c r="Q393" s="62">
        <f t="shared" ref="Q393:AB393" si="161">SUM(Q386:Q392)</f>
        <v>0</v>
      </c>
      <c r="R393" s="62">
        <f t="shared" si="161"/>
        <v>0</v>
      </c>
      <c r="S393" s="62">
        <f t="shared" si="161"/>
        <v>0</v>
      </c>
      <c r="T393" s="62">
        <f t="shared" si="161"/>
        <v>0</v>
      </c>
      <c r="U393" s="62">
        <f t="shared" si="161"/>
        <v>0</v>
      </c>
      <c r="V393" s="62">
        <f t="shared" si="161"/>
        <v>0</v>
      </c>
      <c r="W393" s="62">
        <f t="shared" si="161"/>
        <v>0</v>
      </c>
      <c r="X393" s="62">
        <f t="shared" si="161"/>
        <v>0</v>
      </c>
      <c r="Y393" s="62">
        <f t="shared" si="161"/>
        <v>0</v>
      </c>
      <c r="Z393" s="62">
        <f t="shared" si="161"/>
        <v>0</v>
      </c>
      <c r="AA393" s="62">
        <f t="shared" si="161"/>
        <v>0</v>
      </c>
      <c r="AB393" s="62">
        <f t="shared" si="161"/>
        <v>0</v>
      </c>
      <c r="AC393" s="62">
        <f>SUM(AC386:AC392)</f>
        <v>0</v>
      </c>
      <c r="AD393" s="62">
        <f>SUM(AD386:AD392)</f>
        <v>0</v>
      </c>
      <c r="AE393" s="62">
        <f>SUM(AE386:AE392)</f>
        <v>0</v>
      </c>
      <c r="AF393" s="63">
        <f>SUM(H393:AE393)</f>
        <v>355391</v>
      </c>
      <c r="AG393" s="58" t="str">
        <f>IF(ABS(AF393-F393)&lt;1,"ok","err")</f>
        <v>ok</v>
      </c>
    </row>
    <row r="394" spans="1:33">
      <c r="A394" s="60"/>
      <c r="B394" s="60"/>
      <c r="F394" s="76"/>
      <c r="W394" s="44"/>
      <c r="AG394" s="58"/>
    </row>
    <row r="395" spans="1:33" ht="14.1">
      <c r="A395" s="65" t="s">
        <v>310</v>
      </c>
      <c r="B395" s="60"/>
      <c r="F395" s="76"/>
      <c r="W395" s="44"/>
      <c r="AG395" s="58"/>
    </row>
    <row r="396" spans="1:33">
      <c r="A396" s="70">
        <v>541</v>
      </c>
      <c r="B396" s="60" t="s">
        <v>214</v>
      </c>
      <c r="C396" s="44" t="s">
        <v>584</v>
      </c>
      <c r="D396" s="44" t="s">
        <v>635</v>
      </c>
      <c r="F396" s="76">
        <v>0</v>
      </c>
      <c r="H396" s="63">
        <f t="shared" ref="H396:Q400" si="162">IF(VLOOKUP($D396,$C$6:$AE$653,H$2,)=0,0,((VLOOKUP($D396,$C$6:$AE$653,H$2,)/VLOOKUP($D396,$C$6:$AE$653,4,))*$F396))</f>
        <v>0</v>
      </c>
      <c r="I396" s="63">
        <f t="shared" si="162"/>
        <v>0</v>
      </c>
      <c r="J396" s="63">
        <f t="shared" si="162"/>
        <v>0</v>
      </c>
      <c r="K396" s="63">
        <f t="shared" si="162"/>
        <v>0</v>
      </c>
      <c r="L396" s="63">
        <f t="shared" si="162"/>
        <v>0</v>
      </c>
      <c r="M396" s="63">
        <f t="shared" si="162"/>
        <v>0</v>
      </c>
      <c r="N396" s="63">
        <f t="shared" si="162"/>
        <v>0</v>
      </c>
      <c r="O396" s="63">
        <f t="shared" si="162"/>
        <v>0</v>
      </c>
      <c r="P396" s="63">
        <f t="shared" si="162"/>
        <v>0</v>
      </c>
      <c r="Q396" s="63">
        <f t="shared" si="162"/>
        <v>0</v>
      </c>
      <c r="R396" s="63">
        <f t="shared" ref="R396:AE400" si="163">IF(VLOOKUP($D396,$C$6:$AE$653,R$2,)=0,0,((VLOOKUP($D396,$C$6:$AE$653,R$2,)/VLOOKUP($D396,$C$6:$AE$653,4,))*$F396))</f>
        <v>0</v>
      </c>
      <c r="S396" s="63">
        <f t="shared" si="163"/>
        <v>0</v>
      </c>
      <c r="T396" s="63">
        <f t="shared" si="163"/>
        <v>0</v>
      </c>
      <c r="U396" s="63">
        <f t="shared" si="163"/>
        <v>0</v>
      </c>
      <c r="V396" s="63">
        <f t="shared" si="163"/>
        <v>0</v>
      </c>
      <c r="W396" s="63">
        <f t="shared" si="163"/>
        <v>0</v>
      </c>
      <c r="X396" s="63">
        <f t="shared" si="163"/>
        <v>0</v>
      </c>
      <c r="Y396" s="63">
        <f t="shared" si="163"/>
        <v>0</v>
      </c>
      <c r="Z396" s="63">
        <f t="shared" si="163"/>
        <v>0</v>
      </c>
      <c r="AA396" s="63">
        <f t="shared" si="163"/>
        <v>0</v>
      </c>
      <c r="AB396" s="63">
        <f t="shared" si="163"/>
        <v>0</v>
      </c>
      <c r="AC396" s="63">
        <f t="shared" si="163"/>
        <v>0</v>
      </c>
      <c r="AD396" s="63">
        <f t="shared" si="163"/>
        <v>0</v>
      </c>
      <c r="AE396" s="63">
        <f t="shared" si="163"/>
        <v>0</v>
      </c>
      <c r="AF396" s="63">
        <f>SUM(H396:AE396)</f>
        <v>0</v>
      </c>
      <c r="AG396" s="58" t="str">
        <f>IF(ABS(AF396-F396)&lt;1,"ok","err")</f>
        <v>ok</v>
      </c>
    </row>
    <row r="397" spans="1:33">
      <c r="A397" s="70">
        <v>542</v>
      </c>
      <c r="B397" s="60" t="s">
        <v>213</v>
      </c>
      <c r="C397" s="44" t="s">
        <v>585</v>
      </c>
      <c r="D397" s="44" t="s">
        <v>624</v>
      </c>
      <c r="F397" s="79">
        <v>50196</v>
      </c>
      <c r="H397" s="63">
        <f t="shared" si="162"/>
        <v>50196</v>
      </c>
      <c r="I397" s="63">
        <f t="shared" si="162"/>
        <v>0</v>
      </c>
      <c r="J397" s="63">
        <f t="shared" si="162"/>
        <v>0</v>
      </c>
      <c r="K397" s="63">
        <f t="shared" si="162"/>
        <v>0</v>
      </c>
      <c r="L397" s="63">
        <f t="shared" si="162"/>
        <v>0</v>
      </c>
      <c r="M397" s="63">
        <f t="shared" si="162"/>
        <v>0</v>
      </c>
      <c r="N397" s="63">
        <f t="shared" si="162"/>
        <v>0</v>
      </c>
      <c r="O397" s="63">
        <f t="shared" si="162"/>
        <v>0</v>
      </c>
      <c r="P397" s="63">
        <f t="shared" si="162"/>
        <v>0</v>
      </c>
      <c r="Q397" s="63">
        <f t="shared" si="162"/>
        <v>0</v>
      </c>
      <c r="R397" s="63">
        <f t="shared" si="163"/>
        <v>0</v>
      </c>
      <c r="S397" s="63">
        <f t="shared" si="163"/>
        <v>0</v>
      </c>
      <c r="T397" s="63">
        <f t="shared" si="163"/>
        <v>0</v>
      </c>
      <c r="U397" s="63">
        <f t="shared" si="163"/>
        <v>0</v>
      </c>
      <c r="V397" s="63">
        <f t="shared" si="163"/>
        <v>0</v>
      </c>
      <c r="W397" s="63">
        <f t="shared" si="163"/>
        <v>0</v>
      </c>
      <c r="X397" s="63">
        <f t="shared" si="163"/>
        <v>0</v>
      </c>
      <c r="Y397" s="63">
        <f t="shared" si="163"/>
        <v>0</v>
      </c>
      <c r="Z397" s="63">
        <f t="shared" si="163"/>
        <v>0</v>
      </c>
      <c r="AA397" s="63">
        <f t="shared" si="163"/>
        <v>0</v>
      </c>
      <c r="AB397" s="63">
        <f t="shared" si="163"/>
        <v>0</v>
      </c>
      <c r="AC397" s="63">
        <f t="shared" si="163"/>
        <v>0</v>
      </c>
      <c r="AD397" s="63">
        <f t="shared" si="163"/>
        <v>0</v>
      </c>
      <c r="AE397" s="63">
        <f t="shared" si="163"/>
        <v>0</v>
      </c>
      <c r="AF397" s="63">
        <f>SUM(H397:AE397)</f>
        <v>50196</v>
      </c>
      <c r="AG397" s="58" t="str">
        <f>IF(ABS(AF397-F397)&lt;1,"ok","err")</f>
        <v>ok</v>
      </c>
    </row>
    <row r="398" spans="1:33">
      <c r="A398" s="70">
        <v>543</v>
      </c>
      <c r="B398" s="60" t="s">
        <v>311</v>
      </c>
      <c r="C398" s="44" t="s">
        <v>586</v>
      </c>
      <c r="D398" s="44" t="s">
        <v>624</v>
      </c>
      <c r="F398" s="79">
        <v>35849</v>
      </c>
      <c r="H398" s="63">
        <f t="shared" si="162"/>
        <v>35849</v>
      </c>
      <c r="I398" s="63">
        <f t="shared" si="162"/>
        <v>0</v>
      </c>
      <c r="J398" s="63">
        <f t="shared" si="162"/>
        <v>0</v>
      </c>
      <c r="K398" s="63">
        <f t="shared" si="162"/>
        <v>0</v>
      </c>
      <c r="L398" s="63">
        <f t="shared" si="162"/>
        <v>0</v>
      </c>
      <c r="M398" s="63">
        <f t="shared" si="162"/>
        <v>0</v>
      </c>
      <c r="N398" s="63">
        <f t="shared" si="162"/>
        <v>0</v>
      </c>
      <c r="O398" s="63">
        <f t="shared" si="162"/>
        <v>0</v>
      </c>
      <c r="P398" s="63">
        <f t="shared" si="162"/>
        <v>0</v>
      </c>
      <c r="Q398" s="63">
        <f t="shared" si="162"/>
        <v>0</v>
      </c>
      <c r="R398" s="63">
        <f t="shared" si="163"/>
        <v>0</v>
      </c>
      <c r="S398" s="63">
        <f t="shared" si="163"/>
        <v>0</v>
      </c>
      <c r="T398" s="63">
        <f t="shared" si="163"/>
        <v>0</v>
      </c>
      <c r="U398" s="63">
        <f t="shared" si="163"/>
        <v>0</v>
      </c>
      <c r="V398" s="63">
        <f t="shared" si="163"/>
        <v>0</v>
      </c>
      <c r="W398" s="63">
        <f t="shared" si="163"/>
        <v>0</v>
      </c>
      <c r="X398" s="63">
        <f t="shared" si="163"/>
        <v>0</v>
      </c>
      <c r="Y398" s="63">
        <f t="shared" si="163"/>
        <v>0</v>
      </c>
      <c r="Z398" s="63">
        <f t="shared" si="163"/>
        <v>0</v>
      </c>
      <c r="AA398" s="63">
        <f t="shared" si="163"/>
        <v>0</v>
      </c>
      <c r="AB398" s="63">
        <f t="shared" si="163"/>
        <v>0</v>
      </c>
      <c r="AC398" s="63">
        <f t="shared" si="163"/>
        <v>0</v>
      </c>
      <c r="AD398" s="63">
        <f t="shared" si="163"/>
        <v>0</v>
      </c>
      <c r="AE398" s="63">
        <f t="shared" si="163"/>
        <v>0</v>
      </c>
      <c r="AF398" s="63">
        <f>SUM(H398:AE398)</f>
        <v>35849</v>
      </c>
      <c r="AG398" s="58" t="str">
        <f>IF(ABS(AF398-F398)&lt;1,"ok","err")</f>
        <v>ok</v>
      </c>
    </row>
    <row r="399" spans="1:33">
      <c r="A399" s="60">
        <v>544</v>
      </c>
      <c r="B399" s="60" t="s">
        <v>217</v>
      </c>
      <c r="C399" s="44" t="s">
        <v>587</v>
      </c>
      <c r="D399" s="44" t="s">
        <v>854</v>
      </c>
      <c r="F399" s="79">
        <v>72238</v>
      </c>
      <c r="H399" s="63">
        <f t="shared" si="162"/>
        <v>0</v>
      </c>
      <c r="I399" s="63">
        <f t="shared" si="162"/>
        <v>0</v>
      </c>
      <c r="J399" s="63">
        <f t="shared" si="162"/>
        <v>0</v>
      </c>
      <c r="K399" s="63">
        <f t="shared" si="162"/>
        <v>72238</v>
      </c>
      <c r="L399" s="63">
        <f t="shared" si="162"/>
        <v>0</v>
      </c>
      <c r="M399" s="63">
        <f t="shared" si="162"/>
        <v>0</v>
      </c>
      <c r="N399" s="63">
        <f t="shared" si="162"/>
        <v>0</v>
      </c>
      <c r="O399" s="63">
        <f t="shared" si="162"/>
        <v>0</v>
      </c>
      <c r="P399" s="63">
        <f t="shared" si="162"/>
        <v>0</v>
      </c>
      <c r="Q399" s="63">
        <f t="shared" si="162"/>
        <v>0</v>
      </c>
      <c r="R399" s="63">
        <f t="shared" si="163"/>
        <v>0</v>
      </c>
      <c r="S399" s="63">
        <f t="shared" si="163"/>
        <v>0</v>
      </c>
      <c r="T399" s="63">
        <f t="shared" si="163"/>
        <v>0</v>
      </c>
      <c r="U399" s="63">
        <f t="shared" si="163"/>
        <v>0</v>
      </c>
      <c r="V399" s="63">
        <f t="shared" si="163"/>
        <v>0</v>
      </c>
      <c r="W399" s="63">
        <f t="shared" si="163"/>
        <v>0</v>
      </c>
      <c r="X399" s="63">
        <f t="shared" si="163"/>
        <v>0</v>
      </c>
      <c r="Y399" s="63">
        <f t="shared" si="163"/>
        <v>0</v>
      </c>
      <c r="Z399" s="63">
        <f t="shared" si="163"/>
        <v>0</v>
      </c>
      <c r="AA399" s="63">
        <f t="shared" si="163"/>
        <v>0</v>
      </c>
      <c r="AB399" s="63">
        <f t="shared" si="163"/>
        <v>0</v>
      </c>
      <c r="AC399" s="63">
        <f t="shared" si="163"/>
        <v>0</v>
      </c>
      <c r="AD399" s="63">
        <f t="shared" si="163"/>
        <v>0</v>
      </c>
      <c r="AE399" s="63">
        <f t="shared" si="163"/>
        <v>0</v>
      </c>
      <c r="AF399" s="63">
        <f>SUM(H399:AE399)</f>
        <v>72238</v>
      </c>
      <c r="AG399" s="58" t="str">
        <f>IF(ABS(AF399-F399)&lt;1,"ok","err")</f>
        <v>ok</v>
      </c>
    </row>
    <row r="400" spans="1:33">
      <c r="A400" s="60">
        <v>545</v>
      </c>
      <c r="B400" s="60" t="s">
        <v>318</v>
      </c>
      <c r="C400" s="44" t="s">
        <v>588</v>
      </c>
      <c r="D400" s="44" t="s">
        <v>854</v>
      </c>
      <c r="F400" s="79">
        <v>0</v>
      </c>
      <c r="H400" s="63">
        <f t="shared" si="162"/>
        <v>0</v>
      </c>
      <c r="I400" s="63">
        <f t="shared" si="162"/>
        <v>0</v>
      </c>
      <c r="J400" s="63">
        <f t="shared" si="162"/>
        <v>0</v>
      </c>
      <c r="K400" s="63">
        <f t="shared" si="162"/>
        <v>0</v>
      </c>
      <c r="L400" s="63">
        <f t="shared" si="162"/>
        <v>0</v>
      </c>
      <c r="M400" s="63">
        <f t="shared" si="162"/>
        <v>0</v>
      </c>
      <c r="N400" s="63">
        <f t="shared" si="162"/>
        <v>0</v>
      </c>
      <c r="O400" s="63">
        <f t="shared" si="162"/>
        <v>0</v>
      </c>
      <c r="P400" s="63">
        <f t="shared" si="162"/>
        <v>0</v>
      </c>
      <c r="Q400" s="63">
        <f t="shared" si="162"/>
        <v>0</v>
      </c>
      <c r="R400" s="63">
        <f t="shared" si="163"/>
        <v>0</v>
      </c>
      <c r="S400" s="63">
        <f t="shared" si="163"/>
        <v>0</v>
      </c>
      <c r="T400" s="63">
        <f t="shared" si="163"/>
        <v>0</v>
      </c>
      <c r="U400" s="63">
        <f t="shared" si="163"/>
        <v>0</v>
      </c>
      <c r="V400" s="63">
        <f t="shared" si="163"/>
        <v>0</v>
      </c>
      <c r="W400" s="63">
        <f t="shared" si="163"/>
        <v>0</v>
      </c>
      <c r="X400" s="63">
        <f t="shared" si="163"/>
        <v>0</v>
      </c>
      <c r="Y400" s="63">
        <f t="shared" si="163"/>
        <v>0</v>
      </c>
      <c r="Z400" s="63">
        <f t="shared" si="163"/>
        <v>0</v>
      </c>
      <c r="AA400" s="63">
        <f t="shared" si="163"/>
        <v>0</v>
      </c>
      <c r="AB400" s="63">
        <f t="shared" si="163"/>
        <v>0</v>
      </c>
      <c r="AC400" s="63">
        <f t="shared" si="163"/>
        <v>0</v>
      </c>
      <c r="AD400" s="63">
        <f t="shared" si="163"/>
        <v>0</v>
      </c>
      <c r="AE400" s="63">
        <f t="shared" si="163"/>
        <v>0</v>
      </c>
      <c r="AF400" s="63">
        <f>SUM(H400:AE400)</f>
        <v>0</v>
      </c>
      <c r="AG400" s="58" t="str">
        <f>IF(ABS(AF400-F400)&lt;1,"ok","err")</f>
        <v>ok</v>
      </c>
    </row>
    <row r="401" spans="1:33">
      <c r="A401" s="60"/>
      <c r="B401" s="60"/>
      <c r="F401" s="76"/>
      <c r="W401" s="44"/>
      <c r="AG401" s="58"/>
    </row>
    <row r="402" spans="1:33">
      <c r="A402" s="60"/>
      <c r="B402" s="60" t="s">
        <v>314</v>
      </c>
      <c r="C402" s="44" t="s">
        <v>631</v>
      </c>
      <c r="F402" s="76">
        <f>SUM(F396:F401)</f>
        <v>158283</v>
      </c>
      <c r="H402" s="62">
        <f t="shared" ref="H402:M402" si="164">SUM(H396:H401)</f>
        <v>86045</v>
      </c>
      <c r="I402" s="62">
        <f t="shared" si="164"/>
        <v>0</v>
      </c>
      <c r="J402" s="62">
        <f t="shared" si="164"/>
        <v>0</v>
      </c>
      <c r="K402" s="62">
        <f t="shared" si="164"/>
        <v>72238</v>
      </c>
      <c r="L402" s="62">
        <f t="shared" si="164"/>
        <v>0</v>
      </c>
      <c r="M402" s="62">
        <f t="shared" si="164"/>
        <v>0</v>
      </c>
      <c r="N402" s="62">
        <f>SUM(N396:N401)</f>
        <v>0</v>
      </c>
      <c r="O402" s="62">
        <f>SUM(O396:O401)</f>
        <v>0</v>
      </c>
      <c r="P402" s="62">
        <f>SUM(P396:P401)</f>
        <v>0</v>
      </c>
      <c r="Q402" s="62">
        <f t="shared" ref="Q402:AB402" si="165">SUM(Q396:Q401)</f>
        <v>0</v>
      </c>
      <c r="R402" s="62">
        <f t="shared" si="165"/>
        <v>0</v>
      </c>
      <c r="S402" s="62">
        <f t="shared" si="165"/>
        <v>0</v>
      </c>
      <c r="T402" s="62">
        <f t="shared" si="165"/>
        <v>0</v>
      </c>
      <c r="U402" s="62">
        <f t="shared" si="165"/>
        <v>0</v>
      </c>
      <c r="V402" s="62">
        <f t="shared" si="165"/>
        <v>0</v>
      </c>
      <c r="W402" s="62">
        <f t="shared" si="165"/>
        <v>0</v>
      </c>
      <c r="X402" s="62">
        <f t="shared" si="165"/>
        <v>0</v>
      </c>
      <c r="Y402" s="62">
        <f t="shared" si="165"/>
        <v>0</v>
      </c>
      <c r="Z402" s="62">
        <f t="shared" si="165"/>
        <v>0</v>
      </c>
      <c r="AA402" s="62">
        <f t="shared" si="165"/>
        <v>0</v>
      </c>
      <c r="AB402" s="62">
        <f t="shared" si="165"/>
        <v>0</v>
      </c>
      <c r="AC402" s="62">
        <f>SUM(AC396:AC401)</f>
        <v>0</v>
      </c>
      <c r="AD402" s="62">
        <f>SUM(AD396:AD401)</f>
        <v>0</v>
      </c>
      <c r="AE402" s="62">
        <f>SUM(AE396:AE401)</f>
        <v>0</v>
      </c>
      <c r="AF402" s="63">
        <f>SUM(H402:AE402)</f>
        <v>158283</v>
      </c>
      <c r="AG402" s="58" t="str">
        <f>IF(ABS(AF402-F402)&lt;1,"ok","err")</f>
        <v>ok</v>
      </c>
    </row>
    <row r="403" spans="1:33">
      <c r="A403" s="60"/>
      <c r="B403" s="60"/>
      <c r="F403" s="76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3"/>
      <c r="AG403" s="58"/>
    </row>
    <row r="404" spans="1:33">
      <c r="A404" s="60"/>
      <c r="B404" s="60" t="s">
        <v>313</v>
      </c>
      <c r="F404" s="76">
        <f>F393+F402</f>
        <v>513674</v>
      </c>
      <c r="H404" s="62">
        <f t="shared" ref="H404:M404" si="166">H393+H402</f>
        <v>441436</v>
      </c>
      <c r="I404" s="62">
        <f t="shared" si="166"/>
        <v>0</v>
      </c>
      <c r="J404" s="62">
        <f t="shared" si="166"/>
        <v>0</v>
      </c>
      <c r="K404" s="62">
        <f t="shared" si="166"/>
        <v>72238</v>
      </c>
      <c r="L404" s="62">
        <f t="shared" si="166"/>
        <v>0</v>
      </c>
      <c r="M404" s="62">
        <f t="shared" si="166"/>
        <v>0</v>
      </c>
      <c r="N404" s="62">
        <f>N393+N402</f>
        <v>0</v>
      </c>
      <c r="O404" s="62">
        <f>O393+O402</f>
        <v>0</v>
      </c>
      <c r="P404" s="62">
        <f>P393+P402</f>
        <v>0</v>
      </c>
      <c r="Q404" s="62">
        <f t="shared" ref="Q404:AB404" si="167">Q393+Q402</f>
        <v>0</v>
      </c>
      <c r="R404" s="62">
        <f t="shared" si="167"/>
        <v>0</v>
      </c>
      <c r="S404" s="62">
        <f t="shared" si="167"/>
        <v>0</v>
      </c>
      <c r="T404" s="62">
        <f t="shared" si="167"/>
        <v>0</v>
      </c>
      <c r="U404" s="62">
        <f t="shared" si="167"/>
        <v>0</v>
      </c>
      <c r="V404" s="62">
        <f t="shared" si="167"/>
        <v>0</v>
      </c>
      <c r="W404" s="62">
        <f t="shared" si="167"/>
        <v>0</v>
      </c>
      <c r="X404" s="62">
        <f t="shared" si="167"/>
        <v>0</v>
      </c>
      <c r="Y404" s="62">
        <f t="shared" si="167"/>
        <v>0</v>
      </c>
      <c r="Z404" s="62">
        <f t="shared" si="167"/>
        <v>0</v>
      </c>
      <c r="AA404" s="62">
        <f t="shared" si="167"/>
        <v>0</v>
      </c>
      <c r="AB404" s="62">
        <f t="shared" si="167"/>
        <v>0</v>
      </c>
      <c r="AC404" s="62">
        <f>AC393+AC402</f>
        <v>0</v>
      </c>
      <c r="AD404" s="62">
        <f>AD393+AD402</f>
        <v>0</v>
      </c>
      <c r="AE404" s="62">
        <f>AE393+AE402</f>
        <v>0</v>
      </c>
      <c r="AF404" s="63">
        <f>SUM(H404:AE404)</f>
        <v>513674</v>
      </c>
      <c r="AG404" s="58" t="str">
        <f>IF(ABS(AF404-F404)&lt;1,"ok","err")</f>
        <v>ok</v>
      </c>
    </row>
    <row r="405" spans="1:33">
      <c r="A405" s="60"/>
      <c r="B405" s="60"/>
      <c r="F405" s="76"/>
      <c r="W405" s="44"/>
      <c r="AF405" s="63"/>
      <c r="AG405" s="58"/>
    </row>
    <row r="406" spans="1:33" ht="14.1">
      <c r="A406" s="59" t="s">
        <v>44</v>
      </c>
      <c r="B406" s="60"/>
      <c r="F406" s="76"/>
      <c r="W406" s="44"/>
      <c r="AF406" s="63"/>
      <c r="AG406" s="58"/>
    </row>
    <row r="407" spans="1:33">
      <c r="A407" s="60"/>
      <c r="B407" s="60"/>
      <c r="F407" s="76"/>
      <c r="W407" s="44"/>
      <c r="AF407" s="63"/>
      <c r="AG407" s="58"/>
    </row>
    <row r="408" spans="1:33" ht="14.1">
      <c r="A408" s="65" t="s">
        <v>224</v>
      </c>
      <c r="B408" s="60"/>
      <c r="F408" s="76"/>
      <c r="W408" s="44"/>
      <c r="AF408" s="63"/>
      <c r="AG408" s="58"/>
    </row>
    <row r="409" spans="1:33">
      <c r="A409" s="60">
        <v>546</v>
      </c>
      <c r="B409" s="60" t="s">
        <v>199</v>
      </c>
      <c r="C409" s="44" t="s">
        <v>282</v>
      </c>
      <c r="D409" s="44" t="s">
        <v>624</v>
      </c>
      <c r="F409" s="76">
        <v>115734</v>
      </c>
      <c r="H409" s="63">
        <f t="shared" ref="H409:Q413" si="168">IF(VLOOKUP($D409,$C$6:$AE$653,H$2,)=0,0,((VLOOKUP($D409,$C$6:$AE$653,H$2,)/VLOOKUP($D409,$C$6:$AE$653,4,))*$F409))</f>
        <v>115734</v>
      </c>
      <c r="I409" s="63">
        <f t="shared" si="168"/>
        <v>0</v>
      </c>
      <c r="J409" s="63">
        <f t="shared" si="168"/>
        <v>0</v>
      </c>
      <c r="K409" s="63">
        <f t="shared" si="168"/>
        <v>0</v>
      </c>
      <c r="L409" s="63">
        <f t="shared" si="168"/>
        <v>0</v>
      </c>
      <c r="M409" s="63">
        <f t="shared" si="168"/>
        <v>0</v>
      </c>
      <c r="N409" s="63">
        <f t="shared" si="168"/>
        <v>0</v>
      </c>
      <c r="O409" s="63">
        <f t="shared" si="168"/>
        <v>0</v>
      </c>
      <c r="P409" s="63">
        <f t="shared" si="168"/>
        <v>0</v>
      </c>
      <c r="Q409" s="63">
        <f t="shared" si="168"/>
        <v>0</v>
      </c>
      <c r="R409" s="63">
        <f t="shared" ref="R409:AE413" si="169">IF(VLOOKUP($D409,$C$6:$AE$653,R$2,)=0,0,((VLOOKUP($D409,$C$6:$AE$653,R$2,)/VLOOKUP($D409,$C$6:$AE$653,4,))*$F409))</f>
        <v>0</v>
      </c>
      <c r="S409" s="63">
        <f t="shared" si="169"/>
        <v>0</v>
      </c>
      <c r="T409" s="63">
        <f t="shared" si="169"/>
        <v>0</v>
      </c>
      <c r="U409" s="63">
        <f t="shared" si="169"/>
        <v>0</v>
      </c>
      <c r="V409" s="63">
        <f t="shared" si="169"/>
        <v>0</v>
      </c>
      <c r="W409" s="63">
        <f t="shared" si="169"/>
        <v>0</v>
      </c>
      <c r="X409" s="63">
        <f t="shared" si="169"/>
        <v>0</v>
      </c>
      <c r="Y409" s="63">
        <f t="shared" si="169"/>
        <v>0</v>
      </c>
      <c r="Z409" s="63">
        <f t="shared" si="169"/>
        <v>0</v>
      </c>
      <c r="AA409" s="63">
        <f t="shared" si="169"/>
        <v>0</v>
      </c>
      <c r="AB409" s="63">
        <f t="shared" si="169"/>
        <v>0</v>
      </c>
      <c r="AC409" s="63">
        <f t="shared" si="169"/>
        <v>0</v>
      </c>
      <c r="AD409" s="63">
        <f t="shared" si="169"/>
        <v>0</v>
      </c>
      <c r="AE409" s="63">
        <f t="shared" si="169"/>
        <v>0</v>
      </c>
      <c r="AF409" s="63">
        <f t="shared" ref="AF409:AF415" si="170">SUM(H409:AE409)</f>
        <v>115734</v>
      </c>
      <c r="AG409" s="58" t="str">
        <f>IF(ABS(AF409-F409)&lt;1,"ok","err")</f>
        <v>ok</v>
      </c>
    </row>
    <row r="410" spans="1:33">
      <c r="A410" s="60">
        <v>547</v>
      </c>
      <c r="B410" s="60" t="s">
        <v>201</v>
      </c>
      <c r="C410" s="44" t="s">
        <v>283</v>
      </c>
      <c r="D410" s="44" t="s">
        <v>854</v>
      </c>
      <c r="F410" s="79">
        <v>0</v>
      </c>
      <c r="H410" s="63">
        <f t="shared" si="168"/>
        <v>0</v>
      </c>
      <c r="I410" s="63">
        <f t="shared" si="168"/>
        <v>0</v>
      </c>
      <c r="J410" s="63">
        <f t="shared" si="168"/>
        <v>0</v>
      </c>
      <c r="K410" s="63">
        <f t="shared" si="168"/>
        <v>0</v>
      </c>
      <c r="L410" s="63">
        <f t="shared" si="168"/>
        <v>0</v>
      </c>
      <c r="M410" s="63">
        <f t="shared" si="168"/>
        <v>0</v>
      </c>
      <c r="N410" s="63">
        <f t="shared" si="168"/>
        <v>0</v>
      </c>
      <c r="O410" s="63">
        <f t="shared" si="168"/>
        <v>0</v>
      </c>
      <c r="P410" s="63">
        <f t="shared" si="168"/>
        <v>0</v>
      </c>
      <c r="Q410" s="63">
        <f t="shared" si="168"/>
        <v>0</v>
      </c>
      <c r="R410" s="63">
        <f t="shared" si="169"/>
        <v>0</v>
      </c>
      <c r="S410" s="63">
        <f t="shared" si="169"/>
        <v>0</v>
      </c>
      <c r="T410" s="63">
        <f t="shared" si="169"/>
        <v>0</v>
      </c>
      <c r="U410" s="63">
        <f t="shared" si="169"/>
        <v>0</v>
      </c>
      <c r="V410" s="63">
        <f t="shared" si="169"/>
        <v>0</v>
      </c>
      <c r="W410" s="63">
        <f t="shared" si="169"/>
        <v>0</v>
      </c>
      <c r="X410" s="63">
        <f t="shared" si="169"/>
        <v>0</v>
      </c>
      <c r="Y410" s="63">
        <f t="shared" si="169"/>
        <v>0</v>
      </c>
      <c r="Z410" s="63">
        <f t="shared" si="169"/>
        <v>0</v>
      </c>
      <c r="AA410" s="63">
        <f t="shared" si="169"/>
        <v>0</v>
      </c>
      <c r="AB410" s="63">
        <f t="shared" si="169"/>
        <v>0</v>
      </c>
      <c r="AC410" s="63">
        <f t="shared" si="169"/>
        <v>0</v>
      </c>
      <c r="AD410" s="63">
        <f t="shared" si="169"/>
        <v>0</v>
      </c>
      <c r="AE410" s="63">
        <f t="shared" si="169"/>
        <v>0</v>
      </c>
      <c r="AF410" s="63">
        <f t="shared" si="170"/>
        <v>0</v>
      </c>
      <c r="AG410" s="58" t="str">
        <f>IF(ABS(AF410-F410)&lt;1,"ok","err")</f>
        <v>ok</v>
      </c>
    </row>
    <row r="411" spans="1:33">
      <c r="A411" s="60">
        <v>548</v>
      </c>
      <c r="B411" s="60" t="s">
        <v>227</v>
      </c>
      <c r="C411" s="44" t="s">
        <v>284</v>
      </c>
      <c r="D411" s="44" t="s">
        <v>624</v>
      </c>
      <c r="F411" s="79">
        <v>166747</v>
      </c>
      <c r="H411" s="63">
        <f t="shared" si="168"/>
        <v>166747</v>
      </c>
      <c r="I411" s="63">
        <f t="shared" si="168"/>
        <v>0</v>
      </c>
      <c r="J411" s="63">
        <f t="shared" si="168"/>
        <v>0</v>
      </c>
      <c r="K411" s="63">
        <f t="shared" si="168"/>
        <v>0</v>
      </c>
      <c r="L411" s="63">
        <f t="shared" si="168"/>
        <v>0</v>
      </c>
      <c r="M411" s="63">
        <f t="shared" si="168"/>
        <v>0</v>
      </c>
      <c r="N411" s="63">
        <f t="shared" si="168"/>
        <v>0</v>
      </c>
      <c r="O411" s="63">
        <f t="shared" si="168"/>
        <v>0</v>
      </c>
      <c r="P411" s="63">
        <f t="shared" si="168"/>
        <v>0</v>
      </c>
      <c r="Q411" s="63">
        <f t="shared" si="168"/>
        <v>0</v>
      </c>
      <c r="R411" s="63">
        <f t="shared" si="169"/>
        <v>0</v>
      </c>
      <c r="S411" s="63">
        <f t="shared" si="169"/>
        <v>0</v>
      </c>
      <c r="T411" s="63">
        <f t="shared" si="169"/>
        <v>0</v>
      </c>
      <c r="U411" s="63">
        <f t="shared" si="169"/>
        <v>0</v>
      </c>
      <c r="V411" s="63">
        <f t="shared" si="169"/>
        <v>0</v>
      </c>
      <c r="W411" s="63">
        <f t="shared" si="169"/>
        <v>0</v>
      </c>
      <c r="X411" s="63">
        <f t="shared" si="169"/>
        <v>0</v>
      </c>
      <c r="Y411" s="63">
        <f t="shared" si="169"/>
        <v>0</v>
      </c>
      <c r="Z411" s="63">
        <f t="shared" si="169"/>
        <v>0</v>
      </c>
      <c r="AA411" s="63">
        <f t="shared" si="169"/>
        <v>0</v>
      </c>
      <c r="AB411" s="63">
        <f t="shared" si="169"/>
        <v>0</v>
      </c>
      <c r="AC411" s="63">
        <f t="shared" si="169"/>
        <v>0</v>
      </c>
      <c r="AD411" s="63">
        <f t="shared" si="169"/>
        <v>0</v>
      </c>
      <c r="AE411" s="63">
        <f t="shared" si="169"/>
        <v>0</v>
      </c>
      <c r="AF411" s="63">
        <f t="shared" si="170"/>
        <v>166747</v>
      </c>
      <c r="AG411" s="58" t="str">
        <f>IF(ABS(AF411-F411)&lt;1,"ok","err")</f>
        <v>ok</v>
      </c>
    </row>
    <row r="412" spans="1:33">
      <c r="A412" s="60">
        <v>549</v>
      </c>
      <c r="B412" s="60" t="s">
        <v>229</v>
      </c>
      <c r="C412" s="44" t="s">
        <v>285</v>
      </c>
      <c r="D412" s="44" t="s">
        <v>624</v>
      </c>
      <c r="F412" s="79">
        <v>746366</v>
      </c>
      <c r="H412" s="63">
        <f t="shared" si="168"/>
        <v>746366</v>
      </c>
      <c r="I412" s="63">
        <f t="shared" si="168"/>
        <v>0</v>
      </c>
      <c r="J412" s="63">
        <f t="shared" si="168"/>
        <v>0</v>
      </c>
      <c r="K412" s="63">
        <f t="shared" si="168"/>
        <v>0</v>
      </c>
      <c r="L412" s="63">
        <f t="shared" si="168"/>
        <v>0</v>
      </c>
      <c r="M412" s="63">
        <f t="shared" si="168"/>
        <v>0</v>
      </c>
      <c r="N412" s="63">
        <f t="shared" si="168"/>
        <v>0</v>
      </c>
      <c r="O412" s="63">
        <f t="shared" si="168"/>
        <v>0</v>
      </c>
      <c r="P412" s="63">
        <f t="shared" si="168"/>
        <v>0</v>
      </c>
      <c r="Q412" s="63">
        <f t="shared" si="168"/>
        <v>0</v>
      </c>
      <c r="R412" s="63">
        <f t="shared" si="169"/>
        <v>0</v>
      </c>
      <c r="S412" s="63">
        <f t="shared" si="169"/>
        <v>0</v>
      </c>
      <c r="T412" s="63">
        <f t="shared" si="169"/>
        <v>0</v>
      </c>
      <c r="U412" s="63">
        <f t="shared" si="169"/>
        <v>0</v>
      </c>
      <c r="V412" s="63">
        <f t="shared" si="169"/>
        <v>0</v>
      </c>
      <c r="W412" s="63">
        <f t="shared" si="169"/>
        <v>0</v>
      </c>
      <c r="X412" s="63">
        <f t="shared" si="169"/>
        <v>0</v>
      </c>
      <c r="Y412" s="63">
        <f t="shared" si="169"/>
        <v>0</v>
      </c>
      <c r="Z412" s="63">
        <f t="shared" si="169"/>
        <v>0</v>
      </c>
      <c r="AA412" s="63">
        <f t="shared" si="169"/>
        <v>0</v>
      </c>
      <c r="AB412" s="63">
        <f t="shared" si="169"/>
        <v>0</v>
      </c>
      <c r="AC412" s="63">
        <f t="shared" si="169"/>
        <v>0</v>
      </c>
      <c r="AD412" s="63">
        <f t="shared" si="169"/>
        <v>0</v>
      </c>
      <c r="AE412" s="63">
        <f t="shared" si="169"/>
        <v>0</v>
      </c>
      <c r="AF412" s="63">
        <f t="shared" si="170"/>
        <v>746366</v>
      </c>
      <c r="AG412" s="58" t="str">
        <f>IF(ABS(AF412-F412)&lt;1,"ok","err")</f>
        <v>ok</v>
      </c>
    </row>
    <row r="413" spans="1:33">
      <c r="A413" s="60">
        <v>550</v>
      </c>
      <c r="B413" s="60" t="s">
        <v>928</v>
      </c>
      <c r="C413" s="44" t="s">
        <v>286</v>
      </c>
      <c r="D413" s="44" t="s">
        <v>624</v>
      </c>
      <c r="F413" s="79">
        <v>0</v>
      </c>
      <c r="H413" s="63">
        <f t="shared" si="168"/>
        <v>0</v>
      </c>
      <c r="I413" s="63">
        <f t="shared" si="168"/>
        <v>0</v>
      </c>
      <c r="J413" s="63">
        <f t="shared" si="168"/>
        <v>0</v>
      </c>
      <c r="K413" s="63">
        <f t="shared" si="168"/>
        <v>0</v>
      </c>
      <c r="L413" s="63">
        <f t="shared" si="168"/>
        <v>0</v>
      </c>
      <c r="M413" s="63">
        <f t="shared" si="168"/>
        <v>0</v>
      </c>
      <c r="N413" s="63">
        <f t="shared" si="168"/>
        <v>0</v>
      </c>
      <c r="O413" s="63">
        <f t="shared" si="168"/>
        <v>0</v>
      </c>
      <c r="P413" s="63">
        <f t="shared" si="168"/>
        <v>0</v>
      </c>
      <c r="Q413" s="63">
        <f t="shared" si="168"/>
        <v>0</v>
      </c>
      <c r="R413" s="63">
        <f t="shared" si="169"/>
        <v>0</v>
      </c>
      <c r="S413" s="63">
        <f t="shared" si="169"/>
        <v>0</v>
      </c>
      <c r="T413" s="63">
        <f t="shared" si="169"/>
        <v>0</v>
      </c>
      <c r="U413" s="63">
        <f t="shared" si="169"/>
        <v>0</v>
      </c>
      <c r="V413" s="63">
        <f t="shared" si="169"/>
        <v>0</v>
      </c>
      <c r="W413" s="63">
        <f t="shared" si="169"/>
        <v>0</v>
      </c>
      <c r="X413" s="63">
        <f t="shared" si="169"/>
        <v>0</v>
      </c>
      <c r="Y413" s="63">
        <f t="shared" si="169"/>
        <v>0</v>
      </c>
      <c r="Z413" s="63">
        <f t="shared" si="169"/>
        <v>0</v>
      </c>
      <c r="AA413" s="63">
        <f t="shared" si="169"/>
        <v>0</v>
      </c>
      <c r="AB413" s="63">
        <f t="shared" si="169"/>
        <v>0</v>
      </c>
      <c r="AC413" s="63">
        <f t="shared" si="169"/>
        <v>0</v>
      </c>
      <c r="AD413" s="63">
        <f t="shared" si="169"/>
        <v>0</v>
      </c>
      <c r="AE413" s="63">
        <f t="shared" si="169"/>
        <v>0</v>
      </c>
      <c r="AF413" s="63">
        <f t="shared" si="170"/>
        <v>0</v>
      </c>
      <c r="AG413" s="58" t="str">
        <f>IF(ABS(AF413-F413)&lt;1,"ok","err")</f>
        <v>ok</v>
      </c>
    </row>
    <row r="414" spans="1:33">
      <c r="A414" s="60"/>
      <c r="B414" s="60"/>
      <c r="F414" s="79"/>
      <c r="W414" s="44"/>
      <c r="AF414" s="63"/>
      <c r="AG414" s="58"/>
    </row>
    <row r="415" spans="1:33">
      <c r="A415" s="60"/>
      <c r="B415" s="60" t="s">
        <v>232</v>
      </c>
      <c r="C415" s="44" t="s">
        <v>632</v>
      </c>
      <c r="F415" s="76">
        <f>SUM(F409:F414)</f>
        <v>1028847</v>
      </c>
      <c r="H415" s="62">
        <f t="shared" ref="H415:M415" si="171">SUM(H409:H414)</f>
        <v>1028847</v>
      </c>
      <c r="I415" s="62">
        <f t="shared" si="171"/>
        <v>0</v>
      </c>
      <c r="J415" s="62">
        <f t="shared" si="171"/>
        <v>0</v>
      </c>
      <c r="K415" s="62">
        <f t="shared" si="171"/>
        <v>0</v>
      </c>
      <c r="L415" s="62">
        <f t="shared" si="171"/>
        <v>0</v>
      </c>
      <c r="M415" s="62">
        <f t="shared" si="171"/>
        <v>0</v>
      </c>
      <c r="N415" s="62">
        <f>SUM(N409:N414)</f>
        <v>0</v>
      </c>
      <c r="O415" s="62">
        <f>SUM(O409:O414)</f>
        <v>0</v>
      </c>
      <c r="P415" s="62">
        <f>SUM(P409:P414)</f>
        <v>0</v>
      </c>
      <c r="Q415" s="62">
        <f t="shared" ref="Q415:AB415" si="172">SUM(Q409:Q414)</f>
        <v>0</v>
      </c>
      <c r="R415" s="62">
        <f t="shared" si="172"/>
        <v>0</v>
      </c>
      <c r="S415" s="62">
        <f t="shared" si="172"/>
        <v>0</v>
      </c>
      <c r="T415" s="62">
        <f t="shared" si="172"/>
        <v>0</v>
      </c>
      <c r="U415" s="62">
        <f t="shared" si="172"/>
        <v>0</v>
      </c>
      <c r="V415" s="62">
        <f t="shared" si="172"/>
        <v>0</v>
      </c>
      <c r="W415" s="62">
        <f t="shared" si="172"/>
        <v>0</v>
      </c>
      <c r="X415" s="62">
        <f t="shared" si="172"/>
        <v>0</v>
      </c>
      <c r="Y415" s="62">
        <f t="shared" si="172"/>
        <v>0</v>
      </c>
      <c r="Z415" s="62">
        <f t="shared" si="172"/>
        <v>0</v>
      </c>
      <c r="AA415" s="62">
        <f t="shared" si="172"/>
        <v>0</v>
      </c>
      <c r="AB415" s="62">
        <f t="shared" si="172"/>
        <v>0</v>
      </c>
      <c r="AC415" s="62">
        <f>SUM(AC409:AC414)</f>
        <v>0</v>
      </c>
      <c r="AD415" s="62">
        <f>SUM(AD409:AD414)</f>
        <v>0</v>
      </c>
      <c r="AE415" s="62">
        <f>SUM(AE409:AE414)</f>
        <v>0</v>
      </c>
      <c r="AF415" s="63">
        <f t="shared" si="170"/>
        <v>1028847</v>
      </c>
      <c r="AG415" s="58" t="str">
        <f>IF(ABS(AF415-F415)&lt;1,"ok","err")</f>
        <v>ok</v>
      </c>
    </row>
    <row r="416" spans="1:33">
      <c r="A416" s="60"/>
      <c r="B416" s="60"/>
      <c r="F416" s="76"/>
      <c r="W416" s="44"/>
      <c r="AF416" s="63"/>
      <c r="AG416" s="58"/>
    </row>
    <row r="417" spans="1:33" ht="14.1">
      <c r="A417" s="65" t="s">
        <v>233</v>
      </c>
      <c r="B417" s="60"/>
      <c r="F417" s="76"/>
      <c r="W417" s="44"/>
      <c r="AF417" s="63"/>
      <c r="AG417" s="58"/>
    </row>
    <row r="418" spans="1:33">
      <c r="A418" s="60">
        <v>551</v>
      </c>
      <c r="B418" s="60" t="s">
        <v>214</v>
      </c>
      <c r="C418" s="44" t="s">
        <v>287</v>
      </c>
      <c r="D418" s="44" t="s">
        <v>624</v>
      </c>
      <c r="F418" s="76">
        <v>171475</v>
      </c>
      <c r="H418" s="63">
        <f t="shared" ref="H418:Q421" si="173">IF(VLOOKUP($D418,$C$6:$AE$653,H$2,)=0,0,((VLOOKUP($D418,$C$6:$AE$653,H$2,)/VLOOKUP($D418,$C$6:$AE$653,4,))*$F418))</f>
        <v>171475</v>
      </c>
      <c r="I418" s="63">
        <f t="shared" si="173"/>
        <v>0</v>
      </c>
      <c r="J418" s="63">
        <f t="shared" si="173"/>
        <v>0</v>
      </c>
      <c r="K418" s="63">
        <f t="shared" si="173"/>
        <v>0</v>
      </c>
      <c r="L418" s="63">
        <f t="shared" si="173"/>
        <v>0</v>
      </c>
      <c r="M418" s="63">
        <f t="shared" si="173"/>
        <v>0</v>
      </c>
      <c r="N418" s="63">
        <f t="shared" si="173"/>
        <v>0</v>
      </c>
      <c r="O418" s="63">
        <f t="shared" si="173"/>
        <v>0</v>
      </c>
      <c r="P418" s="63">
        <f t="shared" si="173"/>
        <v>0</v>
      </c>
      <c r="Q418" s="63">
        <f t="shared" si="173"/>
        <v>0</v>
      </c>
      <c r="R418" s="63">
        <f t="shared" ref="R418:AE421" si="174">IF(VLOOKUP($D418,$C$6:$AE$653,R$2,)=0,0,((VLOOKUP($D418,$C$6:$AE$653,R$2,)/VLOOKUP($D418,$C$6:$AE$653,4,))*$F418))</f>
        <v>0</v>
      </c>
      <c r="S418" s="63">
        <f t="shared" si="174"/>
        <v>0</v>
      </c>
      <c r="T418" s="63">
        <f t="shared" si="174"/>
        <v>0</v>
      </c>
      <c r="U418" s="63">
        <f t="shared" si="174"/>
        <v>0</v>
      </c>
      <c r="V418" s="63">
        <f t="shared" si="174"/>
        <v>0</v>
      </c>
      <c r="W418" s="63">
        <f t="shared" si="174"/>
        <v>0</v>
      </c>
      <c r="X418" s="63">
        <f t="shared" si="174"/>
        <v>0</v>
      </c>
      <c r="Y418" s="63">
        <f t="shared" si="174"/>
        <v>0</v>
      </c>
      <c r="Z418" s="63">
        <f t="shared" si="174"/>
        <v>0</v>
      </c>
      <c r="AA418" s="63">
        <f t="shared" si="174"/>
        <v>0</v>
      </c>
      <c r="AB418" s="63">
        <f t="shared" si="174"/>
        <v>0</v>
      </c>
      <c r="AC418" s="63">
        <f t="shared" si="174"/>
        <v>0</v>
      </c>
      <c r="AD418" s="63">
        <f t="shared" si="174"/>
        <v>0</v>
      </c>
      <c r="AE418" s="63">
        <f t="shared" si="174"/>
        <v>0</v>
      </c>
      <c r="AF418" s="63">
        <f t="shared" ref="AF418:AF425" si="175">SUM(H418:AE418)</f>
        <v>171475</v>
      </c>
      <c r="AG418" s="58" t="str">
        <f>IF(ABS(AF418-F418)&lt;1,"ok","err")</f>
        <v>ok</v>
      </c>
    </row>
    <row r="419" spans="1:33">
      <c r="A419" s="60">
        <v>552</v>
      </c>
      <c r="B419" s="60" t="s">
        <v>213</v>
      </c>
      <c r="C419" s="44" t="s">
        <v>288</v>
      </c>
      <c r="D419" s="44" t="s">
        <v>624</v>
      </c>
      <c r="F419" s="79">
        <v>82367</v>
      </c>
      <c r="H419" s="63">
        <f t="shared" si="173"/>
        <v>82367</v>
      </c>
      <c r="I419" s="63">
        <f t="shared" si="173"/>
        <v>0</v>
      </c>
      <c r="J419" s="63">
        <f t="shared" si="173"/>
        <v>0</v>
      </c>
      <c r="K419" s="63">
        <f t="shared" si="173"/>
        <v>0</v>
      </c>
      <c r="L419" s="63">
        <f t="shared" si="173"/>
        <v>0</v>
      </c>
      <c r="M419" s="63">
        <f t="shared" si="173"/>
        <v>0</v>
      </c>
      <c r="N419" s="63">
        <f t="shared" si="173"/>
        <v>0</v>
      </c>
      <c r="O419" s="63">
        <f t="shared" si="173"/>
        <v>0</v>
      </c>
      <c r="P419" s="63">
        <f t="shared" si="173"/>
        <v>0</v>
      </c>
      <c r="Q419" s="63">
        <f t="shared" si="173"/>
        <v>0</v>
      </c>
      <c r="R419" s="63">
        <f t="shared" si="174"/>
        <v>0</v>
      </c>
      <c r="S419" s="63">
        <f t="shared" si="174"/>
        <v>0</v>
      </c>
      <c r="T419" s="63">
        <f t="shared" si="174"/>
        <v>0</v>
      </c>
      <c r="U419" s="63">
        <f t="shared" si="174"/>
        <v>0</v>
      </c>
      <c r="V419" s="63">
        <f t="shared" si="174"/>
        <v>0</v>
      </c>
      <c r="W419" s="63">
        <f t="shared" si="174"/>
        <v>0</v>
      </c>
      <c r="X419" s="63">
        <f t="shared" si="174"/>
        <v>0</v>
      </c>
      <c r="Y419" s="63">
        <f t="shared" si="174"/>
        <v>0</v>
      </c>
      <c r="Z419" s="63">
        <f t="shared" si="174"/>
        <v>0</v>
      </c>
      <c r="AA419" s="63">
        <f t="shared" si="174"/>
        <v>0</v>
      </c>
      <c r="AB419" s="63">
        <f t="shared" si="174"/>
        <v>0</v>
      </c>
      <c r="AC419" s="63">
        <f t="shared" si="174"/>
        <v>0</v>
      </c>
      <c r="AD419" s="63">
        <f t="shared" si="174"/>
        <v>0</v>
      </c>
      <c r="AE419" s="63">
        <f t="shared" si="174"/>
        <v>0</v>
      </c>
      <c r="AF419" s="63">
        <f t="shared" si="175"/>
        <v>82367</v>
      </c>
      <c r="AG419" s="58" t="str">
        <f>IF(ABS(AF419-F419)&lt;1,"ok","err")</f>
        <v>ok</v>
      </c>
    </row>
    <row r="420" spans="1:33">
      <c r="A420" s="60">
        <v>553</v>
      </c>
      <c r="B420" s="60" t="s">
        <v>236</v>
      </c>
      <c r="C420" s="44" t="s">
        <v>289</v>
      </c>
      <c r="D420" s="44" t="s">
        <v>624</v>
      </c>
      <c r="F420" s="79">
        <v>361575</v>
      </c>
      <c r="H420" s="63">
        <f t="shared" si="173"/>
        <v>361575</v>
      </c>
      <c r="I420" s="63">
        <f t="shared" si="173"/>
        <v>0</v>
      </c>
      <c r="J420" s="63">
        <f t="shared" si="173"/>
        <v>0</v>
      </c>
      <c r="K420" s="63">
        <f t="shared" si="173"/>
        <v>0</v>
      </c>
      <c r="L420" s="63">
        <f t="shared" si="173"/>
        <v>0</v>
      </c>
      <c r="M420" s="63">
        <f t="shared" si="173"/>
        <v>0</v>
      </c>
      <c r="N420" s="63">
        <f t="shared" si="173"/>
        <v>0</v>
      </c>
      <c r="O420" s="63">
        <f t="shared" si="173"/>
        <v>0</v>
      </c>
      <c r="P420" s="63">
        <f t="shared" si="173"/>
        <v>0</v>
      </c>
      <c r="Q420" s="63">
        <f t="shared" si="173"/>
        <v>0</v>
      </c>
      <c r="R420" s="63">
        <f t="shared" si="174"/>
        <v>0</v>
      </c>
      <c r="S420" s="63">
        <f t="shared" si="174"/>
        <v>0</v>
      </c>
      <c r="T420" s="63">
        <f t="shared" si="174"/>
        <v>0</v>
      </c>
      <c r="U420" s="63">
        <f t="shared" si="174"/>
        <v>0</v>
      </c>
      <c r="V420" s="63">
        <f t="shared" si="174"/>
        <v>0</v>
      </c>
      <c r="W420" s="63">
        <f t="shared" si="174"/>
        <v>0</v>
      </c>
      <c r="X420" s="63">
        <f t="shared" si="174"/>
        <v>0</v>
      </c>
      <c r="Y420" s="63">
        <f t="shared" si="174"/>
        <v>0</v>
      </c>
      <c r="Z420" s="63">
        <f t="shared" si="174"/>
        <v>0</v>
      </c>
      <c r="AA420" s="63">
        <f t="shared" si="174"/>
        <v>0</v>
      </c>
      <c r="AB420" s="63">
        <f t="shared" si="174"/>
        <v>0</v>
      </c>
      <c r="AC420" s="63">
        <f t="shared" si="174"/>
        <v>0</v>
      </c>
      <c r="AD420" s="63">
        <f t="shared" si="174"/>
        <v>0</v>
      </c>
      <c r="AE420" s="63">
        <f t="shared" si="174"/>
        <v>0</v>
      </c>
      <c r="AF420" s="63">
        <f t="shared" si="175"/>
        <v>361575</v>
      </c>
      <c r="AG420" s="58" t="str">
        <f>IF(ABS(AF420-F420)&lt;1,"ok","err")</f>
        <v>ok</v>
      </c>
    </row>
    <row r="421" spans="1:33">
      <c r="A421" s="60">
        <v>554</v>
      </c>
      <c r="B421" s="60" t="s">
        <v>238</v>
      </c>
      <c r="C421" s="44" t="s">
        <v>290</v>
      </c>
      <c r="D421" s="44" t="s">
        <v>624</v>
      </c>
      <c r="F421" s="79">
        <v>305811</v>
      </c>
      <c r="H421" s="63">
        <f t="shared" si="173"/>
        <v>305811</v>
      </c>
      <c r="I421" s="63">
        <f t="shared" si="173"/>
        <v>0</v>
      </c>
      <c r="J421" s="63">
        <f t="shared" si="173"/>
        <v>0</v>
      </c>
      <c r="K421" s="63">
        <f t="shared" si="173"/>
        <v>0</v>
      </c>
      <c r="L421" s="63">
        <f t="shared" si="173"/>
        <v>0</v>
      </c>
      <c r="M421" s="63">
        <f t="shared" si="173"/>
        <v>0</v>
      </c>
      <c r="N421" s="63">
        <f t="shared" si="173"/>
        <v>0</v>
      </c>
      <c r="O421" s="63">
        <f t="shared" si="173"/>
        <v>0</v>
      </c>
      <c r="P421" s="63">
        <f t="shared" si="173"/>
        <v>0</v>
      </c>
      <c r="Q421" s="63">
        <f t="shared" si="173"/>
        <v>0</v>
      </c>
      <c r="R421" s="63">
        <f t="shared" si="174"/>
        <v>0</v>
      </c>
      <c r="S421" s="63">
        <f t="shared" si="174"/>
        <v>0</v>
      </c>
      <c r="T421" s="63">
        <f t="shared" si="174"/>
        <v>0</v>
      </c>
      <c r="U421" s="63">
        <f t="shared" si="174"/>
        <v>0</v>
      </c>
      <c r="V421" s="63">
        <f t="shared" si="174"/>
        <v>0</v>
      </c>
      <c r="W421" s="63">
        <f t="shared" si="174"/>
        <v>0</v>
      </c>
      <c r="X421" s="63">
        <f t="shared" si="174"/>
        <v>0</v>
      </c>
      <c r="Y421" s="63">
        <f t="shared" si="174"/>
        <v>0</v>
      </c>
      <c r="Z421" s="63">
        <f t="shared" si="174"/>
        <v>0</v>
      </c>
      <c r="AA421" s="63">
        <f t="shared" si="174"/>
        <v>0</v>
      </c>
      <c r="AB421" s="63">
        <f t="shared" si="174"/>
        <v>0</v>
      </c>
      <c r="AC421" s="63">
        <f t="shared" si="174"/>
        <v>0</v>
      </c>
      <c r="AD421" s="63">
        <f t="shared" si="174"/>
        <v>0</v>
      </c>
      <c r="AE421" s="63">
        <f t="shared" si="174"/>
        <v>0</v>
      </c>
      <c r="AF421" s="63">
        <f t="shared" si="175"/>
        <v>305811</v>
      </c>
      <c r="AG421" s="58" t="str">
        <f>IF(ABS(AF421-F421)&lt;1,"ok","err")</f>
        <v>ok</v>
      </c>
    </row>
    <row r="422" spans="1:33">
      <c r="A422" s="60"/>
      <c r="B422" s="60"/>
      <c r="F422" s="79"/>
      <c r="W422" s="44"/>
      <c r="AF422" s="63"/>
      <c r="AG422" s="58"/>
    </row>
    <row r="423" spans="1:33">
      <c r="A423" s="60"/>
      <c r="B423" s="60" t="s">
        <v>241</v>
      </c>
      <c r="C423" s="44" t="s">
        <v>633</v>
      </c>
      <c r="F423" s="76">
        <f>SUM(F418:F422)</f>
        <v>921228</v>
      </c>
      <c r="H423" s="62">
        <f t="shared" ref="H423:M423" si="176">SUM(H418:H422)</f>
        <v>921228</v>
      </c>
      <c r="I423" s="62">
        <f t="shared" si="176"/>
        <v>0</v>
      </c>
      <c r="J423" s="62">
        <f t="shared" si="176"/>
        <v>0</v>
      </c>
      <c r="K423" s="62">
        <f t="shared" si="176"/>
        <v>0</v>
      </c>
      <c r="L423" s="62">
        <f t="shared" si="176"/>
        <v>0</v>
      </c>
      <c r="M423" s="62">
        <f t="shared" si="176"/>
        <v>0</v>
      </c>
      <c r="N423" s="62">
        <f>SUM(N418:N422)</f>
        <v>0</v>
      </c>
      <c r="O423" s="62">
        <f>SUM(O418:O422)</f>
        <v>0</v>
      </c>
      <c r="P423" s="62">
        <f>SUM(P418:P422)</f>
        <v>0</v>
      </c>
      <c r="Q423" s="62">
        <f t="shared" ref="Q423:AB423" si="177">SUM(Q418:Q422)</f>
        <v>0</v>
      </c>
      <c r="R423" s="62">
        <f t="shared" si="177"/>
        <v>0</v>
      </c>
      <c r="S423" s="62">
        <f t="shared" si="177"/>
        <v>0</v>
      </c>
      <c r="T423" s="62">
        <f t="shared" si="177"/>
        <v>0</v>
      </c>
      <c r="U423" s="62">
        <f t="shared" si="177"/>
        <v>0</v>
      </c>
      <c r="V423" s="62">
        <f t="shared" si="177"/>
        <v>0</v>
      </c>
      <c r="W423" s="62">
        <f t="shared" si="177"/>
        <v>0</v>
      </c>
      <c r="X423" s="62">
        <f t="shared" si="177"/>
        <v>0</v>
      </c>
      <c r="Y423" s="62">
        <f t="shared" si="177"/>
        <v>0</v>
      </c>
      <c r="Z423" s="62">
        <f t="shared" si="177"/>
        <v>0</v>
      </c>
      <c r="AA423" s="62">
        <f t="shared" si="177"/>
        <v>0</v>
      </c>
      <c r="AB423" s="62">
        <f t="shared" si="177"/>
        <v>0</v>
      </c>
      <c r="AC423" s="62">
        <f>SUM(AC418:AC422)</f>
        <v>0</v>
      </c>
      <c r="AD423" s="62">
        <f>SUM(AD418:AD422)</f>
        <v>0</v>
      </c>
      <c r="AE423" s="62">
        <f>SUM(AE418:AE422)</f>
        <v>0</v>
      </c>
      <c r="AF423" s="63">
        <f t="shared" si="175"/>
        <v>921228</v>
      </c>
      <c r="AG423" s="58" t="str">
        <f>IF(ABS(AF423-F423)&lt;1,"ok","err")</f>
        <v>ok</v>
      </c>
    </row>
    <row r="424" spans="1:33">
      <c r="A424" s="60"/>
      <c r="B424" s="60"/>
      <c r="F424" s="76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3"/>
      <c r="AG424" s="58"/>
    </row>
    <row r="425" spans="1:33">
      <c r="A425" s="60"/>
      <c r="B425" s="60" t="s">
        <v>240</v>
      </c>
      <c r="F425" s="76">
        <f>F415+F423</f>
        <v>1950075</v>
      </c>
      <c r="H425" s="62">
        <f t="shared" ref="H425:M425" si="178">H415+H423</f>
        <v>1950075</v>
      </c>
      <c r="I425" s="62">
        <f t="shared" si="178"/>
        <v>0</v>
      </c>
      <c r="J425" s="62">
        <f t="shared" si="178"/>
        <v>0</v>
      </c>
      <c r="K425" s="62">
        <f t="shared" si="178"/>
        <v>0</v>
      </c>
      <c r="L425" s="62">
        <f t="shared" si="178"/>
        <v>0</v>
      </c>
      <c r="M425" s="62">
        <f t="shared" si="178"/>
        <v>0</v>
      </c>
      <c r="N425" s="62">
        <f>N415+N423</f>
        <v>0</v>
      </c>
      <c r="O425" s="62">
        <f>O415+O423</f>
        <v>0</v>
      </c>
      <c r="P425" s="62">
        <f>P415+P423</f>
        <v>0</v>
      </c>
      <c r="Q425" s="62">
        <f t="shared" ref="Q425:AB425" si="179">Q415+Q423</f>
        <v>0</v>
      </c>
      <c r="R425" s="62">
        <f t="shared" si="179"/>
        <v>0</v>
      </c>
      <c r="S425" s="62">
        <f t="shared" si="179"/>
        <v>0</v>
      </c>
      <c r="T425" s="62">
        <f t="shared" si="179"/>
        <v>0</v>
      </c>
      <c r="U425" s="62">
        <f t="shared" si="179"/>
        <v>0</v>
      </c>
      <c r="V425" s="62">
        <f t="shared" si="179"/>
        <v>0</v>
      </c>
      <c r="W425" s="62">
        <f t="shared" si="179"/>
        <v>0</v>
      </c>
      <c r="X425" s="62">
        <f t="shared" si="179"/>
        <v>0</v>
      </c>
      <c r="Y425" s="62">
        <f t="shared" si="179"/>
        <v>0</v>
      </c>
      <c r="Z425" s="62">
        <f t="shared" si="179"/>
        <v>0</v>
      </c>
      <c r="AA425" s="62">
        <f t="shared" si="179"/>
        <v>0</v>
      </c>
      <c r="AB425" s="62">
        <f t="shared" si="179"/>
        <v>0</v>
      </c>
      <c r="AC425" s="62">
        <f>AC415+AC423</f>
        <v>0</v>
      </c>
      <c r="AD425" s="62">
        <f>AD415+AD423</f>
        <v>0</v>
      </c>
      <c r="AE425" s="62">
        <f>AE415+AE423</f>
        <v>0</v>
      </c>
      <c r="AF425" s="63">
        <f t="shared" si="175"/>
        <v>1950075</v>
      </c>
      <c r="AG425" s="58" t="str">
        <f>IF(ABS(AF425-F425)&lt;1,"ok","err")</f>
        <v>ok</v>
      </c>
    </row>
    <row r="426" spans="1:33">
      <c r="A426" s="60"/>
      <c r="B426" s="60"/>
      <c r="F426" s="76"/>
      <c r="W426" s="44"/>
      <c r="AF426" s="63"/>
      <c r="AG426" s="58"/>
    </row>
    <row r="427" spans="1:33">
      <c r="A427" s="60"/>
      <c r="B427" s="60" t="s">
        <v>330</v>
      </c>
      <c r="C427" s="44" t="s">
        <v>331</v>
      </c>
      <c r="F427" s="76">
        <f>F383+F404+F425</f>
        <v>32106116</v>
      </c>
      <c r="H427" s="62">
        <f t="shared" ref="H427:M427" si="180">H383+H404+H425</f>
        <v>16752455.257236628</v>
      </c>
      <c r="I427" s="62">
        <f t="shared" si="180"/>
        <v>0</v>
      </c>
      <c r="J427" s="62">
        <f t="shared" si="180"/>
        <v>0</v>
      </c>
      <c r="K427" s="62">
        <f t="shared" si="180"/>
        <v>15353660.74276337</v>
      </c>
      <c r="L427" s="62">
        <f t="shared" si="180"/>
        <v>0</v>
      </c>
      <c r="M427" s="62">
        <f t="shared" si="180"/>
        <v>0</v>
      </c>
      <c r="N427" s="62">
        <f>N383+N404+N425</f>
        <v>0</v>
      </c>
      <c r="O427" s="62">
        <f>O383+O404+O425</f>
        <v>0</v>
      </c>
      <c r="P427" s="62">
        <f>P383+P404+P425</f>
        <v>0</v>
      </c>
      <c r="Q427" s="62">
        <f t="shared" ref="Q427:AB427" si="181">Q383+Q404+Q425</f>
        <v>0</v>
      </c>
      <c r="R427" s="62">
        <f t="shared" si="181"/>
        <v>0</v>
      </c>
      <c r="S427" s="62">
        <f t="shared" si="181"/>
        <v>0</v>
      </c>
      <c r="T427" s="62">
        <f t="shared" si="181"/>
        <v>0</v>
      </c>
      <c r="U427" s="62">
        <f t="shared" si="181"/>
        <v>0</v>
      </c>
      <c r="V427" s="62">
        <f t="shared" si="181"/>
        <v>0</v>
      </c>
      <c r="W427" s="62">
        <f t="shared" si="181"/>
        <v>0</v>
      </c>
      <c r="X427" s="62">
        <f t="shared" si="181"/>
        <v>0</v>
      </c>
      <c r="Y427" s="62">
        <f t="shared" si="181"/>
        <v>0</v>
      </c>
      <c r="Z427" s="62">
        <f t="shared" si="181"/>
        <v>0</v>
      </c>
      <c r="AA427" s="62">
        <f t="shared" si="181"/>
        <v>0</v>
      </c>
      <c r="AB427" s="62">
        <f t="shared" si="181"/>
        <v>0</v>
      </c>
      <c r="AC427" s="62">
        <f>AC383+AC404+AC425</f>
        <v>0</v>
      </c>
      <c r="AD427" s="62">
        <f>AD383+AD404+AD425</f>
        <v>0</v>
      </c>
      <c r="AE427" s="62">
        <f>AE383+AE404+AE425</f>
        <v>0</v>
      </c>
      <c r="AF427" s="63">
        <f>SUM(H427:AE427)</f>
        <v>32106116</v>
      </c>
      <c r="AG427" s="58" t="str">
        <f>IF(ABS(AF427-F427)&lt;1,"ok","err")</f>
        <v>ok</v>
      </c>
    </row>
    <row r="428" spans="1:33" ht="14.1">
      <c r="A428" s="59"/>
      <c r="B428" s="60"/>
      <c r="W428" s="44"/>
      <c r="AG428" s="58"/>
    </row>
    <row r="429" spans="1:33" ht="14.1">
      <c r="A429" s="65" t="s">
        <v>909</v>
      </c>
      <c r="B429" s="60"/>
      <c r="W429" s="44"/>
      <c r="AG429" s="58"/>
    </row>
    <row r="430" spans="1:33">
      <c r="A430" s="60">
        <v>555</v>
      </c>
      <c r="B430" s="60" t="s">
        <v>1075</v>
      </c>
      <c r="C430" s="44" t="s">
        <v>100</v>
      </c>
      <c r="D430" s="44" t="s">
        <v>910</v>
      </c>
      <c r="F430" s="76">
        <v>0</v>
      </c>
      <c r="G430" s="62"/>
      <c r="H430" s="63">
        <f t="shared" ref="H430:Q432" si="182">IF(VLOOKUP($D430,$C$6:$AE$653,H$2,)=0,0,((VLOOKUP($D430,$C$6:$AE$653,H$2,)/VLOOKUP($D430,$C$6:$AE$653,4,))*$F430))</f>
        <v>0</v>
      </c>
      <c r="I430" s="63">
        <f t="shared" si="182"/>
        <v>0</v>
      </c>
      <c r="J430" s="63">
        <f t="shared" si="182"/>
        <v>0</v>
      </c>
      <c r="K430" s="63">
        <f t="shared" si="182"/>
        <v>0</v>
      </c>
      <c r="L430" s="63">
        <f t="shared" si="182"/>
        <v>0</v>
      </c>
      <c r="M430" s="63">
        <f t="shared" si="182"/>
        <v>0</v>
      </c>
      <c r="N430" s="63">
        <f t="shared" si="182"/>
        <v>0</v>
      </c>
      <c r="O430" s="63">
        <f t="shared" si="182"/>
        <v>0</v>
      </c>
      <c r="P430" s="63">
        <f t="shared" si="182"/>
        <v>0</v>
      </c>
      <c r="Q430" s="63">
        <f t="shared" si="182"/>
        <v>0</v>
      </c>
      <c r="R430" s="63">
        <f t="shared" ref="R430:AE432" si="183">IF(VLOOKUP($D430,$C$6:$AE$653,R$2,)=0,0,((VLOOKUP($D430,$C$6:$AE$653,R$2,)/VLOOKUP($D430,$C$6:$AE$653,4,))*$F430))</f>
        <v>0</v>
      </c>
      <c r="S430" s="63">
        <f t="shared" si="183"/>
        <v>0</v>
      </c>
      <c r="T430" s="63">
        <f t="shared" si="183"/>
        <v>0</v>
      </c>
      <c r="U430" s="63">
        <f t="shared" si="183"/>
        <v>0</v>
      </c>
      <c r="V430" s="63">
        <f t="shared" si="183"/>
        <v>0</v>
      </c>
      <c r="W430" s="63">
        <f t="shared" si="183"/>
        <v>0</v>
      </c>
      <c r="X430" s="63">
        <f t="shared" si="183"/>
        <v>0</v>
      </c>
      <c r="Y430" s="63">
        <f t="shared" si="183"/>
        <v>0</v>
      </c>
      <c r="Z430" s="63">
        <f t="shared" si="183"/>
        <v>0</v>
      </c>
      <c r="AA430" s="63">
        <f t="shared" si="183"/>
        <v>0</v>
      </c>
      <c r="AB430" s="63">
        <f t="shared" si="183"/>
        <v>0</v>
      </c>
      <c r="AC430" s="63">
        <f t="shared" si="183"/>
        <v>0</v>
      </c>
      <c r="AD430" s="63">
        <f t="shared" si="183"/>
        <v>0</v>
      </c>
      <c r="AE430" s="63">
        <f t="shared" si="183"/>
        <v>0</v>
      </c>
      <c r="AF430" s="63">
        <f>SUM(H430:AE430)</f>
        <v>0</v>
      </c>
      <c r="AG430" s="58" t="str">
        <f>IF(ABS(AF430-F430)&lt;1,"ok","err")</f>
        <v>ok</v>
      </c>
    </row>
    <row r="431" spans="1:33">
      <c r="A431" s="60">
        <v>556</v>
      </c>
      <c r="B431" s="60" t="s">
        <v>250</v>
      </c>
      <c r="C431" s="44" t="s">
        <v>589</v>
      </c>
      <c r="D431" s="44" t="s">
        <v>624</v>
      </c>
      <c r="F431" s="79">
        <v>1351005</v>
      </c>
      <c r="G431" s="62"/>
      <c r="H431" s="63">
        <f t="shared" si="182"/>
        <v>1351005</v>
      </c>
      <c r="I431" s="63">
        <f t="shared" si="182"/>
        <v>0</v>
      </c>
      <c r="J431" s="63">
        <f t="shared" si="182"/>
        <v>0</v>
      </c>
      <c r="K431" s="63">
        <f t="shared" si="182"/>
        <v>0</v>
      </c>
      <c r="L431" s="63">
        <f t="shared" si="182"/>
        <v>0</v>
      </c>
      <c r="M431" s="63">
        <f t="shared" si="182"/>
        <v>0</v>
      </c>
      <c r="N431" s="63">
        <f t="shared" si="182"/>
        <v>0</v>
      </c>
      <c r="O431" s="63">
        <f t="shared" si="182"/>
        <v>0</v>
      </c>
      <c r="P431" s="63">
        <f t="shared" si="182"/>
        <v>0</v>
      </c>
      <c r="Q431" s="63">
        <f t="shared" si="182"/>
        <v>0</v>
      </c>
      <c r="R431" s="63">
        <f t="shared" si="183"/>
        <v>0</v>
      </c>
      <c r="S431" s="63">
        <f t="shared" si="183"/>
        <v>0</v>
      </c>
      <c r="T431" s="63">
        <f t="shared" si="183"/>
        <v>0</v>
      </c>
      <c r="U431" s="63">
        <f t="shared" si="183"/>
        <v>0</v>
      </c>
      <c r="V431" s="63">
        <f t="shared" si="183"/>
        <v>0</v>
      </c>
      <c r="W431" s="63">
        <f t="shared" si="183"/>
        <v>0</v>
      </c>
      <c r="X431" s="63">
        <f t="shared" si="183"/>
        <v>0</v>
      </c>
      <c r="Y431" s="63">
        <f t="shared" si="183"/>
        <v>0</v>
      </c>
      <c r="Z431" s="63">
        <f t="shared" si="183"/>
        <v>0</v>
      </c>
      <c r="AA431" s="63">
        <f t="shared" si="183"/>
        <v>0</v>
      </c>
      <c r="AB431" s="63">
        <f t="shared" si="183"/>
        <v>0</v>
      </c>
      <c r="AC431" s="63">
        <f t="shared" si="183"/>
        <v>0</v>
      </c>
      <c r="AD431" s="63">
        <f t="shared" si="183"/>
        <v>0</v>
      </c>
      <c r="AE431" s="63">
        <f t="shared" si="183"/>
        <v>0</v>
      </c>
      <c r="AF431" s="63">
        <f>SUM(H431:AE431)</f>
        <v>1351005</v>
      </c>
      <c r="AG431" s="58" t="str">
        <f>IF(ABS(AF431-F431)&lt;1,"ok","err")</f>
        <v>ok</v>
      </c>
    </row>
    <row r="432" spans="1:33">
      <c r="A432" s="60">
        <v>557</v>
      </c>
      <c r="B432" s="60" t="s">
        <v>7</v>
      </c>
      <c r="C432" s="44" t="s">
        <v>46</v>
      </c>
      <c r="D432" s="44" t="s">
        <v>624</v>
      </c>
      <c r="F432" s="79">
        <v>0</v>
      </c>
      <c r="G432" s="62"/>
      <c r="H432" s="63">
        <f t="shared" si="182"/>
        <v>0</v>
      </c>
      <c r="I432" s="63">
        <f t="shared" si="182"/>
        <v>0</v>
      </c>
      <c r="J432" s="63">
        <f t="shared" si="182"/>
        <v>0</v>
      </c>
      <c r="K432" s="63">
        <f t="shared" si="182"/>
        <v>0</v>
      </c>
      <c r="L432" s="63">
        <f t="shared" si="182"/>
        <v>0</v>
      </c>
      <c r="M432" s="63">
        <f t="shared" si="182"/>
        <v>0</v>
      </c>
      <c r="N432" s="63">
        <f t="shared" si="182"/>
        <v>0</v>
      </c>
      <c r="O432" s="63">
        <f t="shared" si="182"/>
        <v>0</v>
      </c>
      <c r="P432" s="63">
        <f t="shared" si="182"/>
        <v>0</v>
      </c>
      <c r="Q432" s="63">
        <f t="shared" si="182"/>
        <v>0</v>
      </c>
      <c r="R432" s="63">
        <f t="shared" si="183"/>
        <v>0</v>
      </c>
      <c r="S432" s="63">
        <f t="shared" si="183"/>
        <v>0</v>
      </c>
      <c r="T432" s="63">
        <f t="shared" si="183"/>
        <v>0</v>
      </c>
      <c r="U432" s="63">
        <f t="shared" si="183"/>
        <v>0</v>
      </c>
      <c r="V432" s="63">
        <f t="shared" si="183"/>
        <v>0</v>
      </c>
      <c r="W432" s="63">
        <f t="shared" si="183"/>
        <v>0</v>
      </c>
      <c r="X432" s="63">
        <f t="shared" si="183"/>
        <v>0</v>
      </c>
      <c r="Y432" s="63">
        <f t="shared" si="183"/>
        <v>0</v>
      </c>
      <c r="Z432" s="63">
        <f t="shared" si="183"/>
        <v>0</v>
      </c>
      <c r="AA432" s="63">
        <f t="shared" si="183"/>
        <v>0</v>
      </c>
      <c r="AB432" s="63">
        <f t="shared" si="183"/>
        <v>0</v>
      </c>
      <c r="AC432" s="63">
        <f t="shared" si="183"/>
        <v>0</v>
      </c>
      <c r="AD432" s="63">
        <f t="shared" si="183"/>
        <v>0</v>
      </c>
      <c r="AE432" s="63">
        <f t="shared" si="183"/>
        <v>0</v>
      </c>
      <c r="AF432" s="63">
        <f>SUM(H432:AE432)</f>
        <v>0</v>
      </c>
      <c r="AG432" s="58" t="str">
        <f>IF(ABS(AF432-F432)&lt;1,"ok","err")</f>
        <v>ok</v>
      </c>
    </row>
    <row r="433" spans="1:33">
      <c r="A433" s="60"/>
      <c r="B433" s="60"/>
      <c r="F433" s="76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3"/>
      <c r="AG433" s="58"/>
    </row>
    <row r="434" spans="1:33">
      <c r="A434" s="60"/>
      <c r="B434" s="60" t="s">
        <v>102</v>
      </c>
      <c r="C434" s="44" t="s">
        <v>45</v>
      </c>
      <c r="F434" s="76">
        <f>SUM(F430:F432)</f>
        <v>1351005</v>
      </c>
      <c r="G434" s="62"/>
      <c r="H434" s="62">
        <f t="shared" ref="H434:M434" si="184">SUM(H430:H432)</f>
        <v>1351005</v>
      </c>
      <c r="I434" s="62">
        <f t="shared" si="184"/>
        <v>0</v>
      </c>
      <c r="J434" s="62">
        <f t="shared" si="184"/>
        <v>0</v>
      </c>
      <c r="K434" s="62">
        <f t="shared" si="184"/>
        <v>0</v>
      </c>
      <c r="L434" s="62">
        <f t="shared" si="184"/>
        <v>0</v>
      </c>
      <c r="M434" s="62">
        <f t="shared" si="184"/>
        <v>0</v>
      </c>
      <c r="N434" s="62">
        <f>SUM(N430:N432)</f>
        <v>0</v>
      </c>
      <c r="O434" s="62">
        <f>SUM(O430:O432)</f>
        <v>0</v>
      </c>
      <c r="P434" s="62">
        <f>SUM(P430:P432)</f>
        <v>0</v>
      </c>
      <c r="Q434" s="62">
        <f t="shared" ref="Q434:AB434" si="185">SUM(Q430:Q432)</f>
        <v>0</v>
      </c>
      <c r="R434" s="62">
        <f t="shared" si="185"/>
        <v>0</v>
      </c>
      <c r="S434" s="62">
        <f t="shared" si="185"/>
        <v>0</v>
      </c>
      <c r="T434" s="62">
        <f t="shared" si="185"/>
        <v>0</v>
      </c>
      <c r="U434" s="62">
        <f t="shared" si="185"/>
        <v>0</v>
      </c>
      <c r="V434" s="62">
        <f t="shared" si="185"/>
        <v>0</v>
      </c>
      <c r="W434" s="62">
        <f t="shared" si="185"/>
        <v>0</v>
      </c>
      <c r="X434" s="62">
        <f t="shared" si="185"/>
        <v>0</v>
      </c>
      <c r="Y434" s="62">
        <f t="shared" si="185"/>
        <v>0</v>
      </c>
      <c r="Z434" s="62">
        <f t="shared" si="185"/>
        <v>0</v>
      </c>
      <c r="AA434" s="62">
        <f t="shared" si="185"/>
        <v>0</v>
      </c>
      <c r="AB434" s="62">
        <f t="shared" si="185"/>
        <v>0</v>
      </c>
      <c r="AC434" s="62">
        <f>SUM(AC430:AC432)</f>
        <v>0</v>
      </c>
      <c r="AD434" s="62">
        <f>SUM(AD430:AD432)</f>
        <v>0</v>
      </c>
      <c r="AE434" s="62">
        <f>SUM(AE430:AE432)</f>
        <v>0</v>
      </c>
      <c r="AF434" s="63">
        <f>SUM(H434:AE434)</f>
        <v>1351005</v>
      </c>
      <c r="AG434" s="58" t="str">
        <f>IF(ABS(AF434-F434)&lt;1,"ok","err")</f>
        <v>ok</v>
      </c>
    </row>
    <row r="435" spans="1:33">
      <c r="A435" s="60"/>
      <c r="B435" s="60"/>
      <c r="F435" s="76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3"/>
      <c r="AG435" s="58"/>
    </row>
    <row r="436" spans="1:33">
      <c r="A436" s="60"/>
      <c r="B436" s="60"/>
      <c r="F436" s="76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3"/>
      <c r="AG436" s="58"/>
    </row>
    <row r="437" spans="1:33" ht="14.1">
      <c r="A437" s="59" t="s">
        <v>44</v>
      </c>
      <c r="B437" s="60"/>
      <c r="F437" s="76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3"/>
      <c r="AG437" s="58"/>
    </row>
    <row r="438" spans="1:33">
      <c r="A438" s="60"/>
      <c r="B438" s="60"/>
      <c r="F438" s="76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3"/>
      <c r="AG438" s="58"/>
    </row>
    <row r="439" spans="1:33" ht="14.1">
      <c r="A439" s="65" t="s">
        <v>104</v>
      </c>
      <c r="B439" s="60"/>
      <c r="F439" s="76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3"/>
      <c r="AG439" s="58"/>
    </row>
    <row r="440" spans="1:33">
      <c r="A440" s="60">
        <v>560</v>
      </c>
      <c r="B440" s="60" t="s">
        <v>1070</v>
      </c>
      <c r="C440" s="44" t="s">
        <v>101</v>
      </c>
      <c r="D440" s="44" t="s">
        <v>1085</v>
      </c>
      <c r="F440" s="76">
        <v>884644</v>
      </c>
      <c r="G440" s="62"/>
      <c r="H440" s="63">
        <f t="shared" ref="H440:Q448" si="186">IF(VLOOKUP($D440,$C$6:$AE$653,H$2,)=0,0,((VLOOKUP($D440,$C$6:$AE$653,H$2,)/VLOOKUP($D440,$C$6:$AE$653,4,))*$F440))</f>
        <v>0</v>
      </c>
      <c r="I440" s="63">
        <f t="shared" si="186"/>
        <v>0</v>
      </c>
      <c r="J440" s="63">
        <f t="shared" si="186"/>
        <v>0</v>
      </c>
      <c r="K440" s="63">
        <f t="shared" si="186"/>
        <v>0</v>
      </c>
      <c r="L440" s="63">
        <f t="shared" si="186"/>
        <v>0</v>
      </c>
      <c r="M440" s="63">
        <f t="shared" si="186"/>
        <v>0</v>
      </c>
      <c r="N440" s="63">
        <f t="shared" si="186"/>
        <v>884644</v>
      </c>
      <c r="O440" s="63">
        <f t="shared" si="186"/>
        <v>0</v>
      </c>
      <c r="P440" s="63">
        <f t="shared" si="186"/>
        <v>0</v>
      </c>
      <c r="Q440" s="63">
        <f t="shared" si="186"/>
        <v>0</v>
      </c>
      <c r="R440" s="63">
        <f t="shared" ref="R440:AE448" si="187">IF(VLOOKUP($D440,$C$6:$AE$653,R$2,)=0,0,((VLOOKUP($D440,$C$6:$AE$653,R$2,)/VLOOKUP($D440,$C$6:$AE$653,4,))*$F440))</f>
        <v>0</v>
      </c>
      <c r="S440" s="63">
        <f t="shared" si="187"/>
        <v>0</v>
      </c>
      <c r="T440" s="63">
        <f t="shared" si="187"/>
        <v>0</v>
      </c>
      <c r="U440" s="63">
        <f t="shared" si="187"/>
        <v>0</v>
      </c>
      <c r="V440" s="63">
        <f t="shared" si="187"/>
        <v>0</v>
      </c>
      <c r="W440" s="63">
        <f t="shared" si="187"/>
        <v>0</v>
      </c>
      <c r="X440" s="63">
        <f t="shared" si="187"/>
        <v>0</v>
      </c>
      <c r="Y440" s="63">
        <f t="shared" si="187"/>
        <v>0</v>
      </c>
      <c r="Z440" s="63">
        <f t="shared" si="187"/>
        <v>0</v>
      </c>
      <c r="AA440" s="63">
        <f t="shared" si="187"/>
        <v>0</v>
      </c>
      <c r="AB440" s="63">
        <f t="shared" si="187"/>
        <v>0</v>
      </c>
      <c r="AC440" s="63">
        <f t="shared" si="187"/>
        <v>0</v>
      </c>
      <c r="AD440" s="63">
        <f t="shared" si="187"/>
        <v>0</v>
      </c>
      <c r="AE440" s="63">
        <f t="shared" si="187"/>
        <v>0</v>
      </c>
      <c r="AF440" s="63">
        <f t="shared" ref="AF440:AF447" si="188">SUM(H440:AE440)</f>
        <v>884644</v>
      </c>
      <c r="AG440" s="58" t="str">
        <f t="shared" ref="AG440:AG448" si="189">IF(ABS(AF440-F440)&lt;1,"ok","err")</f>
        <v>ok</v>
      </c>
    </row>
    <row r="441" spans="1:33">
      <c r="A441" s="60">
        <v>561</v>
      </c>
      <c r="B441" s="60" t="s">
        <v>914</v>
      </c>
      <c r="C441" s="44" t="s">
        <v>47</v>
      </c>
      <c r="D441" s="44" t="s">
        <v>1085</v>
      </c>
      <c r="F441" s="79">
        <v>1915335</v>
      </c>
      <c r="G441" s="62"/>
      <c r="H441" s="63">
        <f t="shared" si="186"/>
        <v>0</v>
      </c>
      <c r="I441" s="63">
        <f t="shared" si="186"/>
        <v>0</v>
      </c>
      <c r="J441" s="63">
        <f t="shared" si="186"/>
        <v>0</v>
      </c>
      <c r="K441" s="63">
        <f t="shared" si="186"/>
        <v>0</v>
      </c>
      <c r="L441" s="63">
        <f t="shared" si="186"/>
        <v>0</v>
      </c>
      <c r="M441" s="63">
        <f t="shared" si="186"/>
        <v>0</v>
      </c>
      <c r="N441" s="63">
        <f t="shared" si="186"/>
        <v>1915335</v>
      </c>
      <c r="O441" s="63">
        <f t="shared" si="186"/>
        <v>0</v>
      </c>
      <c r="P441" s="63">
        <f t="shared" si="186"/>
        <v>0</v>
      </c>
      <c r="Q441" s="63">
        <f t="shared" si="186"/>
        <v>0</v>
      </c>
      <c r="R441" s="63">
        <f t="shared" si="187"/>
        <v>0</v>
      </c>
      <c r="S441" s="63">
        <f t="shared" si="187"/>
        <v>0</v>
      </c>
      <c r="T441" s="63">
        <f t="shared" si="187"/>
        <v>0</v>
      </c>
      <c r="U441" s="63">
        <f t="shared" si="187"/>
        <v>0</v>
      </c>
      <c r="V441" s="63">
        <f t="shared" si="187"/>
        <v>0</v>
      </c>
      <c r="W441" s="63">
        <f t="shared" si="187"/>
        <v>0</v>
      </c>
      <c r="X441" s="63">
        <f t="shared" si="187"/>
        <v>0</v>
      </c>
      <c r="Y441" s="63">
        <f t="shared" si="187"/>
        <v>0</v>
      </c>
      <c r="Z441" s="63">
        <f t="shared" si="187"/>
        <v>0</v>
      </c>
      <c r="AA441" s="63">
        <f t="shared" si="187"/>
        <v>0</v>
      </c>
      <c r="AB441" s="63">
        <f t="shared" si="187"/>
        <v>0</v>
      </c>
      <c r="AC441" s="63">
        <f t="shared" si="187"/>
        <v>0</v>
      </c>
      <c r="AD441" s="63">
        <f t="shared" si="187"/>
        <v>0</v>
      </c>
      <c r="AE441" s="63">
        <f t="shared" si="187"/>
        <v>0</v>
      </c>
      <c r="AF441" s="63">
        <f t="shared" si="188"/>
        <v>1915335</v>
      </c>
      <c r="AG441" s="58" t="str">
        <f t="shared" si="189"/>
        <v>ok</v>
      </c>
    </row>
    <row r="442" spans="1:33">
      <c r="A442" s="60">
        <v>562</v>
      </c>
      <c r="B442" s="60" t="s">
        <v>1068</v>
      </c>
      <c r="C442" s="44" t="s">
        <v>48</v>
      </c>
      <c r="D442" s="44" t="s">
        <v>1085</v>
      </c>
      <c r="F442" s="79">
        <v>390519</v>
      </c>
      <c r="G442" s="62"/>
      <c r="H442" s="63">
        <f t="shared" si="186"/>
        <v>0</v>
      </c>
      <c r="I442" s="63">
        <f t="shared" si="186"/>
        <v>0</v>
      </c>
      <c r="J442" s="63">
        <f t="shared" si="186"/>
        <v>0</v>
      </c>
      <c r="K442" s="63">
        <f t="shared" si="186"/>
        <v>0</v>
      </c>
      <c r="L442" s="63">
        <f t="shared" si="186"/>
        <v>0</v>
      </c>
      <c r="M442" s="63">
        <f t="shared" si="186"/>
        <v>0</v>
      </c>
      <c r="N442" s="63">
        <f t="shared" si="186"/>
        <v>390519</v>
      </c>
      <c r="O442" s="63">
        <f t="shared" si="186"/>
        <v>0</v>
      </c>
      <c r="P442" s="63">
        <f t="shared" si="186"/>
        <v>0</v>
      </c>
      <c r="Q442" s="63">
        <f t="shared" si="186"/>
        <v>0</v>
      </c>
      <c r="R442" s="63">
        <f t="shared" si="187"/>
        <v>0</v>
      </c>
      <c r="S442" s="63">
        <f t="shared" si="187"/>
        <v>0</v>
      </c>
      <c r="T442" s="63">
        <f t="shared" si="187"/>
        <v>0</v>
      </c>
      <c r="U442" s="63">
        <f t="shared" si="187"/>
        <v>0</v>
      </c>
      <c r="V442" s="63">
        <f t="shared" si="187"/>
        <v>0</v>
      </c>
      <c r="W442" s="63">
        <f t="shared" si="187"/>
        <v>0</v>
      </c>
      <c r="X442" s="63">
        <f t="shared" si="187"/>
        <v>0</v>
      </c>
      <c r="Y442" s="63">
        <f t="shared" si="187"/>
        <v>0</v>
      </c>
      <c r="Z442" s="63">
        <f t="shared" si="187"/>
        <v>0</v>
      </c>
      <c r="AA442" s="63">
        <f t="shared" si="187"/>
        <v>0</v>
      </c>
      <c r="AB442" s="63">
        <f t="shared" si="187"/>
        <v>0</v>
      </c>
      <c r="AC442" s="63">
        <f t="shared" si="187"/>
        <v>0</v>
      </c>
      <c r="AD442" s="63">
        <f t="shared" si="187"/>
        <v>0</v>
      </c>
      <c r="AE442" s="63">
        <f t="shared" si="187"/>
        <v>0</v>
      </c>
      <c r="AF442" s="63">
        <f t="shared" si="188"/>
        <v>390519</v>
      </c>
      <c r="AG442" s="58" t="str">
        <f t="shared" si="189"/>
        <v>ok</v>
      </c>
    </row>
    <row r="443" spans="1:33">
      <c r="A443" s="60">
        <v>563</v>
      </c>
      <c r="B443" s="60" t="s">
        <v>916</v>
      </c>
      <c r="C443" s="44" t="s">
        <v>49</v>
      </c>
      <c r="D443" s="44" t="s">
        <v>1085</v>
      </c>
      <c r="F443" s="79">
        <v>12872</v>
      </c>
      <c r="G443" s="62"/>
      <c r="H443" s="63">
        <f t="shared" si="186"/>
        <v>0</v>
      </c>
      <c r="I443" s="63">
        <f t="shared" si="186"/>
        <v>0</v>
      </c>
      <c r="J443" s="63">
        <f t="shared" si="186"/>
        <v>0</v>
      </c>
      <c r="K443" s="63">
        <f t="shared" si="186"/>
        <v>0</v>
      </c>
      <c r="L443" s="63">
        <f t="shared" si="186"/>
        <v>0</v>
      </c>
      <c r="M443" s="63">
        <f t="shared" si="186"/>
        <v>0</v>
      </c>
      <c r="N443" s="63">
        <f t="shared" si="186"/>
        <v>12872</v>
      </c>
      <c r="O443" s="63">
        <f t="shared" si="186"/>
        <v>0</v>
      </c>
      <c r="P443" s="63">
        <f t="shared" si="186"/>
        <v>0</v>
      </c>
      <c r="Q443" s="63">
        <f t="shared" si="186"/>
        <v>0</v>
      </c>
      <c r="R443" s="63">
        <f t="shared" si="187"/>
        <v>0</v>
      </c>
      <c r="S443" s="63">
        <f t="shared" si="187"/>
        <v>0</v>
      </c>
      <c r="T443" s="63">
        <f t="shared" si="187"/>
        <v>0</v>
      </c>
      <c r="U443" s="63">
        <f t="shared" si="187"/>
        <v>0</v>
      </c>
      <c r="V443" s="63">
        <f t="shared" si="187"/>
        <v>0</v>
      </c>
      <c r="W443" s="63">
        <f t="shared" si="187"/>
        <v>0</v>
      </c>
      <c r="X443" s="63">
        <f t="shared" si="187"/>
        <v>0</v>
      </c>
      <c r="Y443" s="63">
        <f t="shared" si="187"/>
        <v>0</v>
      </c>
      <c r="Z443" s="63">
        <f t="shared" si="187"/>
        <v>0</v>
      </c>
      <c r="AA443" s="63">
        <f t="shared" si="187"/>
        <v>0</v>
      </c>
      <c r="AB443" s="63">
        <f t="shared" si="187"/>
        <v>0</v>
      </c>
      <c r="AC443" s="63">
        <f t="shared" si="187"/>
        <v>0</v>
      </c>
      <c r="AD443" s="63">
        <f t="shared" si="187"/>
        <v>0</v>
      </c>
      <c r="AE443" s="63">
        <f t="shared" si="187"/>
        <v>0</v>
      </c>
      <c r="AF443" s="63">
        <f t="shared" si="188"/>
        <v>12872</v>
      </c>
      <c r="AG443" s="58" t="str">
        <f t="shared" si="189"/>
        <v>ok</v>
      </c>
    </row>
    <row r="444" spans="1:33">
      <c r="A444" s="60">
        <v>566</v>
      </c>
      <c r="B444" s="60" t="s">
        <v>145</v>
      </c>
      <c r="C444" s="44" t="s">
        <v>149</v>
      </c>
      <c r="D444" s="44" t="s">
        <v>1085</v>
      </c>
      <c r="F444" s="79">
        <v>110681</v>
      </c>
      <c r="G444" s="62"/>
      <c r="H444" s="63">
        <f t="shared" si="186"/>
        <v>0</v>
      </c>
      <c r="I444" s="63">
        <f t="shared" si="186"/>
        <v>0</v>
      </c>
      <c r="J444" s="63">
        <f t="shared" si="186"/>
        <v>0</v>
      </c>
      <c r="K444" s="63">
        <f t="shared" si="186"/>
        <v>0</v>
      </c>
      <c r="L444" s="63">
        <f t="shared" si="186"/>
        <v>0</v>
      </c>
      <c r="M444" s="63">
        <f t="shared" si="186"/>
        <v>0</v>
      </c>
      <c r="N444" s="63">
        <f t="shared" si="186"/>
        <v>110681</v>
      </c>
      <c r="O444" s="63">
        <f t="shared" si="186"/>
        <v>0</v>
      </c>
      <c r="P444" s="63">
        <f t="shared" si="186"/>
        <v>0</v>
      </c>
      <c r="Q444" s="63">
        <f t="shared" si="186"/>
        <v>0</v>
      </c>
      <c r="R444" s="63">
        <f t="shared" si="187"/>
        <v>0</v>
      </c>
      <c r="S444" s="63">
        <f t="shared" si="187"/>
        <v>0</v>
      </c>
      <c r="T444" s="63">
        <f t="shared" si="187"/>
        <v>0</v>
      </c>
      <c r="U444" s="63">
        <f t="shared" si="187"/>
        <v>0</v>
      </c>
      <c r="V444" s="63">
        <f t="shared" si="187"/>
        <v>0</v>
      </c>
      <c r="W444" s="63">
        <f t="shared" si="187"/>
        <v>0</v>
      </c>
      <c r="X444" s="63">
        <f t="shared" si="187"/>
        <v>0</v>
      </c>
      <c r="Y444" s="63">
        <f t="shared" si="187"/>
        <v>0</v>
      </c>
      <c r="Z444" s="63">
        <f t="shared" si="187"/>
        <v>0</v>
      </c>
      <c r="AA444" s="63">
        <f t="shared" si="187"/>
        <v>0</v>
      </c>
      <c r="AB444" s="63">
        <f t="shared" si="187"/>
        <v>0</v>
      </c>
      <c r="AC444" s="63">
        <f t="shared" si="187"/>
        <v>0</v>
      </c>
      <c r="AD444" s="63">
        <f t="shared" si="187"/>
        <v>0</v>
      </c>
      <c r="AE444" s="63">
        <f t="shared" si="187"/>
        <v>0</v>
      </c>
      <c r="AF444" s="63">
        <f t="shared" si="188"/>
        <v>110681</v>
      </c>
      <c r="AG444" s="58" t="str">
        <f t="shared" si="189"/>
        <v>ok</v>
      </c>
    </row>
    <row r="445" spans="1:33">
      <c r="A445" s="60">
        <v>569</v>
      </c>
      <c r="B445" s="60" t="s">
        <v>590</v>
      </c>
      <c r="C445" s="44" t="s">
        <v>591</v>
      </c>
      <c r="D445" s="44" t="s">
        <v>1085</v>
      </c>
      <c r="F445" s="79">
        <v>0</v>
      </c>
      <c r="G445" s="62"/>
      <c r="H445" s="63">
        <f t="shared" si="186"/>
        <v>0</v>
      </c>
      <c r="I445" s="63">
        <f t="shared" si="186"/>
        <v>0</v>
      </c>
      <c r="J445" s="63">
        <f t="shared" si="186"/>
        <v>0</v>
      </c>
      <c r="K445" s="63">
        <f t="shared" si="186"/>
        <v>0</v>
      </c>
      <c r="L445" s="63">
        <f t="shared" si="186"/>
        <v>0</v>
      </c>
      <c r="M445" s="63">
        <f t="shared" si="186"/>
        <v>0</v>
      </c>
      <c r="N445" s="63">
        <f t="shared" si="186"/>
        <v>0</v>
      </c>
      <c r="O445" s="63">
        <f t="shared" si="186"/>
        <v>0</v>
      </c>
      <c r="P445" s="63">
        <f t="shared" si="186"/>
        <v>0</v>
      </c>
      <c r="Q445" s="63">
        <f t="shared" si="186"/>
        <v>0</v>
      </c>
      <c r="R445" s="63">
        <f t="shared" si="187"/>
        <v>0</v>
      </c>
      <c r="S445" s="63">
        <f t="shared" si="187"/>
        <v>0</v>
      </c>
      <c r="T445" s="63">
        <f t="shared" si="187"/>
        <v>0</v>
      </c>
      <c r="U445" s="63">
        <f t="shared" si="187"/>
        <v>0</v>
      </c>
      <c r="V445" s="63">
        <f t="shared" si="187"/>
        <v>0</v>
      </c>
      <c r="W445" s="63">
        <f t="shared" si="187"/>
        <v>0</v>
      </c>
      <c r="X445" s="63">
        <f t="shared" si="187"/>
        <v>0</v>
      </c>
      <c r="Y445" s="63">
        <f t="shared" si="187"/>
        <v>0</v>
      </c>
      <c r="Z445" s="63">
        <f t="shared" si="187"/>
        <v>0</v>
      </c>
      <c r="AA445" s="63">
        <f t="shared" si="187"/>
        <v>0</v>
      </c>
      <c r="AB445" s="63">
        <f t="shared" si="187"/>
        <v>0</v>
      </c>
      <c r="AC445" s="63">
        <f t="shared" si="187"/>
        <v>0</v>
      </c>
      <c r="AD445" s="63">
        <f t="shared" si="187"/>
        <v>0</v>
      </c>
      <c r="AE445" s="63">
        <f t="shared" si="187"/>
        <v>0</v>
      </c>
      <c r="AF445" s="63">
        <f t="shared" si="188"/>
        <v>0</v>
      </c>
      <c r="AG445" s="58" t="str">
        <f t="shared" si="189"/>
        <v>ok</v>
      </c>
    </row>
    <row r="446" spans="1:33">
      <c r="A446" s="60">
        <v>570</v>
      </c>
      <c r="B446" s="60" t="s">
        <v>1071</v>
      </c>
      <c r="C446" s="44" t="s">
        <v>50</v>
      </c>
      <c r="D446" s="44" t="s">
        <v>1085</v>
      </c>
      <c r="F446" s="79">
        <v>687585</v>
      </c>
      <c r="G446" s="62"/>
      <c r="H446" s="63">
        <f t="shared" si="186"/>
        <v>0</v>
      </c>
      <c r="I446" s="63">
        <f t="shared" si="186"/>
        <v>0</v>
      </c>
      <c r="J446" s="63">
        <f t="shared" si="186"/>
        <v>0</v>
      </c>
      <c r="K446" s="63">
        <f t="shared" si="186"/>
        <v>0</v>
      </c>
      <c r="L446" s="63">
        <f t="shared" si="186"/>
        <v>0</v>
      </c>
      <c r="M446" s="63">
        <f t="shared" si="186"/>
        <v>0</v>
      </c>
      <c r="N446" s="63">
        <f t="shared" si="186"/>
        <v>687585</v>
      </c>
      <c r="O446" s="63">
        <f t="shared" si="186"/>
        <v>0</v>
      </c>
      <c r="P446" s="63">
        <f t="shared" si="186"/>
        <v>0</v>
      </c>
      <c r="Q446" s="63">
        <f t="shared" si="186"/>
        <v>0</v>
      </c>
      <c r="R446" s="63">
        <f t="shared" si="187"/>
        <v>0</v>
      </c>
      <c r="S446" s="63">
        <f t="shared" si="187"/>
        <v>0</v>
      </c>
      <c r="T446" s="63">
        <f t="shared" si="187"/>
        <v>0</v>
      </c>
      <c r="U446" s="63">
        <f t="shared" si="187"/>
        <v>0</v>
      </c>
      <c r="V446" s="63">
        <f t="shared" si="187"/>
        <v>0</v>
      </c>
      <c r="W446" s="63">
        <f t="shared" si="187"/>
        <v>0</v>
      </c>
      <c r="X446" s="63">
        <f t="shared" si="187"/>
        <v>0</v>
      </c>
      <c r="Y446" s="63">
        <f t="shared" si="187"/>
        <v>0</v>
      </c>
      <c r="Z446" s="63">
        <f t="shared" si="187"/>
        <v>0</v>
      </c>
      <c r="AA446" s="63">
        <f t="shared" si="187"/>
        <v>0</v>
      </c>
      <c r="AB446" s="63">
        <f t="shared" si="187"/>
        <v>0</v>
      </c>
      <c r="AC446" s="63">
        <f t="shared" si="187"/>
        <v>0</v>
      </c>
      <c r="AD446" s="63">
        <f t="shared" si="187"/>
        <v>0</v>
      </c>
      <c r="AE446" s="63">
        <f t="shared" si="187"/>
        <v>0</v>
      </c>
      <c r="AF446" s="63">
        <f t="shared" si="188"/>
        <v>687585</v>
      </c>
      <c r="AG446" s="58" t="str">
        <f t="shared" si="189"/>
        <v>ok</v>
      </c>
    </row>
    <row r="447" spans="1:33">
      <c r="A447" s="60">
        <v>571</v>
      </c>
      <c r="B447" s="60" t="s">
        <v>1072</v>
      </c>
      <c r="C447" s="44" t="s">
        <v>51</v>
      </c>
      <c r="D447" s="44" t="s">
        <v>1085</v>
      </c>
      <c r="F447" s="79">
        <v>170496</v>
      </c>
      <c r="G447" s="62"/>
      <c r="H447" s="63">
        <f t="shared" si="186"/>
        <v>0</v>
      </c>
      <c r="I447" s="63">
        <f t="shared" si="186"/>
        <v>0</v>
      </c>
      <c r="J447" s="63">
        <f t="shared" si="186"/>
        <v>0</v>
      </c>
      <c r="K447" s="63">
        <f t="shared" si="186"/>
        <v>0</v>
      </c>
      <c r="L447" s="63">
        <f t="shared" si="186"/>
        <v>0</v>
      </c>
      <c r="M447" s="63">
        <f t="shared" si="186"/>
        <v>0</v>
      </c>
      <c r="N447" s="63">
        <f t="shared" si="186"/>
        <v>170496</v>
      </c>
      <c r="O447" s="63">
        <f t="shared" si="186"/>
        <v>0</v>
      </c>
      <c r="P447" s="63">
        <f t="shared" si="186"/>
        <v>0</v>
      </c>
      <c r="Q447" s="63">
        <f t="shared" si="186"/>
        <v>0</v>
      </c>
      <c r="R447" s="63">
        <f t="shared" si="187"/>
        <v>0</v>
      </c>
      <c r="S447" s="63">
        <f t="shared" si="187"/>
        <v>0</v>
      </c>
      <c r="T447" s="63">
        <f t="shared" si="187"/>
        <v>0</v>
      </c>
      <c r="U447" s="63">
        <f t="shared" si="187"/>
        <v>0</v>
      </c>
      <c r="V447" s="63">
        <f t="shared" si="187"/>
        <v>0</v>
      </c>
      <c r="W447" s="63">
        <f t="shared" si="187"/>
        <v>0</v>
      </c>
      <c r="X447" s="63">
        <f t="shared" si="187"/>
        <v>0</v>
      </c>
      <c r="Y447" s="63">
        <f t="shared" si="187"/>
        <v>0</v>
      </c>
      <c r="Z447" s="63">
        <f t="shared" si="187"/>
        <v>0</v>
      </c>
      <c r="AA447" s="63">
        <f t="shared" si="187"/>
        <v>0</v>
      </c>
      <c r="AB447" s="63">
        <f t="shared" si="187"/>
        <v>0</v>
      </c>
      <c r="AC447" s="63">
        <f t="shared" si="187"/>
        <v>0</v>
      </c>
      <c r="AD447" s="63">
        <f t="shared" si="187"/>
        <v>0</v>
      </c>
      <c r="AE447" s="63">
        <f t="shared" si="187"/>
        <v>0</v>
      </c>
      <c r="AF447" s="63">
        <f t="shared" si="188"/>
        <v>170496</v>
      </c>
      <c r="AG447" s="58" t="str">
        <f t="shared" si="189"/>
        <v>ok</v>
      </c>
    </row>
    <row r="448" spans="1:33">
      <c r="A448" s="60">
        <v>573</v>
      </c>
      <c r="B448" s="60" t="s">
        <v>592</v>
      </c>
      <c r="C448" s="44" t="s">
        <v>593</v>
      </c>
      <c r="D448" s="44" t="s">
        <v>1085</v>
      </c>
      <c r="F448" s="79">
        <v>0</v>
      </c>
      <c r="G448" s="62"/>
      <c r="H448" s="63">
        <f t="shared" si="186"/>
        <v>0</v>
      </c>
      <c r="I448" s="63">
        <f t="shared" si="186"/>
        <v>0</v>
      </c>
      <c r="J448" s="63">
        <f t="shared" si="186"/>
        <v>0</v>
      </c>
      <c r="K448" s="63">
        <f t="shared" si="186"/>
        <v>0</v>
      </c>
      <c r="L448" s="63">
        <f t="shared" si="186"/>
        <v>0</v>
      </c>
      <c r="M448" s="63">
        <f t="shared" si="186"/>
        <v>0</v>
      </c>
      <c r="N448" s="63">
        <f t="shared" si="186"/>
        <v>0</v>
      </c>
      <c r="O448" s="63">
        <f t="shared" si="186"/>
        <v>0</v>
      </c>
      <c r="P448" s="63">
        <f t="shared" si="186"/>
        <v>0</v>
      </c>
      <c r="Q448" s="63">
        <f t="shared" si="186"/>
        <v>0</v>
      </c>
      <c r="R448" s="63">
        <f t="shared" si="187"/>
        <v>0</v>
      </c>
      <c r="S448" s="63">
        <f t="shared" si="187"/>
        <v>0</v>
      </c>
      <c r="T448" s="63">
        <f t="shared" si="187"/>
        <v>0</v>
      </c>
      <c r="U448" s="63">
        <f t="shared" si="187"/>
        <v>0</v>
      </c>
      <c r="V448" s="63">
        <f t="shared" si="187"/>
        <v>0</v>
      </c>
      <c r="W448" s="63">
        <f t="shared" si="187"/>
        <v>0</v>
      </c>
      <c r="X448" s="63">
        <f t="shared" si="187"/>
        <v>0</v>
      </c>
      <c r="Y448" s="63">
        <f t="shared" si="187"/>
        <v>0</v>
      </c>
      <c r="Z448" s="63">
        <f t="shared" si="187"/>
        <v>0</v>
      </c>
      <c r="AA448" s="63">
        <f t="shared" si="187"/>
        <v>0</v>
      </c>
      <c r="AB448" s="63">
        <f t="shared" si="187"/>
        <v>0</v>
      </c>
      <c r="AC448" s="63">
        <f t="shared" si="187"/>
        <v>0</v>
      </c>
      <c r="AD448" s="63">
        <f t="shared" si="187"/>
        <v>0</v>
      </c>
      <c r="AE448" s="63">
        <f t="shared" si="187"/>
        <v>0</v>
      </c>
      <c r="AF448" s="63">
        <f>SUM(H448:AE448)</f>
        <v>0</v>
      </c>
      <c r="AG448" s="58" t="str">
        <f t="shared" si="189"/>
        <v>ok</v>
      </c>
    </row>
    <row r="449" spans="1:33">
      <c r="A449" s="60"/>
      <c r="B449" s="60"/>
      <c r="F449" s="76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3"/>
      <c r="AG449" s="58"/>
    </row>
    <row r="450" spans="1:33">
      <c r="A450" s="60" t="s">
        <v>103</v>
      </c>
      <c r="B450" s="60"/>
      <c r="C450" s="44" t="s">
        <v>644</v>
      </c>
      <c r="F450" s="80">
        <f>SUM(F440:F449)</f>
        <v>4172132</v>
      </c>
      <c r="G450" s="64">
        <f>SUM(G440:G447)</f>
        <v>0</v>
      </c>
      <c r="H450" s="64">
        <f t="shared" ref="H450:M450" si="190">SUM(H440:H449)</f>
        <v>0</v>
      </c>
      <c r="I450" s="64">
        <f t="shared" si="190"/>
        <v>0</v>
      </c>
      <c r="J450" s="64">
        <f t="shared" si="190"/>
        <v>0</v>
      </c>
      <c r="K450" s="64">
        <f t="shared" si="190"/>
        <v>0</v>
      </c>
      <c r="L450" s="64">
        <f t="shared" si="190"/>
        <v>0</v>
      </c>
      <c r="M450" s="64">
        <f t="shared" si="190"/>
        <v>0</v>
      </c>
      <c r="N450" s="64">
        <f>SUM(N440:N449)</f>
        <v>4172132</v>
      </c>
      <c r="O450" s="64">
        <f>SUM(O440:O449)</f>
        <v>0</v>
      </c>
      <c r="P450" s="64">
        <f>SUM(P440:P449)</f>
        <v>0</v>
      </c>
      <c r="Q450" s="64">
        <f t="shared" ref="Q450:AB450" si="191">SUM(Q440:Q449)</f>
        <v>0</v>
      </c>
      <c r="R450" s="64">
        <f t="shared" si="191"/>
        <v>0</v>
      </c>
      <c r="S450" s="64">
        <f t="shared" si="191"/>
        <v>0</v>
      </c>
      <c r="T450" s="64">
        <f t="shared" si="191"/>
        <v>0</v>
      </c>
      <c r="U450" s="64">
        <f t="shared" si="191"/>
        <v>0</v>
      </c>
      <c r="V450" s="64">
        <f t="shared" si="191"/>
        <v>0</v>
      </c>
      <c r="W450" s="64">
        <f t="shared" si="191"/>
        <v>0</v>
      </c>
      <c r="X450" s="64">
        <f t="shared" si="191"/>
        <v>0</v>
      </c>
      <c r="Y450" s="64">
        <f t="shared" si="191"/>
        <v>0</v>
      </c>
      <c r="Z450" s="64">
        <f t="shared" si="191"/>
        <v>0</v>
      </c>
      <c r="AA450" s="64">
        <f t="shared" si="191"/>
        <v>0</v>
      </c>
      <c r="AB450" s="64">
        <f t="shared" si="191"/>
        <v>0</v>
      </c>
      <c r="AC450" s="64">
        <f>SUM(AC440:AC449)</f>
        <v>0</v>
      </c>
      <c r="AD450" s="64">
        <f>SUM(AD440:AD449)</f>
        <v>0</v>
      </c>
      <c r="AE450" s="64">
        <f>SUM(AE440:AE449)</f>
        <v>0</v>
      </c>
      <c r="AF450" s="62">
        <f>SUM(H450:AE450)</f>
        <v>4172132</v>
      </c>
      <c r="AG450" s="58" t="str">
        <f>IF(ABS(AF450-F450)&lt;1,"ok","err")</f>
        <v>ok</v>
      </c>
    </row>
    <row r="451" spans="1:33">
      <c r="A451" s="60"/>
      <c r="B451" s="60"/>
      <c r="W451" s="44"/>
      <c r="AG451" s="58"/>
    </row>
    <row r="452" spans="1:33" ht="14.1">
      <c r="A452" s="65" t="s">
        <v>105</v>
      </c>
      <c r="B452" s="60"/>
      <c r="W452" s="44"/>
      <c r="AG452" s="58"/>
    </row>
    <row r="453" spans="1:33">
      <c r="A453" s="60">
        <v>580</v>
      </c>
      <c r="B453" s="60" t="s">
        <v>912</v>
      </c>
      <c r="C453" s="44" t="s">
        <v>52</v>
      </c>
      <c r="D453" s="44" t="s">
        <v>636</v>
      </c>
      <c r="F453" s="76">
        <v>951702</v>
      </c>
      <c r="H453" s="63">
        <f t="shared" ref="H453:Q463" si="192">IF(VLOOKUP($D453,$C$6:$AE$653,H$2,)=0,0,((VLOOKUP($D453,$C$6:$AE$653,H$2,)/VLOOKUP($D453,$C$6:$AE$653,4,))*$F453))</f>
        <v>0</v>
      </c>
      <c r="I453" s="63">
        <f t="shared" si="192"/>
        <v>0</v>
      </c>
      <c r="J453" s="63">
        <f t="shared" si="192"/>
        <v>0</v>
      </c>
      <c r="K453" s="63">
        <f t="shared" si="192"/>
        <v>0</v>
      </c>
      <c r="L453" s="63">
        <f t="shared" si="192"/>
        <v>0</v>
      </c>
      <c r="M453" s="63">
        <f t="shared" si="192"/>
        <v>0</v>
      </c>
      <c r="N453" s="63">
        <f t="shared" si="192"/>
        <v>0</v>
      </c>
      <c r="O453" s="63">
        <f t="shared" si="192"/>
        <v>0</v>
      </c>
      <c r="P453" s="63">
        <f t="shared" si="192"/>
        <v>0</v>
      </c>
      <c r="Q453" s="63">
        <f t="shared" si="192"/>
        <v>0</v>
      </c>
      <c r="R453" s="63">
        <f t="shared" ref="R453:AE463" si="193">IF(VLOOKUP($D453,$C$6:$AE$653,R$2,)=0,0,((VLOOKUP($D453,$C$6:$AE$653,R$2,)/VLOOKUP($D453,$C$6:$AE$653,4,))*$F453))</f>
        <v>141163.5756618756</v>
      </c>
      <c r="S453" s="63">
        <f t="shared" si="193"/>
        <v>0</v>
      </c>
      <c r="T453" s="63">
        <f t="shared" si="193"/>
        <v>112584.47123919179</v>
      </c>
      <c r="U453" s="63">
        <f t="shared" si="193"/>
        <v>190986.77774011513</v>
      </c>
      <c r="V453" s="63">
        <f t="shared" si="193"/>
        <v>38088.005688467289</v>
      </c>
      <c r="W453" s="63">
        <f t="shared" si="193"/>
        <v>66453.116463524289</v>
      </c>
      <c r="X453" s="63">
        <f t="shared" si="193"/>
        <v>11353.89963566551</v>
      </c>
      <c r="Y453" s="63">
        <f t="shared" si="193"/>
        <v>6328.7534212864011</v>
      </c>
      <c r="Z453" s="63">
        <f t="shared" si="193"/>
        <v>4046.4212230293401</v>
      </c>
      <c r="AA453" s="63">
        <f t="shared" si="193"/>
        <v>367355.7464986273</v>
      </c>
      <c r="AB453" s="63">
        <f t="shared" si="193"/>
        <v>13341.23242821739</v>
      </c>
      <c r="AC453" s="63">
        <f t="shared" si="193"/>
        <v>0</v>
      </c>
      <c r="AD453" s="63">
        <f t="shared" si="193"/>
        <v>0</v>
      </c>
      <c r="AE453" s="63">
        <f t="shared" si="193"/>
        <v>0</v>
      </c>
      <c r="AF453" s="63">
        <f t="shared" ref="AF453:AF463" si="194">SUM(H453:AE453)</f>
        <v>951702.00000000012</v>
      </c>
      <c r="AG453" s="58" t="str">
        <f t="shared" ref="AG453:AG463" si="195">IF(ABS(AF453-F453)&lt;1,"ok","err")</f>
        <v>ok</v>
      </c>
    </row>
    <row r="454" spans="1:33">
      <c r="A454" s="60">
        <v>581</v>
      </c>
      <c r="B454" s="60" t="s">
        <v>914</v>
      </c>
      <c r="C454" s="44" t="s">
        <v>53</v>
      </c>
      <c r="D454" s="44" t="s">
        <v>863</v>
      </c>
      <c r="F454" s="79">
        <v>147043</v>
      </c>
      <c r="H454" s="63">
        <f t="shared" si="192"/>
        <v>0</v>
      </c>
      <c r="I454" s="63">
        <f t="shared" si="192"/>
        <v>0</v>
      </c>
      <c r="J454" s="63">
        <f t="shared" si="192"/>
        <v>0</v>
      </c>
      <c r="K454" s="63">
        <f t="shared" si="192"/>
        <v>0</v>
      </c>
      <c r="L454" s="63">
        <f t="shared" si="192"/>
        <v>0</v>
      </c>
      <c r="M454" s="63">
        <f t="shared" si="192"/>
        <v>0</v>
      </c>
      <c r="N454" s="63">
        <f t="shared" si="192"/>
        <v>0</v>
      </c>
      <c r="O454" s="63">
        <f t="shared" si="192"/>
        <v>0</v>
      </c>
      <c r="P454" s="63">
        <f t="shared" si="192"/>
        <v>0</v>
      </c>
      <c r="Q454" s="63">
        <f t="shared" si="192"/>
        <v>0</v>
      </c>
      <c r="R454" s="63">
        <f t="shared" si="193"/>
        <v>147043</v>
      </c>
      <c r="S454" s="63">
        <f t="shared" si="193"/>
        <v>0</v>
      </c>
      <c r="T454" s="63">
        <f t="shared" si="193"/>
        <v>0</v>
      </c>
      <c r="U454" s="63">
        <f t="shared" si="193"/>
        <v>0</v>
      </c>
      <c r="V454" s="63">
        <f t="shared" si="193"/>
        <v>0</v>
      </c>
      <c r="W454" s="63">
        <f t="shared" si="193"/>
        <v>0</v>
      </c>
      <c r="X454" s="63">
        <f t="shared" si="193"/>
        <v>0</v>
      </c>
      <c r="Y454" s="63">
        <f t="shared" si="193"/>
        <v>0</v>
      </c>
      <c r="Z454" s="63">
        <f t="shared" si="193"/>
        <v>0</v>
      </c>
      <c r="AA454" s="63">
        <f t="shared" si="193"/>
        <v>0</v>
      </c>
      <c r="AB454" s="63">
        <f t="shared" si="193"/>
        <v>0</v>
      </c>
      <c r="AC454" s="63">
        <f t="shared" si="193"/>
        <v>0</v>
      </c>
      <c r="AD454" s="63">
        <f t="shared" si="193"/>
        <v>0</v>
      </c>
      <c r="AE454" s="63">
        <f t="shared" si="193"/>
        <v>0</v>
      </c>
      <c r="AF454" s="63">
        <f t="shared" si="194"/>
        <v>147043</v>
      </c>
      <c r="AG454" s="58" t="str">
        <f t="shared" si="195"/>
        <v>ok</v>
      </c>
    </row>
    <row r="455" spans="1:33">
      <c r="A455" s="60">
        <v>582</v>
      </c>
      <c r="B455" s="60" t="s">
        <v>1068</v>
      </c>
      <c r="C455" s="44" t="s">
        <v>54</v>
      </c>
      <c r="D455" s="44" t="s">
        <v>863</v>
      </c>
      <c r="F455" s="79">
        <v>886395</v>
      </c>
      <c r="H455" s="63">
        <f t="shared" si="192"/>
        <v>0</v>
      </c>
      <c r="I455" s="63">
        <f t="shared" si="192"/>
        <v>0</v>
      </c>
      <c r="J455" s="63">
        <f t="shared" si="192"/>
        <v>0</v>
      </c>
      <c r="K455" s="63">
        <f t="shared" si="192"/>
        <v>0</v>
      </c>
      <c r="L455" s="63">
        <f t="shared" si="192"/>
        <v>0</v>
      </c>
      <c r="M455" s="63">
        <f t="shared" si="192"/>
        <v>0</v>
      </c>
      <c r="N455" s="63">
        <f t="shared" si="192"/>
        <v>0</v>
      </c>
      <c r="O455" s="63">
        <f t="shared" si="192"/>
        <v>0</v>
      </c>
      <c r="P455" s="63">
        <f t="shared" si="192"/>
        <v>0</v>
      </c>
      <c r="Q455" s="63">
        <f t="shared" si="192"/>
        <v>0</v>
      </c>
      <c r="R455" s="63">
        <f t="shared" si="193"/>
        <v>886395</v>
      </c>
      <c r="S455" s="63">
        <f t="shared" si="193"/>
        <v>0</v>
      </c>
      <c r="T455" s="63">
        <f t="shared" si="193"/>
        <v>0</v>
      </c>
      <c r="U455" s="63">
        <f t="shared" si="193"/>
        <v>0</v>
      </c>
      <c r="V455" s="63">
        <f t="shared" si="193"/>
        <v>0</v>
      </c>
      <c r="W455" s="63">
        <f t="shared" si="193"/>
        <v>0</v>
      </c>
      <c r="X455" s="63">
        <f t="shared" si="193"/>
        <v>0</v>
      </c>
      <c r="Y455" s="63">
        <f t="shared" si="193"/>
        <v>0</v>
      </c>
      <c r="Z455" s="63">
        <f t="shared" si="193"/>
        <v>0</v>
      </c>
      <c r="AA455" s="63">
        <f t="shared" si="193"/>
        <v>0</v>
      </c>
      <c r="AB455" s="63">
        <f t="shared" si="193"/>
        <v>0</v>
      </c>
      <c r="AC455" s="63">
        <f t="shared" si="193"/>
        <v>0</v>
      </c>
      <c r="AD455" s="63">
        <f t="shared" si="193"/>
        <v>0</v>
      </c>
      <c r="AE455" s="63">
        <f t="shared" si="193"/>
        <v>0</v>
      </c>
      <c r="AF455" s="63">
        <f t="shared" si="194"/>
        <v>886395</v>
      </c>
      <c r="AG455" s="58" t="str">
        <f t="shared" si="195"/>
        <v>ok</v>
      </c>
    </row>
    <row r="456" spans="1:33">
      <c r="A456" s="60">
        <v>583</v>
      </c>
      <c r="B456" s="60" t="s">
        <v>916</v>
      </c>
      <c r="C456" s="44" t="s">
        <v>55</v>
      </c>
      <c r="D456" s="44" t="s">
        <v>866</v>
      </c>
      <c r="F456" s="79">
        <v>2177118</v>
      </c>
      <c r="H456" s="63">
        <f t="shared" si="192"/>
        <v>0</v>
      </c>
      <c r="I456" s="63">
        <f t="shared" si="192"/>
        <v>0</v>
      </c>
      <c r="J456" s="63">
        <f t="shared" si="192"/>
        <v>0</v>
      </c>
      <c r="K456" s="63">
        <f t="shared" si="192"/>
        <v>0</v>
      </c>
      <c r="L456" s="63">
        <f t="shared" si="192"/>
        <v>0</v>
      </c>
      <c r="M456" s="63">
        <f t="shared" si="192"/>
        <v>0</v>
      </c>
      <c r="N456" s="63">
        <f t="shared" si="192"/>
        <v>0</v>
      </c>
      <c r="O456" s="63">
        <f t="shared" si="192"/>
        <v>0</v>
      </c>
      <c r="P456" s="63">
        <f t="shared" si="192"/>
        <v>0</v>
      </c>
      <c r="Q456" s="63">
        <f t="shared" si="192"/>
        <v>0</v>
      </c>
      <c r="R456" s="63">
        <f t="shared" si="193"/>
        <v>0</v>
      </c>
      <c r="S456" s="63">
        <f t="shared" si="193"/>
        <v>0</v>
      </c>
      <c r="T456" s="63">
        <f t="shared" si="193"/>
        <v>552862.83125736006</v>
      </c>
      <c r="U456" s="63">
        <f t="shared" si="193"/>
        <v>982440.7823426401</v>
      </c>
      <c r="V456" s="63">
        <f t="shared" si="193"/>
        <v>231117.36054264</v>
      </c>
      <c r="W456" s="63">
        <f t="shared" si="193"/>
        <v>410697.02585736004</v>
      </c>
      <c r="X456" s="63">
        <f t="shared" si="193"/>
        <v>0</v>
      </c>
      <c r="Y456" s="63">
        <f t="shared" si="193"/>
        <v>0</v>
      </c>
      <c r="Z456" s="63">
        <f t="shared" si="193"/>
        <v>0</v>
      </c>
      <c r="AA456" s="63">
        <f t="shared" si="193"/>
        <v>0</v>
      </c>
      <c r="AB456" s="63">
        <f t="shared" si="193"/>
        <v>0</v>
      </c>
      <c r="AC456" s="63">
        <f t="shared" si="193"/>
        <v>0</v>
      </c>
      <c r="AD456" s="63">
        <f t="shared" si="193"/>
        <v>0</v>
      </c>
      <c r="AE456" s="63">
        <f t="shared" si="193"/>
        <v>0</v>
      </c>
      <c r="AF456" s="63">
        <f t="shared" si="194"/>
        <v>2177118.0000000005</v>
      </c>
      <c r="AG456" s="58" t="str">
        <f t="shared" si="195"/>
        <v>ok</v>
      </c>
    </row>
    <row r="457" spans="1:33">
      <c r="A457" s="60">
        <v>584</v>
      </c>
      <c r="B457" s="60" t="s">
        <v>918</v>
      </c>
      <c r="C457" s="44" t="s">
        <v>56</v>
      </c>
      <c r="D457" s="44" t="s">
        <v>869</v>
      </c>
      <c r="F457" s="79">
        <v>377223</v>
      </c>
      <c r="H457" s="63">
        <f t="shared" si="192"/>
        <v>0</v>
      </c>
      <c r="I457" s="63">
        <f t="shared" si="192"/>
        <v>0</v>
      </c>
      <c r="J457" s="63">
        <f t="shared" si="192"/>
        <v>0</v>
      </c>
      <c r="K457" s="63">
        <f t="shared" si="192"/>
        <v>0</v>
      </c>
      <c r="L457" s="63">
        <f t="shared" si="192"/>
        <v>0</v>
      </c>
      <c r="M457" s="63">
        <f t="shared" si="192"/>
        <v>0</v>
      </c>
      <c r="N457" s="63">
        <f t="shared" si="192"/>
        <v>0</v>
      </c>
      <c r="O457" s="63">
        <f t="shared" si="192"/>
        <v>0</v>
      </c>
      <c r="P457" s="63">
        <f t="shared" si="192"/>
        <v>0</v>
      </c>
      <c r="Q457" s="63">
        <f t="shared" si="192"/>
        <v>0</v>
      </c>
      <c r="R457" s="63">
        <f t="shared" si="193"/>
        <v>0</v>
      </c>
      <c r="S457" s="63">
        <f t="shared" si="193"/>
        <v>0</v>
      </c>
      <c r="T457" s="63">
        <f t="shared" si="193"/>
        <v>133353.22685454</v>
      </c>
      <c r="U457" s="63">
        <f t="shared" si="193"/>
        <v>198867.06924546004</v>
      </c>
      <c r="V457" s="63">
        <f t="shared" si="193"/>
        <v>18064.085345459996</v>
      </c>
      <c r="W457" s="63">
        <f t="shared" si="193"/>
        <v>26938.618554539997</v>
      </c>
      <c r="X457" s="63">
        <f t="shared" si="193"/>
        <v>0</v>
      </c>
      <c r="Y457" s="63">
        <f t="shared" si="193"/>
        <v>0</v>
      </c>
      <c r="Z457" s="63">
        <f t="shared" si="193"/>
        <v>0</v>
      </c>
      <c r="AA457" s="63">
        <f t="shared" si="193"/>
        <v>0</v>
      </c>
      <c r="AB457" s="63">
        <f t="shared" si="193"/>
        <v>0</v>
      </c>
      <c r="AC457" s="63">
        <f t="shared" si="193"/>
        <v>0</v>
      </c>
      <c r="AD457" s="63">
        <f t="shared" si="193"/>
        <v>0</v>
      </c>
      <c r="AE457" s="63">
        <f t="shared" si="193"/>
        <v>0</v>
      </c>
      <c r="AF457" s="63">
        <f t="shared" si="194"/>
        <v>377223</v>
      </c>
      <c r="AG457" s="58" t="str">
        <f t="shared" si="195"/>
        <v>ok</v>
      </c>
    </row>
    <row r="458" spans="1:33">
      <c r="A458" s="60">
        <v>585</v>
      </c>
      <c r="B458" s="60" t="s">
        <v>920</v>
      </c>
      <c r="C458" s="44" t="s">
        <v>57</v>
      </c>
      <c r="D458" s="44" t="s">
        <v>877</v>
      </c>
      <c r="F458" s="79">
        <v>0</v>
      </c>
      <c r="H458" s="63">
        <f t="shared" si="192"/>
        <v>0</v>
      </c>
      <c r="I458" s="63">
        <f t="shared" si="192"/>
        <v>0</v>
      </c>
      <c r="J458" s="63">
        <f t="shared" si="192"/>
        <v>0</v>
      </c>
      <c r="K458" s="63">
        <f t="shared" si="192"/>
        <v>0</v>
      </c>
      <c r="L458" s="63">
        <f t="shared" si="192"/>
        <v>0</v>
      </c>
      <c r="M458" s="63">
        <f t="shared" si="192"/>
        <v>0</v>
      </c>
      <c r="N458" s="63">
        <f t="shared" si="192"/>
        <v>0</v>
      </c>
      <c r="O458" s="63">
        <f t="shared" si="192"/>
        <v>0</v>
      </c>
      <c r="P458" s="63">
        <f t="shared" si="192"/>
        <v>0</v>
      </c>
      <c r="Q458" s="63">
        <f t="shared" si="192"/>
        <v>0</v>
      </c>
      <c r="R458" s="63">
        <f t="shared" si="193"/>
        <v>0</v>
      </c>
      <c r="S458" s="63">
        <f t="shared" si="193"/>
        <v>0</v>
      </c>
      <c r="T458" s="63">
        <f t="shared" si="193"/>
        <v>0</v>
      </c>
      <c r="U458" s="63">
        <f t="shared" si="193"/>
        <v>0</v>
      </c>
      <c r="V458" s="63">
        <f t="shared" si="193"/>
        <v>0</v>
      </c>
      <c r="W458" s="63">
        <f t="shared" si="193"/>
        <v>0</v>
      </c>
      <c r="X458" s="63">
        <f t="shared" si="193"/>
        <v>0</v>
      </c>
      <c r="Y458" s="63">
        <f t="shared" si="193"/>
        <v>0</v>
      </c>
      <c r="Z458" s="63">
        <f t="shared" si="193"/>
        <v>0</v>
      </c>
      <c r="AA458" s="63">
        <f t="shared" si="193"/>
        <v>0</v>
      </c>
      <c r="AB458" s="63">
        <f t="shared" si="193"/>
        <v>0</v>
      </c>
      <c r="AC458" s="63">
        <f t="shared" si="193"/>
        <v>0</v>
      </c>
      <c r="AD458" s="63">
        <f t="shared" si="193"/>
        <v>0</v>
      </c>
      <c r="AE458" s="63">
        <f t="shared" si="193"/>
        <v>0</v>
      </c>
      <c r="AF458" s="63">
        <f t="shared" si="194"/>
        <v>0</v>
      </c>
      <c r="AG458" s="58" t="str">
        <f t="shared" si="195"/>
        <v>ok</v>
      </c>
    </row>
    <row r="459" spans="1:33">
      <c r="A459" s="60">
        <v>586</v>
      </c>
      <c r="B459" s="60" t="s">
        <v>922</v>
      </c>
      <c r="C459" s="44" t="s">
        <v>58</v>
      </c>
      <c r="D459" s="44" t="s">
        <v>874</v>
      </c>
      <c r="F459" s="79">
        <v>3140532</v>
      </c>
      <c r="H459" s="63">
        <f t="shared" si="192"/>
        <v>0</v>
      </c>
      <c r="I459" s="63">
        <f t="shared" si="192"/>
        <v>0</v>
      </c>
      <c r="J459" s="63">
        <f t="shared" si="192"/>
        <v>0</v>
      </c>
      <c r="K459" s="63">
        <f t="shared" si="192"/>
        <v>0</v>
      </c>
      <c r="L459" s="63">
        <f t="shared" si="192"/>
        <v>0</v>
      </c>
      <c r="M459" s="63">
        <f t="shared" si="192"/>
        <v>0</v>
      </c>
      <c r="N459" s="63">
        <f t="shared" si="192"/>
        <v>0</v>
      </c>
      <c r="O459" s="63">
        <f t="shared" si="192"/>
        <v>0</v>
      </c>
      <c r="P459" s="63">
        <f t="shared" si="192"/>
        <v>0</v>
      </c>
      <c r="Q459" s="63">
        <f t="shared" si="192"/>
        <v>0</v>
      </c>
      <c r="R459" s="63">
        <f t="shared" si="193"/>
        <v>0</v>
      </c>
      <c r="S459" s="63">
        <f t="shared" si="193"/>
        <v>0</v>
      </c>
      <c r="T459" s="63">
        <f t="shared" si="193"/>
        <v>0</v>
      </c>
      <c r="U459" s="63">
        <f t="shared" si="193"/>
        <v>0</v>
      </c>
      <c r="V459" s="63">
        <f t="shared" si="193"/>
        <v>0</v>
      </c>
      <c r="W459" s="63">
        <f t="shared" si="193"/>
        <v>0</v>
      </c>
      <c r="X459" s="63">
        <f t="shared" si="193"/>
        <v>0</v>
      </c>
      <c r="Y459" s="63">
        <f t="shared" si="193"/>
        <v>0</v>
      </c>
      <c r="Z459" s="63">
        <f t="shared" si="193"/>
        <v>0</v>
      </c>
      <c r="AA459" s="63">
        <f t="shared" si="193"/>
        <v>3140532</v>
      </c>
      <c r="AB459" s="63">
        <f t="shared" si="193"/>
        <v>0</v>
      </c>
      <c r="AC459" s="63">
        <f t="shared" si="193"/>
        <v>0</v>
      </c>
      <c r="AD459" s="63">
        <f t="shared" si="193"/>
        <v>0</v>
      </c>
      <c r="AE459" s="63">
        <f t="shared" si="193"/>
        <v>0</v>
      </c>
      <c r="AF459" s="63">
        <f t="shared" si="194"/>
        <v>3140532</v>
      </c>
      <c r="AG459" s="58" t="str">
        <f t="shared" si="195"/>
        <v>ok</v>
      </c>
    </row>
    <row r="460" spans="1:33">
      <c r="A460" s="60">
        <v>586</v>
      </c>
      <c r="B460" s="60" t="s">
        <v>26</v>
      </c>
      <c r="C460" s="44" t="s">
        <v>59</v>
      </c>
      <c r="D460" s="44" t="s">
        <v>41</v>
      </c>
      <c r="F460" s="79"/>
      <c r="H460" s="63">
        <f t="shared" si="192"/>
        <v>0</v>
      </c>
      <c r="I460" s="63">
        <f t="shared" si="192"/>
        <v>0</v>
      </c>
      <c r="J460" s="63">
        <f t="shared" si="192"/>
        <v>0</v>
      </c>
      <c r="K460" s="63">
        <f t="shared" si="192"/>
        <v>0</v>
      </c>
      <c r="L460" s="63">
        <f t="shared" si="192"/>
        <v>0</v>
      </c>
      <c r="M460" s="63">
        <f t="shared" si="192"/>
        <v>0</v>
      </c>
      <c r="N460" s="63">
        <f t="shared" si="192"/>
        <v>0</v>
      </c>
      <c r="O460" s="63">
        <f t="shared" si="192"/>
        <v>0</v>
      </c>
      <c r="P460" s="63">
        <f t="shared" si="192"/>
        <v>0</v>
      </c>
      <c r="Q460" s="63">
        <f t="shared" si="192"/>
        <v>0</v>
      </c>
      <c r="R460" s="63">
        <f t="shared" si="193"/>
        <v>0</v>
      </c>
      <c r="S460" s="63">
        <f t="shared" si="193"/>
        <v>0</v>
      </c>
      <c r="T460" s="63">
        <f t="shared" si="193"/>
        <v>0</v>
      </c>
      <c r="U460" s="63">
        <f t="shared" si="193"/>
        <v>0</v>
      </c>
      <c r="V460" s="63">
        <f t="shared" si="193"/>
        <v>0</v>
      </c>
      <c r="W460" s="63">
        <f t="shared" si="193"/>
        <v>0</v>
      </c>
      <c r="X460" s="63">
        <f t="shared" si="193"/>
        <v>0</v>
      </c>
      <c r="Y460" s="63">
        <f t="shared" si="193"/>
        <v>0</v>
      </c>
      <c r="Z460" s="63">
        <f t="shared" si="193"/>
        <v>0</v>
      </c>
      <c r="AA460" s="63">
        <f t="shared" si="193"/>
        <v>0</v>
      </c>
      <c r="AB460" s="63">
        <f t="shared" si="193"/>
        <v>0</v>
      </c>
      <c r="AC460" s="63">
        <f t="shared" si="193"/>
        <v>0</v>
      </c>
      <c r="AD460" s="63">
        <f t="shared" si="193"/>
        <v>0</v>
      </c>
      <c r="AE460" s="63">
        <f t="shared" si="193"/>
        <v>0</v>
      </c>
      <c r="AF460" s="63">
        <f t="shared" si="194"/>
        <v>0</v>
      </c>
      <c r="AG460" s="58" t="str">
        <f t="shared" si="195"/>
        <v>ok</v>
      </c>
    </row>
    <row r="461" spans="1:33">
      <c r="A461" s="60">
        <v>587</v>
      </c>
      <c r="B461" s="60" t="s">
        <v>924</v>
      </c>
      <c r="C461" s="44" t="s">
        <v>60</v>
      </c>
      <c r="D461" s="44" t="s">
        <v>876</v>
      </c>
      <c r="F461" s="79">
        <v>0</v>
      </c>
      <c r="H461" s="63">
        <f t="shared" si="192"/>
        <v>0</v>
      </c>
      <c r="I461" s="63">
        <f t="shared" si="192"/>
        <v>0</v>
      </c>
      <c r="J461" s="63">
        <f t="shared" si="192"/>
        <v>0</v>
      </c>
      <c r="K461" s="63">
        <f t="shared" si="192"/>
        <v>0</v>
      </c>
      <c r="L461" s="63">
        <f t="shared" si="192"/>
        <v>0</v>
      </c>
      <c r="M461" s="63">
        <f t="shared" si="192"/>
        <v>0</v>
      </c>
      <c r="N461" s="63">
        <f t="shared" si="192"/>
        <v>0</v>
      </c>
      <c r="O461" s="63">
        <f t="shared" si="192"/>
        <v>0</v>
      </c>
      <c r="P461" s="63">
        <f t="shared" si="192"/>
        <v>0</v>
      </c>
      <c r="Q461" s="63">
        <f t="shared" si="192"/>
        <v>0</v>
      </c>
      <c r="R461" s="63">
        <f t="shared" si="193"/>
        <v>0</v>
      </c>
      <c r="S461" s="63">
        <f t="shared" si="193"/>
        <v>0</v>
      </c>
      <c r="T461" s="63">
        <f t="shared" si="193"/>
        <v>0</v>
      </c>
      <c r="U461" s="63">
        <f t="shared" si="193"/>
        <v>0</v>
      </c>
      <c r="V461" s="63">
        <f t="shared" si="193"/>
        <v>0</v>
      </c>
      <c r="W461" s="63">
        <f t="shared" si="193"/>
        <v>0</v>
      </c>
      <c r="X461" s="63">
        <f t="shared" si="193"/>
        <v>0</v>
      </c>
      <c r="Y461" s="63">
        <f t="shared" si="193"/>
        <v>0</v>
      </c>
      <c r="Z461" s="63">
        <f t="shared" si="193"/>
        <v>0</v>
      </c>
      <c r="AA461" s="63">
        <f t="shared" si="193"/>
        <v>0</v>
      </c>
      <c r="AB461" s="63">
        <f t="shared" si="193"/>
        <v>0</v>
      </c>
      <c r="AC461" s="63">
        <f t="shared" si="193"/>
        <v>0</v>
      </c>
      <c r="AD461" s="63">
        <f t="shared" si="193"/>
        <v>0</v>
      </c>
      <c r="AE461" s="63">
        <f t="shared" si="193"/>
        <v>0</v>
      </c>
      <c r="AF461" s="63">
        <f t="shared" si="194"/>
        <v>0</v>
      </c>
      <c r="AG461" s="58" t="str">
        <f t="shared" si="195"/>
        <v>ok</v>
      </c>
    </row>
    <row r="462" spans="1:33">
      <c r="A462" s="60">
        <v>588</v>
      </c>
      <c r="B462" s="60" t="s">
        <v>926</v>
      </c>
      <c r="C462" s="44" t="s">
        <v>61</v>
      </c>
      <c r="D462" s="44" t="s">
        <v>859</v>
      </c>
      <c r="F462" s="79">
        <v>1500244</v>
      </c>
      <c r="H462" s="63">
        <f t="shared" si="192"/>
        <v>0</v>
      </c>
      <c r="I462" s="63">
        <f t="shared" si="192"/>
        <v>0</v>
      </c>
      <c r="J462" s="63">
        <f t="shared" si="192"/>
        <v>0</v>
      </c>
      <c r="K462" s="63">
        <f t="shared" si="192"/>
        <v>0</v>
      </c>
      <c r="L462" s="63">
        <f t="shared" si="192"/>
        <v>0</v>
      </c>
      <c r="M462" s="63">
        <f t="shared" si="192"/>
        <v>0</v>
      </c>
      <c r="N462" s="63">
        <f t="shared" si="192"/>
        <v>0</v>
      </c>
      <c r="O462" s="63">
        <f t="shared" si="192"/>
        <v>0</v>
      </c>
      <c r="P462" s="63">
        <f t="shared" si="192"/>
        <v>0</v>
      </c>
      <c r="Q462" s="63">
        <f t="shared" si="192"/>
        <v>0</v>
      </c>
      <c r="R462" s="63">
        <f t="shared" si="193"/>
        <v>187082.96804504422</v>
      </c>
      <c r="S462" s="63">
        <f t="shared" si="193"/>
        <v>0</v>
      </c>
      <c r="T462" s="63">
        <f t="shared" si="193"/>
        <v>287205.78374364699</v>
      </c>
      <c r="U462" s="63">
        <f t="shared" si="193"/>
        <v>469991.82510409236</v>
      </c>
      <c r="V462" s="63">
        <f t="shared" si="193"/>
        <v>80133.0345352531</v>
      </c>
      <c r="W462" s="63">
        <f t="shared" si="193"/>
        <v>136927.74175468896</v>
      </c>
      <c r="X462" s="63">
        <f t="shared" si="193"/>
        <v>98167.480594296954</v>
      </c>
      <c r="Y462" s="63">
        <f t="shared" si="193"/>
        <v>54719.329799131789</v>
      </c>
      <c r="Z462" s="63">
        <f t="shared" si="193"/>
        <v>34985.951050711454</v>
      </c>
      <c r="AA462" s="63">
        <f t="shared" si="193"/>
        <v>35679.634135488181</v>
      </c>
      <c r="AB462" s="63">
        <f t="shared" si="193"/>
        <v>115350.25123764618</v>
      </c>
      <c r="AC462" s="63">
        <f t="shared" si="193"/>
        <v>0</v>
      </c>
      <c r="AD462" s="63">
        <f t="shared" si="193"/>
        <v>0</v>
      </c>
      <c r="AE462" s="63">
        <f t="shared" si="193"/>
        <v>0</v>
      </c>
      <c r="AF462" s="63">
        <f t="shared" si="194"/>
        <v>1500244.0000000002</v>
      </c>
      <c r="AG462" s="58" t="str">
        <f t="shared" si="195"/>
        <v>ok</v>
      </c>
    </row>
    <row r="463" spans="1:33">
      <c r="A463" s="60">
        <v>589</v>
      </c>
      <c r="B463" s="60" t="s">
        <v>928</v>
      </c>
      <c r="C463" s="44" t="s">
        <v>62</v>
      </c>
      <c r="D463" s="44" t="s">
        <v>859</v>
      </c>
      <c r="F463" s="79">
        <v>0</v>
      </c>
      <c r="H463" s="63">
        <f t="shared" si="192"/>
        <v>0</v>
      </c>
      <c r="I463" s="63">
        <f t="shared" si="192"/>
        <v>0</v>
      </c>
      <c r="J463" s="63">
        <f t="shared" si="192"/>
        <v>0</v>
      </c>
      <c r="K463" s="63">
        <f t="shared" si="192"/>
        <v>0</v>
      </c>
      <c r="L463" s="63">
        <f t="shared" si="192"/>
        <v>0</v>
      </c>
      <c r="M463" s="63">
        <f t="shared" si="192"/>
        <v>0</v>
      </c>
      <c r="N463" s="63">
        <f t="shared" si="192"/>
        <v>0</v>
      </c>
      <c r="O463" s="63">
        <f t="shared" si="192"/>
        <v>0</v>
      </c>
      <c r="P463" s="63">
        <f t="shared" si="192"/>
        <v>0</v>
      </c>
      <c r="Q463" s="63">
        <f t="shared" si="192"/>
        <v>0</v>
      </c>
      <c r="R463" s="63">
        <f t="shared" si="193"/>
        <v>0</v>
      </c>
      <c r="S463" s="63">
        <f t="shared" si="193"/>
        <v>0</v>
      </c>
      <c r="T463" s="63">
        <f t="shared" si="193"/>
        <v>0</v>
      </c>
      <c r="U463" s="63">
        <f t="shared" si="193"/>
        <v>0</v>
      </c>
      <c r="V463" s="63">
        <f t="shared" si="193"/>
        <v>0</v>
      </c>
      <c r="W463" s="63">
        <f t="shared" si="193"/>
        <v>0</v>
      </c>
      <c r="X463" s="63">
        <f t="shared" si="193"/>
        <v>0</v>
      </c>
      <c r="Y463" s="63">
        <f t="shared" si="193"/>
        <v>0</v>
      </c>
      <c r="Z463" s="63">
        <f t="shared" si="193"/>
        <v>0</v>
      </c>
      <c r="AA463" s="63">
        <f t="shared" si="193"/>
        <v>0</v>
      </c>
      <c r="AB463" s="63">
        <f t="shared" si="193"/>
        <v>0</v>
      </c>
      <c r="AC463" s="63">
        <f t="shared" si="193"/>
        <v>0</v>
      </c>
      <c r="AD463" s="63">
        <f t="shared" si="193"/>
        <v>0</v>
      </c>
      <c r="AE463" s="63">
        <f t="shared" si="193"/>
        <v>0</v>
      </c>
      <c r="AF463" s="63">
        <f t="shared" si="194"/>
        <v>0</v>
      </c>
      <c r="AG463" s="58" t="str">
        <f t="shared" si="195"/>
        <v>ok</v>
      </c>
    </row>
    <row r="464" spans="1:33">
      <c r="A464" s="60"/>
      <c r="B464" s="60"/>
      <c r="F464" s="79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G464" s="58"/>
    </row>
    <row r="465" spans="1:33">
      <c r="A465" s="60" t="s">
        <v>106</v>
      </c>
      <c r="B465" s="60"/>
      <c r="C465" s="44" t="s">
        <v>63</v>
      </c>
      <c r="F465" s="76">
        <f>SUM(F453:F464)</f>
        <v>9180257</v>
      </c>
      <c r="G465" s="62">
        <f t="shared" ref="G465:M465" si="196">SUM(G453:G464)</f>
        <v>0</v>
      </c>
      <c r="H465" s="62">
        <f t="shared" si="196"/>
        <v>0</v>
      </c>
      <c r="I465" s="62">
        <f t="shared" si="196"/>
        <v>0</v>
      </c>
      <c r="J465" s="62">
        <f t="shared" si="196"/>
        <v>0</v>
      </c>
      <c r="K465" s="62">
        <f t="shared" si="196"/>
        <v>0</v>
      </c>
      <c r="L465" s="62">
        <f t="shared" si="196"/>
        <v>0</v>
      </c>
      <c r="M465" s="62">
        <f t="shared" si="196"/>
        <v>0</v>
      </c>
      <c r="N465" s="62">
        <f>SUM(N453:N464)</f>
        <v>0</v>
      </c>
      <c r="O465" s="62">
        <f>SUM(O453:O464)</f>
        <v>0</v>
      </c>
      <c r="P465" s="62">
        <f>SUM(P453:P464)</f>
        <v>0</v>
      </c>
      <c r="Q465" s="62">
        <f t="shared" ref="Q465:AB465" si="197">SUM(Q453:Q464)</f>
        <v>0</v>
      </c>
      <c r="R465" s="62">
        <f t="shared" si="197"/>
        <v>1361684.5437069198</v>
      </c>
      <c r="S465" s="62">
        <f t="shared" si="197"/>
        <v>0</v>
      </c>
      <c r="T465" s="62">
        <f t="shared" si="197"/>
        <v>1086006.3130947389</v>
      </c>
      <c r="U465" s="62">
        <f t="shared" si="197"/>
        <v>1842286.4544323077</v>
      </c>
      <c r="V465" s="62">
        <f t="shared" si="197"/>
        <v>367402.48611182033</v>
      </c>
      <c r="W465" s="62">
        <f t="shared" si="197"/>
        <v>641016.50263011327</v>
      </c>
      <c r="X465" s="62">
        <f t="shared" si="197"/>
        <v>109521.38022996247</v>
      </c>
      <c r="Y465" s="62">
        <f t="shared" si="197"/>
        <v>61048.083220418193</v>
      </c>
      <c r="Z465" s="62">
        <f t="shared" si="197"/>
        <v>39032.372273740795</v>
      </c>
      <c r="AA465" s="62">
        <f t="shared" si="197"/>
        <v>3543567.3806341151</v>
      </c>
      <c r="AB465" s="62">
        <f t="shared" si="197"/>
        <v>128691.48366586358</v>
      </c>
      <c r="AC465" s="62">
        <f>SUM(AC453:AC464)</f>
        <v>0</v>
      </c>
      <c r="AD465" s="62">
        <f>SUM(AD453:AD464)</f>
        <v>0</v>
      </c>
      <c r="AE465" s="62">
        <f>SUM(AE453:AE464)</f>
        <v>0</v>
      </c>
      <c r="AF465" s="63">
        <f>SUM(H465:AE465)</f>
        <v>9180257</v>
      </c>
      <c r="AG465" s="58" t="str">
        <f>IF(ABS(AF465-F465)&lt;1,"ok","err")</f>
        <v>ok</v>
      </c>
    </row>
    <row r="466" spans="1:33">
      <c r="A466" s="60"/>
      <c r="B466" s="60"/>
      <c r="F466" s="76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3"/>
      <c r="AG466" s="58"/>
    </row>
    <row r="467" spans="1:33">
      <c r="A467" s="60"/>
      <c r="B467" s="60"/>
      <c r="F467" s="76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3"/>
      <c r="AG467" s="58"/>
    </row>
    <row r="468" spans="1:33">
      <c r="A468" s="60"/>
      <c r="B468" s="60"/>
      <c r="F468" s="76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3"/>
      <c r="AG468" s="58"/>
    </row>
    <row r="469" spans="1:33">
      <c r="A469" s="60"/>
      <c r="B469" s="60"/>
      <c r="F469" s="76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3"/>
      <c r="AG469" s="58"/>
    </row>
    <row r="470" spans="1:33" ht="14.1">
      <c r="A470" s="65"/>
      <c r="B470" s="60"/>
      <c r="F470" s="79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G470" s="58"/>
    </row>
    <row r="471" spans="1:33" ht="14.1">
      <c r="A471" s="59" t="s">
        <v>44</v>
      </c>
      <c r="B471" s="60"/>
      <c r="F471" s="79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G471" s="58"/>
    </row>
    <row r="472" spans="1:33">
      <c r="A472" s="60"/>
      <c r="B472" s="60"/>
      <c r="F472" s="79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G472" s="58"/>
    </row>
    <row r="473" spans="1:33" ht="14.1">
      <c r="A473" s="65" t="s">
        <v>107</v>
      </c>
      <c r="B473" s="60"/>
      <c r="F473" s="79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G473" s="58"/>
    </row>
    <row r="474" spans="1:33">
      <c r="A474" s="60">
        <v>590</v>
      </c>
      <c r="B474" s="60" t="s">
        <v>933</v>
      </c>
      <c r="C474" s="44" t="s">
        <v>64</v>
      </c>
      <c r="D474" s="44" t="s">
        <v>639</v>
      </c>
      <c r="F474" s="76">
        <v>0</v>
      </c>
      <c r="H474" s="63">
        <f t="shared" ref="H474:Q482" si="198">IF(VLOOKUP($D474,$C$6:$AE$653,H$2,)=0,0,((VLOOKUP($D474,$C$6:$AE$653,H$2,)/VLOOKUP($D474,$C$6:$AE$653,4,))*$F474))</f>
        <v>0</v>
      </c>
      <c r="I474" s="63">
        <f t="shared" si="198"/>
        <v>0</v>
      </c>
      <c r="J474" s="63">
        <f t="shared" si="198"/>
        <v>0</v>
      </c>
      <c r="K474" s="63">
        <f t="shared" si="198"/>
        <v>0</v>
      </c>
      <c r="L474" s="63">
        <f t="shared" si="198"/>
        <v>0</v>
      </c>
      <c r="M474" s="63">
        <f t="shared" si="198"/>
        <v>0</v>
      </c>
      <c r="N474" s="63">
        <f t="shared" si="198"/>
        <v>0</v>
      </c>
      <c r="O474" s="63">
        <f t="shared" si="198"/>
        <v>0</v>
      </c>
      <c r="P474" s="63">
        <f t="shared" si="198"/>
        <v>0</v>
      </c>
      <c r="Q474" s="63">
        <f t="shared" si="198"/>
        <v>0</v>
      </c>
      <c r="R474" s="63">
        <f t="shared" ref="R474:AE482" si="199">IF(VLOOKUP($D474,$C$6:$AE$653,R$2,)=0,0,((VLOOKUP($D474,$C$6:$AE$653,R$2,)/VLOOKUP($D474,$C$6:$AE$653,4,))*$F474))</f>
        <v>0</v>
      </c>
      <c r="S474" s="63">
        <f t="shared" si="199"/>
        <v>0</v>
      </c>
      <c r="T474" s="63">
        <f t="shared" si="199"/>
        <v>0</v>
      </c>
      <c r="U474" s="63">
        <f t="shared" si="199"/>
        <v>0</v>
      </c>
      <c r="V474" s="63">
        <f t="shared" si="199"/>
        <v>0</v>
      </c>
      <c r="W474" s="63">
        <f t="shared" si="199"/>
        <v>0</v>
      </c>
      <c r="X474" s="63">
        <f t="shared" si="199"/>
        <v>0</v>
      </c>
      <c r="Y474" s="63">
        <f t="shared" si="199"/>
        <v>0</v>
      </c>
      <c r="Z474" s="63">
        <f t="shared" si="199"/>
        <v>0</v>
      </c>
      <c r="AA474" s="63">
        <f t="shared" si="199"/>
        <v>0</v>
      </c>
      <c r="AB474" s="63">
        <f t="shared" si="199"/>
        <v>0</v>
      </c>
      <c r="AC474" s="63">
        <f t="shared" si="199"/>
        <v>0</v>
      </c>
      <c r="AD474" s="63">
        <f t="shared" si="199"/>
        <v>0</v>
      </c>
      <c r="AE474" s="63">
        <f t="shared" si="199"/>
        <v>0</v>
      </c>
      <c r="AF474" s="63">
        <f t="shared" ref="AF474:AF482" si="200">SUM(H474:AE474)</f>
        <v>0</v>
      </c>
      <c r="AG474" s="58" t="str">
        <f t="shared" ref="AG474:AG482" si="201">IF(ABS(AF474-F474)&lt;1,"ok","err")</f>
        <v>ok</v>
      </c>
    </row>
    <row r="475" spans="1:33">
      <c r="A475" s="60">
        <v>591</v>
      </c>
      <c r="B475" s="60" t="s">
        <v>213</v>
      </c>
      <c r="C475" s="44" t="s">
        <v>594</v>
      </c>
      <c r="D475" s="44" t="s">
        <v>863</v>
      </c>
      <c r="F475" s="79">
        <v>0</v>
      </c>
      <c r="H475" s="63">
        <f t="shared" si="198"/>
        <v>0</v>
      </c>
      <c r="I475" s="63">
        <f t="shared" si="198"/>
        <v>0</v>
      </c>
      <c r="J475" s="63">
        <f t="shared" si="198"/>
        <v>0</v>
      </c>
      <c r="K475" s="63">
        <f t="shared" si="198"/>
        <v>0</v>
      </c>
      <c r="L475" s="63">
        <f t="shared" si="198"/>
        <v>0</v>
      </c>
      <c r="M475" s="63">
        <f t="shared" si="198"/>
        <v>0</v>
      </c>
      <c r="N475" s="63">
        <f t="shared" si="198"/>
        <v>0</v>
      </c>
      <c r="O475" s="63">
        <f t="shared" si="198"/>
        <v>0</v>
      </c>
      <c r="P475" s="63">
        <f t="shared" si="198"/>
        <v>0</v>
      </c>
      <c r="Q475" s="63">
        <f t="shared" si="198"/>
        <v>0</v>
      </c>
      <c r="R475" s="63">
        <f t="shared" si="199"/>
        <v>0</v>
      </c>
      <c r="S475" s="63">
        <f t="shared" si="199"/>
        <v>0</v>
      </c>
      <c r="T475" s="63">
        <f t="shared" si="199"/>
        <v>0</v>
      </c>
      <c r="U475" s="63">
        <f t="shared" si="199"/>
        <v>0</v>
      </c>
      <c r="V475" s="63">
        <f t="shared" si="199"/>
        <v>0</v>
      </c>
      <c r="W475" s="63">
        <f t="shared" si="199"/>
        <v>0</v>
      </c>
      <c r="X475" s="63">
        <f t="shared" si="199"/>
        <v>0</v>
      </c>
      <c r="Y475" s="63">
        <f t="shared" si="199"/>
        <v>0</v>
      </c>
      <c r="Z475" s="63">
        <f t="shared" si="199"/>
        <v>0</v>
      </c>
      <c r="AA475" s="63">
        <f t="shared" si="199"/>
        <v>0</v>
      </c>
      <c r="AB475" s="63">
        <f t="shared" si="199"/>
        <v>0</v>
      </c>
      <c r="AC475" s="63">
        <f t="shared" si="199"/>
        <v>0</v>
      </c>
      <c r="AD475" s="63">
        <f t="shared" si="199"/>
        <v>0</v>
      </c>
      <c r="AE475" s="63">
        <f t="shared" si="199"/>
        <v>0</v>
      </c>
      <c r="AF475" s="63">
        <f>SUM(H475:AE475)</f>
        <v>0</v>
      </c>
      <c r="AG475" s="58" t="str">
        <f t="shared" si="201"/>
        <v>ok</v>
      </c>
    </row>
    <row r="476" spans="1:33">
      <c r="A476" s="60">
        <v>592</v>
      </c>
      <c r="B476" s="60" t="s">
        <v>935</v>
      </c>
      <c r="C476" s="44" t="s">
        <v>65</v>
      </c>
      <c r="D476" s="44" t="s">
        <v>863</v>
      </c>
      <c r="F476" s="79">
        <v>374744</v>
      </c>
      <c r="H476" s="63">
        <f t="shared" si="198"/>
        <v>0</v>
      </c>
      <c r="I476" s="63">
        <f t="shared" si="198"/>
        <v>0</v>
      </c>
      <c r="J476" s="63">
        <f t="shared" si="198"/>
        <v>0</v>
      </c>
      <c r="K476" s="63">
        <f t="shared" si="198"/>
        <v>0</v>
      </c>
      <c r="L476" s="63">
        <f t="shared" si="198"/>
        <v>0</v>
      </c>
      <c r="M476" s="63">
        <f t="shared" si="198"/>
        <v>0</v>
      </c>
      <c r="N476" s="63">
        <f t="shared" si="198"/>
        <v>0</v>
      </c>
      <c r="O476" s="63">
        <f t="shared" si="198"/>
        <v>0</v>
      </c>
      <c r="P476" s="63">
        <f t="shared" si="198"/>
        <v>0</v>
      </c>
      <c r="Q476" s="63">
        <f t="shared" si="198"/>
        <v>0</v>
      </c>
      <c r="R476" s="63">
        <f t="shared" si="199"/>
        <v>374744</v>
      </c>
      <c r="S476" s="63">
        <f t="shared" si="199"/>
        <v>0</v>
      </c>
      <c r="T476" s="63">
        <f t="shared" si="199"/>
        <v>0</v>
      </c>
      <c r="U476" s="63">
        <f t="shared" si="199"/>
        <v>0</v>
      </c>
      <c r="V476" s="63">
        <f t="shared" si="199"/>
        <v>0</v>
      </c>
      <c r="W476" s="63">
        <f t="shared" si="199"/>
        <v>0</v>
      </c>
      <c r="X476" s="63">
        <f t="shared" si="199"/>
        <v>0</v>
      </c>
      <c r="Y476" s="63">
        <f t="shared" si="199"/>
        <v>0</v>
      </c>
      <c r="Z476" s="63">
        <f t="shared" si="199"/>
        <v>0</v>
      </c>
      <c r="AA476" s="63">
        <f t="shared" si="199"/>
        <v>0</v>
      </c>
      <c r="AB476" s="63">
        <f t="shared" si="199"/>
        <v>0</v>
      </c>
      <c r="AC476" s="63">
        <f t="shared" si="199"/>
        <v>0</v>
      </c>
      <c r="AD476" s="63">
        <f t="shared" si="199"/>
        <v>0</v>
      </c>
      <c r="AE476" s="63">
        <f t="shared" si="199"/>
        <v>0</v>
      </c>
      <c r="AF476" s="63">
        <f t="shared" si="200"/>
        <v>374744</v>
      </c>
      <c r="AG476" s="58" t="str">
        <f t="shared" si="201"/>
        <v>ok</v>
      </c>
    </row>
    <row r="477" spans="1:33">
      <c r="A477" s="60">
        <v>593</v>
      </c>
      <c r="B477" s="60" t="s">
        <v>937</v>
      </c>
      <c r="C477" s="44" t="s">
        <v>66</v>
      </c>
      <c r="D477" s="44" t="s">
        <v>866</v>
      </c>
      <c r="F477" s="79">
        <v>1642806</v>
      </c>
      <c r="H477" s="63">
        <f t="shared" si="198"/>
        <v>0</v>
      </c>
      <c r="I477" s="63">
        <f t="shared" si="198"/>
        <v>0</v>
      </c>
      <c r="J477" s="63">
        <f t="shared" si="198"/>
        <v>0</v>
      </c>
      <c r="K477" s="63">
        <f t="shared" si="198"/>
        <v>0</v>
      </c>
      <c r="L477" s="63">
        <f t="shared" si="198"/>
        <v>0</v>
      </c>
      <c r="M477" s="63">
        <f t="shared" si="198"/>
        <v>0</v>
      </c>
      <c r="N477" s="63">
        <f t="shared" si="198"/>
        <v>0</v>
      </c>
      <c r="O477" s="63">
        <f t="shared" si="198"/>
        <v>0</v>
      </c>
      <c r="P477" s="63">
        <f t="shared" si="198"/>
        <v>0</v>
      </c>
      <c r="Q477" s="63">
        <f t="shared" si="198"/>
        <v>0</v>
      </c>
      <c r="R477" s="63">
        <f t="shared" si="199"/>
        <v>0</v>
      </c>
      <c r="S477" s="63">
        <f t="shared" si="199"/>
        <v>0</v>
      </c>
      <c r="T477" s="63">
        <f t="shared" si="199"/>
        <v>417178.29551112</v>
      </c>
      <c r="U477" s="63">
        <f t="shared" si="199"/>
        <v>741328.4956888801</v>
      </c>
      <c r="V477" s="63">
        <f t="shared" si="199"/>
        <v>174396.14508888</v>
      </c>
      <c r="W477" s="63">
        <f t="shared" si="199"/>
        <v>309903.06371111999</v>
      </c>
      <c r="X477" s="63">
        <f t="shared" si="199"/>
        <v>0</v>
      </c>
      <c r="Y477" s="63">
        <f t="shared" si="199"/>
        <v>0</v>
      </c>
      <c r="Z477" s="63">
        <f t="shared" si="199"/>
        <v>0</v>
      </c>
      <c r="AA477" s="63">
        <f t="shared" si="199"/>
        <v>0</v>
      </c>
      <c r="AB477" s="63">
        <f t="shared" si="199"/>
        <v>0</v>
      </c>
      <c r="AC477" s="63">
        <f t="shared" si="199"/>
        <v>0</v>
      </c>
      <c r="AD477" s="63">
        <f t="shared" si="199"/>
        <v>0</v>
      </c>
      <c r="AE477" s="63">
        <f t="shared" si="199"/>
        <v>0</v>
      </c>
      <c r="AF477" s="63">
        <f t="shared" si="200"/>
        <v>1642806.0000000002</v>
      </c>
      <c r="AG477" s="58" t="str">
        <f t="shared" si="201"/>
        <v>ok</v>
      </c>
    </row>
    <row r="478" spans="1:33">
      <c r="A478" s="60">
        <v>594</v>
      </c>
      <c r="B478" s="60" t="s">
        <v>939</v>
      </c>
      <c r="C478" s="44" t="s">
        <v>67</v>
      </c>
      <c r="D478" s="44" t="s">
        <v>869</v>
      </c>
      <c r="F478" s="79">
        <v>619769</v>
      </c>
      <c r="H478" s="63">
        <f t="shared" si="198"/>
        <v>0</v>
      </c>
      <c r="I478" s="63">
        <f t="shared" si="198"/>
        <v>0</v>
      </c>
      <c r="J478" s="63">
        <f t="shared" si="198"/>
        <v>0</v>
      </c>
      <c r="K478" s="63">
        <f t="shared" si="198"/>
        <v>0</v>
      </c>
      <c r="L478" s="63">
        <f t="shared" si="198"/>
        <v>0</v>
      </c>
      <c r="M478" s="63">
        <f t="shared" si="198"/>
        <v>0</v>
      </c>
      <c r="N478" s="63">
        <f t="shared" si="198"/>
        <v>0</v>
      </c>
      <c r="O478" s="63">
        <f t="shared" si="198"/>
        <v>0</v>
      </c>
      <c r="P478" s="63">
        <f t="shared" si="198"/>
        <v>0</v>
      </c>
      <c r="Q478" s="63">
        <f t="shared" si="198"/>
        <v>0</v>
      </c>
      <c r="R478" s="63">
        <f t="shared" si="199"/>
        <v>0</v>
      </c>
      <c r="S478" s="63">
        <f t="shared" si="199"/>
        <v>0</v>
      </c>
      <c r="T478" s="63">
        <f t="shared" si="199"/>
        <v>219096.38610161998</v>
      </c>
      <c r="U478" s="63">
        <f t="shared" si="199"/>
        <v>326734.17219838005</v>
      </c>
      <c r="V478" s="63">
        <f t="shared" si="199"/>
        <v>29678.890498379998</v>
      </c>
      <c r="W478" s="63">
        <f t="shared" si="199"/>
        <v>44259.551201619994</v>
      </c>
      <c r="X478" s="63">
        <f t="shared" si="199"/>
        <v>0</v>
      </c>
      <c r="Y478" s="63">
        <f t="shared" si="199"/>
        <v>0</v>
      </c>
      <c r="Z478" s="63">
        <f t="shared" si="199"/>
        <v>0</v>
      </c>
      <c r="AA478" s="63">
        <f t="shared" si="199"/>
        <v>0</v>
      </c>
      <c r="AB478" s="63">
        <f t="shared" si="199"/>
        <v>0</v>
      </c>
      <c r="AC478" s="63">
        <f t="shared" si="199"/>
        <v>0</v>
      </c>
      <c r="AD478" s="63">
        <f t="shared" si="199"/>
        <v>0</v>
      </c>
      <c r="AE478" s="63">
        <f t="shared" si="199"/>
        <v>0</v>
      </c>
      <c r="AF478" s="63">
        <f t="shared" si="200"/>
        <v>619769</v>
      </c>
      <c r="AG478" s="58" t="str">
        <f t="shared" si="201"/>
        <v>ok</v>
      </c>
    </row>
    <row r="479" spans="1:33">
      <c r="A479" s="60">
        <v>595</v>
      </c>
      <c r="B479" s="60" t="s">
        <v>941</v>
      </c>
      <c r="C479" s="44" t="s">
        <v>68</v>
      </c>
      <c r="D479" s="44" t="s">
        <v>870</v>
      </c>
      <c r="F479" s="79">
        <v>72618</v>
      </c>
      <c r="H479" s="63">
        <f t="shared" si="198"/>
        <v>0</v>
      </c>
      <c r="I479" s="63">
        <f t="shared" si="198"/>
        <v>0</v>
      </c>
      <c r="J479" s="63">
        <f t="shared" si="198"/>
        <v>0</v>
      </c>
      <c r="K479" s="63">
        <f t="shared" si="198"/>
        <v>0</v>
      </c>
      <c r="L479" s="63">
        <f t="shared" si="198"/>
        <v>0</v>
      </c>
      <c r="M479" s="63">
        <f t="shared" si="198"/>
        <v>0</v>
      </c>
      <c r="N479" s="63">
        <f t="shared" si="198"/>
        <v>0</v>
      </c>
      <c r="O479" s="63">
        <f t="shared" si="198"/>
        <v>0</v>
      </c>
      <c r="P479" s="63">
        <f t="shared" si="198"/>
        <v>0</v>
      </c>
      <c r="Q479" s="63">
        <f t="shared" si="198"/>
        <v>0</v>
      </c>
      <c r="R479" s="63">
        <f t="shared" si="199"/>
        <v>0</v>
      </c>
      <c r="S479" s="63">
        <f t="shared" si="199"/>
        <v>0</v>
      </c>
      <c r="T479" s="63">
        <f t="shared" si="199"/>
        <v>0</v>
      </c>
      <c r="U479" s="63">
        <f t="shared" si="199"/>
        <v>0</v>
      </c>
      <c r="V479" s="63">
        <f t="shared" si="199"/>
        <v>0</v>
      </c>
      <c r="W479" s="63">
        <f t="shared" si="199"/>
        <v>0</v>
      </c>
      <c r="X479" s="63">
        <f t="shared" si="199"/>
        <v>46627.476153450174</v>
      </c>
      <c r="Y479" s="63">
        <f t="shared" si="199"/>
        <v>25990.52384654983</v>
      </c>
      <c r="Z479" s="63">
        <f t="shared" si="199"/>
        <v>0</v>
      </c>
      <c r="AA479" s="63">
        <f t="shared" si="199"/>
        <v>0</v>
      </c>
      <c r="AB479" s="63">
        <f t="shared" si="199"/>
        <v>0</v>
      </c>
      <c r="AC479" s="63">
        <f t="shared" si="199"/>
        <v>0</v>
      </c>
      <c r="AD479" s="63">
        <f t="shared" si="199"/>
        <v>0</v>
      </c>
      <c r="AE479" s="63">
        <f t="shared" si="199"/>
        <v>0</v>
      </c>
      <c r="AF479" s="63">
        <f t="shared" si="200"/>
        <v>72618</v>
      </c>
      <c r="AG479" s="58" t="str">
        <f t="shared" si="201"/>
        <v>ok</v>
      </c>
    </row>
    <row r="480" spans="1:33">
      <c r="A480" s="60">
        <v>596</v>
      </c>
      <c r="B480" s="60" t="s">
        <v>1076</v>
      </c>
      <c r="C480" s="44" t="s">
        <v>69</v>
      </c>
      <c r="D480" s="44" t="s">
        <v>877</v>
      </c>
      <c r="F480" s="79">
        <v>5976</v>
      </c>
      <c r="H480" s="63">
        <f t="shared" si="198"/>
        <v>0</v>
      </c>
      <c r="I480" s="63">
        <f t="shared" si="198"/>
        <v>0</v>
      </c>
      <c r="J480" s="63">
        <f t="shared" si="198"/>
        <v>0</v>
      </c>
      <c r="K480" s="63">
        <f t="shared" si="198"/>
        <v>0</v>
      </c>
      <c r="L480" s="63">
        <f t="shared" si="198"/>
        <v>0</v>
      </c>
      <c r="M480" s="63">
        <f t="shared" si="198"/>
        <v>0</v>
      </c>
      <c r="N480" s="63">
        <f t="shared" si="198"/>
        <v>0</v>
      </c>
      <c r="O480" s="63">
        <f t="shared" si="198"/>
        <v>0</v>
      </c>
      <c r="P480" s="63">
        <f t="shared" si="198"/>
        <v>0</v>
      </c>
      <c r="Q480" s="63">
        <f t="shared" si="198"/>
        <v>0</v>
      </c>
      <c r="R480" s="63">
        <f t="shared" si="199"/>
        <v>0</v>
      </c>
      <c r="S480" s="63">
        <f t="shared" si="199"/>
        <v>0</v>
      </c>
      <c r="T480" s="63">
        <f t="shared" si="199"/>
        <v>0</v>
      </c>
      <c r="U480" s="63">
        <f t="shared" si="199"/>
        <v>0</v>
      </c>
      <c r="V480" s="63">
        <f t="shared" si="199"/>
        <v>0</v>
      </c>
      <c r="W480" s="63">
        <f t="shared" si="199"/>
        <v>0</v>
      </c>
      <c r="X480" s="63">
        <f t="shared" si="199"/>
        <v>0</v>
      </c>
      <c r="Y480" s="63">
        <f t="shared" si="199"/>
        <v>0</v>
      </c>
      <c r="Z480" s="63">
        <f t="shared" si="199"/>
        <v>0</v>
      </c>
      <c r="AA480" s="63">
        <f t="shared" si="199"/>
        <v>0</v>
      </c>
      <c r="AB480" s="63">
        <f t="shared" si="199"/>
        <v>5976</v>
      </c>
      <c r="AC480" s="63">
        <f t="shared" si="199"/>
        <v>0</v>
      </c>
      <c r="AD480" s="63">
        <f t="shared" si="199"/>
        <v>0</v>
      </c>
      <c r="AE480" s="63">
        <f t="shared" si="199"/>
        <v>0</v>
      </c>
      <c r="AF480" s="63">
        <f t="shared" si="200"/>
        <v>5976</v>
      </c>
      <c r="AG480" s="58" t="str">
        <f t="shared" si="201"/>
        <v>ok</v>
      </c>
    </row>
    <row r="481" spans="1:33">
      <c r="A481" s="60">
        <v>597</v>
      </c>
      <c r="B481" s="60" t="s">
        <v>943</v>
      </c>
      <c r="C481" s="44" t="s">
        <v>70</v>
      </c>
      <c r="D481" s="44" t="s">
        <v>874</v>
      </c>
      <c r="F481" s="79">
        <v>0</v>
      </c>
      <c r="H481" s="63">
        <f t="shared" si="198"/>
        <v>0</v>
      </c>
      <c r="I481" s="63">
        <f t="shared" si="198"/>
        <v>0</v>
      </c>
      <c r="J481" s="63">
        <f t="shared" si="198"/>
        <v>0</v>
      </c>
      <c r="K481" s="63">
        <f t="shared" si="198"/>
        <v>0</v>
      </c>
      <c r="L481" s="63">
        <f t="shared" si="198"/>
        <v>0</v>
      </c>
      <c r="M481" s="63">
        <f t="shared" si="198"/>
        <v>0</v>
      </c>
      <c r="N481" s="63">
        <f t="shared" si="198"/>
        <v>0</v>
      </c>
      <c r="O481" s="63">
        <f t="shared" si="198"/>
        <v>0</v>
      </c>
      <c r="P481" s="63">
        <f t="shared" si="198"/>
        <v>0</v>
      </c>
      <c r="Q481" s="63">
        <f t="shared" si="198"/>
        <v>0</v>
      </c>
      <c r="R481" s="63">
        <f t="shared" si="199"/>
        <v>0</v>
      </c>
      <c r="S481" s="63">
        <f t="shared" si="199"/>
        <v>0</v>
      </c>
      <c r="T481" s="63">
        <f t="shared" si="199"/>
        <v>0</v>
      </c>
      <c r="U481" s="63">
        <f t="shared" si="199"/>
        <v>0</v>
      </c>
      <c r="V481" s="63">
        <f t="shared" si="199"/>
        <v>0</v>
      </c>
      <c r="W481" s="63">
        <f t="shared" si="199"/>
        <v>0</v>
      </c>
      <c r="X481" s="63">
        <f t="shared" si="199"/>
        <v>0</v>
      </c>
      <c r="Y481" s="63">
        <f t="shared" si="199"/>
        <v>0</v>
      </c>
      <c r="Z481" s="63">
        <f t="shared" si="199"/>
        <v>0</v>
      </c>
      <c r="AA481" s="63">
        <f t="shared" si="199"/>
        <v>0</v>
      </c>
      <c r="AB481" s="63">
        <f t="shared" si="199"/>
        <v>0</v>
      </c>
      <c r="AC481" s="63">
        <f t="shared" si="199"/>
        <v>0</v>
      </c>
      <c r="AD481" s="63">
        <f t="shared" si="199"/>
        <v>0</v>
      </c>
      <c r="AE481" s="63">
        <f t="shared" si="199"/>
        <v>0</v>
      </c>
      <c r="AF481" s="63">
        <f t="shared" si="200"/>
        <v>0</v>
      </c>
      <c r="AG481" s="58" t="str">
        <f t="shared" si="201"/>
        <v>ok</v>
      </c>
    </row>
    <row r="482" spans="1:33">
      <c r="A482" s="60">
        <v>598</v>
      </c>
      <c r="B482" s="60" t="s">
        <v>1080</v>
      </c>
      <c r="C482" s="44" t="s">
        <v>71</v>
      </c>
      <c r="D482" s="44" t="s">
        <v>859</v>
      </c>
      <c r="F482" s="79">
        <v>0</v>
      </c>
      <c r="H482" s="63">
        <f t="shared" si="198"/>
        <v>0</v>
      </c>
      <c r="I482" s="63">
        <f t="shared" si="198"/>
        <v>0</v>
      </c>
      <c r="J482" s="63">
        <f t="shared" si="198"/>
        <v>0</v>
      </c>
      <c r="K482" s="63">
        <f t="shared" si="198"/>
        <v>0</v>
      </c>
      <c r="L482" s="63">
        <f t="shared" si="198"/>
        <v>0</v>
      </c>
      <c r="M482" s="63">
        <f t="shared" si="198"/>
        <v>0</v>
      </c>
      <c r="N482" s="63">
        <f t="shared" si="198"/>
        <v>0</v>
      </c>
      <c r="O482" s="63">
        <f t="shared" si="198"/>
        <v>0</v>
      </c>
      <c r="P482" s="63">
        <f t="shared" si="198"/>
        <v>0</v>
      </c>
      <c r="Q482" s="63">
        <f t="shared" si="198"/>
        <v>0</v>
      </c>
      <c r="R482" s="63">
        <f t="shared" si="199"/>
        <v>0</v>
      </c>
      <c r="S482" s="63">
        <f t="shared" si="199"/>
        <v>0</v>
      </c>
      <c r="T482" s="63">
        <f t="shared" si="199"/>
        <v>0</v>
      </c>
      <c r="U482" s="63">
        <f t="shared" si="199"/>
        <v>0</v>
      </c>
      <c r="V482" s="63">
        <f t="shared" si="199"/>
        <v>0</v>
      </c>
      <c r="W482" s="63">
        <f t="shared" si="199"/>
        <v>0</v>
      </c>
      <c r="X482" s="63">
        <f t="shared" si="199"/>
        <v>0</v>
      </c>
      <c r="Y482" s="63">
        <f t="shared" si="199"/>
        <v>0</v>
      </c>
      <c r="Z482" s="63">
        <f t="shared" si="199"/>
        <v>0</v>
      </c>
      <c r="AA482" s="63">
        <f t="shared" si="199"/>
        <v>0</v>
      </c>
      <c r="AB482" s="63">
        <f t="shared" si="199"/>
        <v>0</v>
      </c>
      <c r="AC482" s="63">
        <f t="shared" si="199"/>
        <v>0</v>
      </c>
      <c r="AD482" s="63">
        <f t="shared" si="199"/>
        <v>0</v>
      </c>
      <c r="AE482" s="63">
        <f t="shared" si="199"/>
        <v>0</v>
      </c>
      <c r="AF482" s="63">
        <f t="shared" si="200"/>
        <v>0</v>
      </c>
      <c r="AG482" s="58" t="str">
        <f t="shared" si="201"/>
        <v>ok</v>
      </c>
    </row>
    <row r="483" spans="1:33">
      <c r="A483" s="60"/>
      <c r="B483" s="60"/>
      <c r="F483" s="79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58"/>
    </row>
    <row r="484" spans="1:33">
      <c r="A484" s="60" t="s">
        <v>108</v>
      </c>
      <c r="B484" s="60"/>
      <c r="C484" s="44" t="s">
        <v>72</v>
      </c>
      <c r="F484" s="76">
        <f t="shared" ref="F484:M484" si="202">SUM(F474:F483)</f>
        <v>2715913</v>
      </c>
      <c r="G484" s="62">
        <f t="shared" si="202"/>
        <v>0</v>
      </c>
      <c r="H484" s="62">
        <f t="shared" si="202"/>
        <v>0</v>
      </c>
      <c r="I484" s="62">
        <f t="shared" si="202"/>
        <v>0</v>
      </c>
      <c r="J484" s="62">
        <f t="shared" si="202"/>
        <v>0</v>
      </c>
      <c r="K484" s="62">
        <f t="shared" si="202"/>
        <v>0</v>
      </c>
      <c r="L484" s="62">
        <f t="shared" si="202"/>
        <v>0</v>
      </c>
      <c r="M484" s="62">
        <f t="shared" si="202"/>
        <v>0</v>
      </c>
      <c r="N484" s="62">
        <f>SUM(N474:N483)</f>
        <v>0</v>
      </c>
      <c r="O484" s="62">
        <f>SUM(O474:O483)</f>
        <v>0</v>
      </c>
      <c r="P484" s="62">
        <f>SUM(P474:P483)</f>
        <v>0</v>
      </c>
      <c r="Q484" s="62">
        <f t="shared" ref="Q484:AB484" si="203">SUM(Q474:Q483)</f>
        <v>0</v>
      </c>
      <c r="R484" s="62">
        <f t="shared" si="203"/>
        <v>374744</v>
      </c>
      <c r="S484" s="62">
        <f t="shared" si="203"/>
        <v>0</v>
      </c>
      <c r="T484" s="62">
        <f t="shared" si="203"/>
        <v>636274.68161274004</v>
      </c>
      <c r="U484" s="62">
        <f t="shared" si="203"/>
        <v>1068062.6678872602</v>
      </c>
      <c r="V484" s="62">
        <f t="shared" si="203"/>
        <v>204075.03558726</v>
      </c>
      <c r="W484" s="62">
        <f t="shared" si="203"/>
        <v>354162.61491273995</v>
      </c>
      <c r="X484" s="62">
        <f t="shared" si="203"/>
        <v>46627.476153450174</v>
      </c>
      <c r="Y484" s="62">
        <f t="shared" si="203"/>
        <v>25990.52384654983</v>
      </c>
      <c r="Z484" s="62">
        <f t="shared" si="203"/>
        <v>0</v>
      </c>
      <c r="AA484" s="62">
        <f t="shared" si="203"/>
        <v>0</v>
      </c>
      <c r="AB484" s="62">
        <f t="shared" si="203"/>
        <v>5976</v>
      </c>
      <c r="AC484" s="62">
        <f>SUM(AC474:AC483)</f>
        <v>0</v>
      </c>
      <c r="AD484" s="62">
        <f>SUM(AD474:AD483)</f>
        <v>0</v>
      </c>
      <c r="AE484" s="62">
        <f>SUM(AE474:AE483)</f>
        <v>0</v>
      </c>
      <c r="AF484" s="63">
        <f>SUM(H484:AE484)</f>
        <v>2715913</v>
      </c>
      <c r="AG484" s="58" t="str">
        <f>IF(ABS(AF484-F484)&lt;1,"ok","err")</f>
        <v>ok</v>
      </c>
    </row>
    <row r="485" spans="1:33">
      <c r="A485" s="60"/>
      <c r="B485" s="60"/>
      <c r="F485" s="79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G485" s="58"/>
    </row>
    <row r="486" spans="1:33">
      <c r="A486" s="60" t="s">
        <v>109</v>
      </c>
      <c r="B486" s="60"/>
      <c r="D486" s="44" t="s">
        <v>859</v>
      </c>
      <c r="F486" s="76">
        <f>F484+F465</f>
        <v>11896170</v>
      </c>
      <c r="G486" s="63">
        <f>G465+G484</f>
        <v>0</v>
      </c>
      <c r="H486" s="63">
        <f t="shared" ref="H486:M486" si="204">H484+H465</f>
        <v>0</v>
      </c>
      <c r="I486" s="63">
        <f t="shared" si="204"/>
        <v>0</v>
      </c>
      <c r="J486" s="63">
        <f t="shared" si="204"/>
        <v>0</v>
      </c>
      <c r="K486" s="63">
        <f t="shared" si="204"/>
        <v>0</v>
      </c>
      <c r="L486" s="63">
        <f t="shared" si="204"/>
        <v>0</v>
      </c>
      <c r="M486" s="63">
        <f t="shared" si="204"/>
        <v>0</v>
      </c>
      <c r="N486" s="63">
        <f>N484+N465</f>
        <v>0</v>
      </c>
      <c r="O486" s="63">
        <f>O484+O465</f>
        <v>0</v>
      </c>
      <c r="P486" s="63">
        <f>P484+P465</f>
        <v>0</v>
      </c>
      <c r="Q486" s="63">
        <f t="shared" ref="Q486:AB486" si="205">Q484+Q465</f>
        <v>0</v>
      </c>
      <c r="R486" s="63">
        <f t="shared" si="205"/>
        <v>1736428.5437069198</v>
      </c>
      <c r="S486" s="63">
        <f t="shared" si="205"/>
        <v>0</v>
      </c>
      <c r="T486" s="63">
        <f t="shared" si="205"/>
        <v>1722280.9947074789</v>
      </c>
      <c r="U486" s="63">
        <f t="shared" si="205"/>
        <v>2910349.1223195679</v>
      </c>
      <c r="V486" s="63">
        <f t="shared" si="205"/>
        <v>571477.52169908036</v>
      </c>
      <c r="W486" s="63">
        <f t="shared" si="205"/>
        <v>995179.11754285323</v>
      </c>
      <c r="X486" s="63">
        <f t="shared" si="205"/>
        <v>156148.85638341264</v>
      </c>
      <c r="Y486" s="63">
        <f t="shared" si="205"/>
        <v>87038.607066968019</v>
      </c>
      <c r="Z486" s="63">
        <f t="shared" si="205"/>
        <v>39032.372273740795</v>
      </c>
      <c r="AA486" s="63">
        <f t="shared" si="205"/>
        <v>3543567.3806341151</v>
      </c>
      <c r="AB486" s="63">
        <f t="shared" si="205"/>
        <v>134667.48366586358</v>
      </c>
      <c r="AC486" s="63">
        <f>AC484+AC465</f>
        <v>0</v>
      </c>
      <c r="AD486" s="63">
        <f>AD484+AD465</f>
        <v>0</v>
      </c>
      <c r="AE486" s="63">
        <f>AE484+AE465</f>
        <v>0</v>
      </c>
      <c r="AF486" s="63">
        <f>SUM(H486:AE486)</f>
        <v>11896170</v>
      </c>
      <c r="AG486" s="58" t="str">
        <f>IF(ABS(AF486-F486)&lt;1,"ok","err")</f>
        <v>ok</v>
      </c>
    </row>
    <row r="487" spans="1:33">
      <c r="A487" s="60"/>
      <c r="B487" s="60"/>
      <c r="F487" s="79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G487" s="58"/>
    </row>
    <row r="488" spans="1:33">
      <c r="A488" s="60" t="s">
        <v>110</v>
      </c>
      <c r="B488" s="60"/>
      <c r="F488" s="76">
        <f t="shared" ref="F488:M488" si="206">F486+F450</f>
        <v>16068302</v>
      </c>
      <c r="G488" s="63">
        <f t="shared" si="206"/>
        <v>0</v>
      </c>
      <c r="H488" s="63">
        <f t="shared" si="206"/>
        <v>0</v>
      </c>
      <c r="I488" s="63">
        <f t="shared" si="206"/>
        <v>0</v>
      </c>
      <c r="J488" s="63">
        <f t="shared" si="206"/>
        <v>0</v>
      </c>
      <c r="K488" s="63">
        <f t="shared" si="206"/>
        <v>0</v>
      </c>
      <c r="L488" s="63">
        <f t="shared" si="206"/>
        <v>0</v>
      </c>
      <c r="M488" s="63">
        <f t="shared" si="206"/>
        <v>0</v>
      </c>
      <c r="N488" s="63">
        <f>N486+N450</f>
        <v>4172132</v>
      </c>
      <c r="O488" s="63">
        <f>O486+O450</f>
        <v>0</v>
      </c>
      <c r="P488" s="63">
        <f>P486+P450</f>
        <v>0</v>
      </c>
      <c r="Q488" s="63">
        <f t="shared" ref="Q488:AB488" si="207">Q486+Q450</f>
        <v>0</v>
      </c>
      <c r="R488" s="63">
        <f t="shared" si="207"/>
        <v>1736428.5437069198</v>
      </c>
      <c r="S488" s="63">
        <f t="shared" si="207"/>
        <v>0</v>
      </c>
      <c r="T488" s="63">
        <f t="shared" si="207"/>
        <v>1722280.9947074789</v>
      </c>
      <c r="U488" s="63">
        <f t="shared" si="207"/>
        <v>2910349.1223195679</v>
      </c>
      <c r="V488" s="63">
        <f t="shared" si="207"/>
        <v>571477.52169908036</v>
      </c>
      <c r="W488" s="63">
        <f t="shared" si="207"/>
        <v>995179.11754285323</v>
      </c>
      <c r="X488" s="63">
        <f t="shared" si="207"/>
        <v>156148.85638341264</v>
      </c>
      <c r="Y488" s="63">
        <f t="shared" si="207"/>
        <v>87038.607066968019</v>
      </c>
      <c r="Z488" s="63">
        <f t="shared" si="207"/>
        <v>39032.372273740795</v>
      </c>
      <c r="AA488" s="63">
        <f t="shared" si="207"/>
        <v>3543567.3806341151</v>
      </c>
      <c r="AB488" s="63">
        <f t="shared" si="207"/>
        <v>134667.48366586358</v>
      </c>
      <c r="AC488" s="63">
        <f>AC486+AC450</f>
        <v>0</v>
      </c>
      <c r="AD488" s="63">
        <f>AD486+AD450</f>
        <v>0</v>
      </c>
      <c r="AE488" s="63">
        <f>AE486+AE450</f>
        <v>0</v>
      </c>
      <c r="AF488" s="63">
        <f>SUM(H488:AE488)</f>
        <v>16068302.000000002</v>
      </c>
      <c r="AG488" s="58" t="str">
        <f>IF(ABS(AF488-F488)&lt;1,"ok","err")</f>
        <v>ok</v>
      </c>
    </row>
    <row r="489" spans="1:33">
      <c r="A489" s="60"/>
      <c r="B489" s="60"/>
      <c r="F489" s="79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G489" s="58"/>
    </row>
    <row r="490" spans="1:33">
      <c r="A490" s="60" t="s">
        <v>329</v>
      </c>
      <c r="B490" s="60"/>
      <c r="C490" s="44" t="s">
        <v>73</v>
      </c>
      <c r="F490" s="76">
        <f>F488+F427+F434</f>
        <v>49525423</v>
      </c>
      <c r="G490" s="62">
        <f>G488+G434</f>
        <v>0</v>
      </c>
      <c r="H490" s="62">
        <f>H488+H427+H434</f>
        <v>18103460.25723663</v>
      </c>
      <c r="I490" s="62">
        <f t="shared" ref="I490:AE490" si="208">I488+I427+I434</f>
        <v>0</v>
      </c>
      <c r="J490" s="62">
        <f t="shared" si="208"/>
        <v>0</v>
      </c>
      <c r="K490" s="62">
        <f t="shared" si="208"/>
        <v>15353660.74276337</v>
      </c>
      <c r="L490" s="62">
        <f t="shared" si="208"/>
        <v>0</v>
      </c>
      <c r="M490" s="62">
        <f t="shared" si="208"/>
        <v>0</v>
      </c>
      <c r="N490" s="62">
        <f t="shared" si="208"/>
        <v>4172132</v>
      </c>
      <c r="O490" s="62">
        <f t="shared" si="208"/>
        <v>0</v>
      </c>
      <c r="P490" s="62">
        <f t="shared" si="208"/>
        <v>0</v>
      </c>
      <c r="Q490" s="62">
        <f t="shared" si="208"/>
        <v>0</v>
      </c>
      <c r="R490" s="62">
        <f t="shared" si="208"/>
        <v>1736428.5437069198</v>
      </c>
      <c r="S490" s="62">
        <f t="shared" si="208"/>
        <v>0</v>
      </c>
      <c r="T490" s="62">
        <f t="shared" si="208"/>
        <v>1722280.9947074789</v>
      </c>
      <c r="U490" s="62">
        <f t="shared" si="208"/>
        <v>2910349.1223195679</v>
      </c>
      <c r="V490" s="62">
        <f t="shared" si="208"/>
        <v>571477.52169908036</v>
      </c>
      <c r="W490" s="62">
        <f t="shared" si="208"/>
        <v>995179.11754285323</v>
      </c>
      <c r="X490" s="62">
        <f t="shared" si="208"/>
        <v>156148.85638341264</v>
      </c>
      <c r="Y490" s="62">
        <f t="shared" si="208"/>
        <v>87038.607066968019</v>
      </c>
      <c r="Z490" s="62">
        <f t="shared" si="208"/>
        <v>39032.372273740795</v>
      </c>
      <c r="AA490" s="62">
        <f t="shared" si="208"/>
        <v>3543567.3806341151</v>
      </c>
      <c r="AB490" s="62">
        <f t="shared" si="208"/>
        <v>134667.48366586358</v>
      </c>
      <c r="AC490" s="62">
        <f t="shared" si="208"/>
        <v>0</v>
      </c>
      <c r="AD490" s="62">
        <f t="shared" si="208"/>
        <v>0</v>
      </c>
      <c r="AE490" s="62">
        <f t="shared" si="208"/>
        <v>0</v>
      </c>
      <c r="AF490" s="63">
        <f>SUM(H490:AE490)</f>
        <v>49525423</v>
      </c>
      <c r="AG490" s="58" t="str">
        <f>IF(ABS(AF490-F490)&lt;1,"ok","err")</f>
        <v>ok</v>
      </c>
    </row>
    <row r="491" spans="1:33" ht="14.1">
      <c r="A491" s="65"/>
      <c r="B491" s="60"/>
      <c r="F491" s="79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G491" s="58"/>
    </row>
    <row r="492" spans="1:33" ht="14.1">
      <c r="A492" s="65" t="s">
        <v>949</v>
      </c>
      <c r="B492" s="60"/>
      <c r="F492" s="79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G492" s="58"/>
    </row>
    <row r="493" spans="1:33">
      <c r="A493" s="60">
        <v>901</v>
      </c>
      <c r="B493" s="60" t="s">
        <v>950</v>
      </c>
      <c r="C493" s="44" t="s">
        <v>74</v>
      </c>
      <c r="D493" s="44" t="s">
        <v>640</v>
      </c>
      <c r="F493" s="76">
        <v>1093165.92</v>
      </c>
      <c r="H493" s="63">
        <f t="shared" ref="H493:Q497" si="209">IF(VLOOKUP($D493,$C$6:$AE$653,H$2,)=0,0,((VLOOKUP($D493,$C$6:$AE$653,H$2,)/VLOOKUP($D493,$C$6:$AE$653,4,))*$F493))</f>
        <v>0</v>
      </c>
      <c r="I493" s="63">
        <f t="shared" si="209"/>
        <v>0</v>
      </c>
      <c r="J493" s="63">
        <f t="shared" si="209"/>
        <v>0</v>
      </c>
      <c r="K493" s="63">
        <f t="shared" si="209"/>
        <v>0</v>
      </c>
      <c r="L493" s="63">
        <f t="shared" si="209"/>
        <v>0</v>
      </c>
      <c r="M493" s="63">
        <f t="shared" si="209"/>
        <v>0</v>
      </c>
      <c r="N493" s="63">
        <f t="shared" si="209"/>
        <v>0</v>
      </c>
      <c r="O493" s="63">
        <f t="shared" si="209"/>
        <v>0</v>
      </c>
      <c r="P493" s="63">
        <f t="shared" si="209"/>
        <v>0</v>
      </c>
      <c r="Q493" s="63">
        <f t="shared" si="209"/>
        <v>0</v>
      </c>
      <c r="R493" s="63">
        <f t="shared" ref="R493:AE497" si="210">IF(VLOOKUP($D493,$C$6:$AE$653,R$2,)=0,0,((VLOOKUP($D493,$C$6:$AE$653,R$2,)/VLOOKUP($D493,$C$6:$AE$653,4,))*$F493))</f>
        <v>0</v>
      </c>
      <c r="S493" s="63">
        <f t="shared" si="210"/>
        <v>0</v>
      </c>
      <c r="T493" s="63">
        <f t="shared" si="210"/>
        <v>0</v>
      </c>
      <c r="U493" s="63">
        <f t="shared" si="210"/>
        <v>0</v>
      </c>
      <c r="V493" s="63">
        <f t="shared" si="210"/>
        <v>0</v>
      </c>
      <c r="W493" s="63">
        <f t="shared" si="210"/>
        <v>0</v>
      </c>
      <c r="X493" s="63">
        <f t="shared" si="210"/>
        <v>0</v>
      </c>
      <c r="Y493" s="63">
        <f t="shared" si="210"/>
        <v>0</v>
      </c>
      <c r="Z493" s="63">
        <f t="shared" si="210"/>
        <v>0</v>
      </c>
      <c r="AA493" s="63">
        <f t="shared" si="210"/>
        <v>0</v>
      </c>
      <c r="AB493" s="63">
        <f t="shared" si="210"/>
        <v>0</v>
      </c>
      <c r="AC493" s="63">
        <f t="shared" si="210"/>
        <v>1093165.92</v>
      </c>
      <c r="AD493" s="63">
        <f t="shared" si="210"/>
        <v>0</v>
      </c>
      <c r="AE493" s="63">
        <f t="shared" si="210"/>
        <v>0</v>
      </c>
      <c r="AF493" s="63">
        <f>SUM(H493:AE493)</f>
        <v>1093165.92</v>
      </c>
      <c r="AG493" s="58" t="str">
        <f>IF(ABS(AF493-F493)&lt;1,"ok","err")</f>
        <v>ok</v>
      </c>
    </row>
    <row r="494" spans="1:33">
      <c r="A494" s="60">
        <v>902</v>
      </c>
      <c r="B494" s="60" t="s">
        <v>953</v>
      </c>
      <c r="C494" s="44" t="s">
        <v>75</v>
      </c>
      <c r="D494" s="44" t="s">
        <v>640</v>
      </c>
      <c r="F494" s="79">
        <v>370756.96</v>
      </c>
      <c r="H494" s="63">
        <f t="shared" si="209"/>
        <v>0</v>
      </c>
      <c r="I494" s="63">
        <f t="shared" si="209"/>
        <v>0</v>
      </c>
      <c r="J494" s="63">
        <f t="shared" si="209"/>
        <v>0</v>
      </c>
      <c r="K494" s="63">
        <f t="shared" si="209"/>
        <v>0</v>
      </c>
      <c r="L494" s="63">
        <f t="shared" si="209"/>
        <v>0</v>
      </c>
      <c r="M494" s="63">
        <f t="shared" si="209"/>
        <v>0</v>
      </c>
      <c r="N494" s="63">
        <f t="shared" si="209"/>
        <v>0</v>
      </c>
      <c r="O494" s="63">
        <f t="shared" si="209"/>
        <v>0</v>
      </c>
      <c r="P494" s="63">
        <f t="shared" si="209"/>
        <v>0</v>
      </c>
      <c r="Q494" s="63">
        <f t="shared" si="209"/>
        <v>0</v>
      </c>
      <c r="R494" s="63">
        <f t="shared" si="210"/>
        <v>0</v>
      </c>
      <c r="S494" s="63">
        <f t="shared" si="210"/>
        <v>0</v>
      </c>
      <c r="T494" s="63">
        <f t="shared" si="210"/>
        <v>0</v>
      </c>
      <c r="U494" s="63">
        <f t="shared" si="210"/>
        <v>0</v>
      </c>
      <c r="V494" s="63">
        <f t="shared" si="210"/>
        <v>0</v>
      </c>
      <c r="W494" s="63">
        <f t="shared" si="210"/>
        <v>0</v>
      </c>
      <c r="X494" s="63">
        <f t="shared" si="210"/>
        <v>0</v>
      </c>
      <c r="Y494" s="63">
        <f t="shared" si="210"/>
        <v>0</v>
      </c>
      <c r="Z494" s="63">
        <f t="shared" si="210"/>
        <v>0</v>
      </c>
      <c r="AA494" s="63">
        <f t="shared" si="210"/>
        <v>0</v>
      </c>
      <c r="AB494" s="63">
        <f t="shared" si="210"/>
        <v>0</v>
      </c>
      <c r="AC494" s="63">
        <f t="shared" si="210"/>
        <v>370756.96</v>
      </c>
      <c r="AD494" s="63">
        <f t="shared" si="210"/>
        <v>0</v>
      </c>
      <c r="AE494" s="63">
        <f t="shared" si="210"/>
        <v>0</v>
      </c>
      <c r="AF494" s="63">
        <f>SUM(H494:AE494)</f>
        <v>370756.96</v>
      </c>
      <c r="AG494" s="58" t="str">
        <f>IF(ABS(AF494-F494)&lt;1,"ok","err")</f>
        <v>ok</v>
      </c>
    </row>
    <row r="495" spans="1:33">
      <c r="A495" s="60">
        <v>903</v>
      </c>
      <c r="B495" s="60" t="s">
        <v>28</v>
      </c>
      <c r="C495" s="44" t="s">
        <v>76</v>
      </c>
      <c r="D495" s="44" t="s">
        <v>640</v>
      </c>
      <c r="F495" s="79">
        <v>3518495.68</v>
      </c>
      <c r="H495" s="63">
        <f t="shared" si="209"/>
        <v>0</v>
      </c>
      <c r="I495" s="63">
        <f t="shared" si="209"/>
        <v>0</v>
      </c>
      <c r="J495" s="63">
        <f t="shared" si="209"/>
        <v>0</v>
      </c>
      <c r="K495" s="63">
        <f t="shared" si="209"/>
        <v>0</v>
      </c>
      <c r="L495" s="63">
        <f t="shared" si="209"/>
        <v>0</v>
      </c>
      <c r="M495" s="63">
        <f t="shared" si="209"/>
        <v>0</v>
      </c>
      <c r="N495" s="63">
        <f t="shared" si="209"/>
        <v>0</v>
      </c>
      <c r="O495" s="63">
        <f t="shared" si="209"/>
        <v>0</v>
      </c>
      <c r="P495" s="63">
        <f t="shared" si="209"/>
        <v>0</v>
      </c>
      <c r="Q495" s="63">
        <f t="shared" si="209"/>
        <v>0</v>
      </c>
      <c r="R495" s="63">
        <f t="shared" si="210"/>
        <v>0</v>
      </c>
      <c r="S495" s="63">
        <f t="shared" si="210"/>
        <v>0</v>
      </c>
      <c r="T495" s="63">
        <f t="shared" si="210"/>
        <v>0</v>
      </c>
      <c r="U495" s="63">
        <f t="shared" si="210"/>
        <v>0</v>
      </c>
      <c r="V495" s="63">
        <f t="shared" si="210"/>
        <v>0</v>
      </c>
      <c r="W495" s="63">
        <f t="shared" si="210"/>
        <v>0</v>
      </c>
      <c r="X495" s="63">
        <f t="shared" si="210"/>
        <v>0</v>
      </c>
      <c r="Y495" s="63">
        <f t="shared" si="210"/>
        <v>0</v>
      </c>
      <c r="Z495" s="63">
        <f t="shared" si="210"/>
        <v>0</v>
      </c>
      <c r="AA495" s="63">
        <f t="shared" si="210"/>
        <v>0</v>
      </c>
      <c r="AB495" s="63">
        <f t="shared" si="210"/>
        <v>0</v>
      </c>
      <c r="AC495" s="63">
        <f t="shared" si="210"/>
        <v>3518495.68</v>
      </c>
      <c r="AD495" s="63">
        <f t="shared" si="210"/>
        <v>0</v>
      </c>
      <c r="AE495" s="63">
        <f t="shared" si="210"/>
        <v>0</v>
      </c>
      <c r="AF495" s="63">
        <f>SUM(H495:AE495)</f>
        <v>3518495.68</v>
      </c>
      <c r="AG495" s="58" t="str">
        <f>IF(ABS(AF495-F495)&lt;1,"ok","err")</f>
        <v>ok</v>
      </c>
    </row>
    <row r="496" spans="1:33">
      <c r="A496" s="60">
        <v>904</v>
      </c>
      <c r="B496" s="60" t="s">
        <v>956</v>
      </c>
      <c r="C496" s="44" t="s">
        <v>77</v>
      </c>
      <c r="D496" s="44" t="s">
        <v>640</v>
      </c>
      <c r="F496" s="79">
        <v>0</v>
      </c>
      <c r="H496" s="63">
        <f t="shared" si="209"/>
        <v>0</v>
      </c>
      <c r="I496" s="63">
        <f t="shared" si="209"/>
        <v>0</v>
      </c>
      <c r="J496" s="63">
        <f t="shared" si="209"/>
        <v>0</v>
      </c>
      <c r="K496" s="63">
        <f t="shared" si="209"/>
        <v>0</v>
      </c>
      <c r="L496" s="63">
        <f t="shared" si="209"/>
        <v>0</v>
      </c>
      <c r="M496" s="63">
        <f t="shared" si="209"/>
        <v>0</v>
      </c>
      <c r="N496" s="63">
        <f t="shared" si="209"/>
        <v>0</v>
      </c>
      <c r="O496" s="63">
        <f t="shared" si="209"/>
        <v>0</v>
      </c>
      <c r="P496" s="63">
        <f t="shared" si="209"/>
        <v>0</v>
      </c>
      <c r="Q496" s="63">
        <f t="shared" si="209"/>
        <v>0</v>
      </c>
      <c r="R496" s="63">
        <f t="shared" si="210"/>
        <v>0</v>
      </c>
      <c r="S496" s="63">
        <f t="shared" si="210"/>
        <v>0</v>
      </c>
      <c r="T496" s="63">
        <f t="shared" si="210"/>
        <v>0</v>
      </c>
      <c r="U496" s="63">
        <f t="shared" si="210"/>
        <v>0</v>
      </c>
      <c r="V496" s="63">
        <f t="shared" si="210"/>
        <v>0</v>
      </c>
      <c r="W496" s="63">
        <f t="shared" si="210"/>
        <v>0</v>
      </c>
      <c r="X496" s="63">
        <f t="shared" si="210"/>
        <v>0</v>
      </c>
      <c r="Y496" s="63">
        <f t="shared" si="210"/>
        <v>0</v>
      </c>
      <c r="Z496" s="63">
        <f t="shared" si="210"/>
        <v>0</v>
      </c>
      <c r="AA496" s="63">
        <f t="shared" si="210"/>
        <v>0</v>
      </c>
      <c r="AB496" s="63">
        <f t="shared" si="210"/>
        <v>0</v>
      </c>
      <c r="AC496" s="63">
        <f t="shared" si="210"/>
        <v>0</v>
      </c>
      <c r="AD496" s="63">
        <f t="shared" si="210"/>
        <v>0</v>
      </c>
      <c r="AE496" s="63">
        <f t="shared" si="210"/>
        <v>0</v>
      </c>
      <c r="AF496" s="63">
        <f>SUM(H496:AE496)</f>
        <v>0</v>
      </c>
      <c r="AG496" s="58" t="str">
        <f>IF(ABS(AF496-F496)&lt;1,"ok","err")</f>
        <v>ok</v>
      </c>
    </row>
    <row r="497" spans="1:33">
      <c r="A497" s="60">
        <v>905</v>
      </c>
      <c r="B497" s="60" t="s">
        <v>29</v>
      </c>
      <c r="C497" s="44" t="s">
        <v>76</v>
      </c>
      <c r="D497" s="44" t="s">
        <v>640</v>
      </c>
      <c r="F497" s="79">
        <v>0</v>
      </c>
      <c r="H497" s="63">
        <f t="shared" si="209"/>
        <v>0</v>
      </c>
      <c r="I497" s="63">
        <f t="shared" si="209"/>
        <v>0</v>
      </c>
      <c r="J497" s="63">
        <f t="shared" si="209"/>
        <v>0</v>
      </c>
      <c r="K497" s="63">
        <f t="shared" si="209"/>
        <v>0</v>
      </c>
      <c r="L497" s="63">
        <f t="shared" si="209"/>
        <v>0</v>
      </c>
      <c r="M497" s="63">
        <f t="shared" si="209"/>
        <v>0</v>
      </c>
      <c r="N497" s="63">
        <f t="shared" si="209"/>
        <v>0</v>
      </c>
      <c r="O497" s="63">
        <f t="shared" si="209"/>
        <v>0</v>
      </c>
      <c r="P497" s="63">
        <f t="shared" si="209"/>
        <v>0</v>
      </c>
      <c r="Q497" s="63">
        <f t="shared" si="209"/>
        <v>0</v>
      </c>
      <c r="R497" s="63">
        <f t="shared" si="210"/>
        <v>0</v>
      </c>
      <c r="S497" s="63">
        <f t="shared" si="210"/>
        <v>0</v>
      </c>
      <c r="T497" s="63">
        <f t="shared" si="210"/>
        <v>0</v>
      </c>
      <c r="U497" s="63">
        <f t="shared" si="210"/>
        <v>0</v>
      </c>
      <c r="V497" s="63">
        <f t="shared" si="210"/>
        <v>0</v>
      </c>
      <c r="W497" s="63">
        <f t="shared" si="210"/>
        <v>0</v>
      </c>
      <c r="X497" s="63">
        <f t="shared" si="210"/>
        <v>0</v>
      </c>
      <c r="Y497" s="63">
        <f t="shared" si="210"/>
        <v>0</v>
      </c>
      <c r="Z497" s="63">
        <f t="shared" si="210"/>
        <v>0</v>
      </c>
      <c r="AA497" s="63">
        <f t="shared" si="210"/>
        <v>0</v>
      </c>
      <c r="AB497" s="63">
        <f t="shared" si="210"/>
        <v>0</v>
      </c>
      <c r="AC497" s="63">
        <f t="shared" si="210"/>
        <v>0</v>
      </c>
      <c r="AD497" s="63">
        <f t="shared" si="210"/>
        <v>0</v>
      </c>
      <c r="AE497" s="63">
        <f t="shared" si="210"/>
        <v>0</v>
      </c>
      <c r="AF497" s="63">
        <f>SUM(H497:AE497)</f>
        <v>0</v>
      </c>
      <c r="AG497" s="58" t="str">
        <f>IF(ABS(AF497-F497)&lt;1,"ok","err")</f>
        <v>ok</v>
      </c>
    </row>
    <row r="498" spans="1:33" ht="14.1">
      <c r="A498" s="65"/>
      <c r="B498" s="60"/>
      <c r="F498" s="79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58"/>
    </row>
    <row r="499" spans="1:33">
      <c r="A499" s="60" t="s">
        <v>111</v>
      </c>
      <c r="B499" s="60"/>
      <c r="C499" s="44" t="s">
        <v>78</v>
      </c>
      <c r="F499" s="76">
        <f>SUM(F493:F498)</f>
        <v>4982418.5600000005</v>
      </c>
      <c r="G499" s="62">
        <f>SUM(G493:G498)</f>
        <v>0</v>
      </c>
      <c r="H499" s="62">
        <f t="shared" ref="H499:M499" si="211">SUM(H493:H498)</f>
        <v>0</v>
      </c>
      <c r="I499" s="62">
        <f t="shared" si="211"/>
        <v>0</v>
      </c>
      <c r="J499" s="62">
        <f t="shared" si="211"/>
        <v>0</v>
      </c>
      <c r="K499" s="62">
        <f t="shared" si="211"/>
        <v>0</v>
      </c>
      <c r="L499" s="62">
        <f t="shared" si="211"/>
        <v>0</v>
      </c>
      <c r="M499" s="62">
        <f t="shared" si="211"/>
        <v>0</v>
      </c>
      <c r="N499" s="62">
        <f>SUM(N493:N498)</f>
        <v>0</v>
      </c>
      <c r="O499" s="62">
        <f>SUM(O493:O498)</f>
        <v>0</v>
      </c>
      <c r="P499" s="62">
        <f>SUM(P493:P498)</f>
        <v>0</v>
      </c>
      <c r="Q499" s="62">
        <f t="shared" ref="Q499:AB499" si="212">SUM(Q493:Q498)</f>
        <v>0</v>
      </c>
      <c r="R499" s="62">
        <f t="shared" si="212"/>
        <v>0</v>
      </c>
      <c r="S499" s="62">
        <f t="shared" si="212"/>
        <v>0</v>
      </c>
      <c r="T499" s="62">
        <f t="shared" si="212"/>
        <v>0</v>
      </c>
      <c r="U499" s="62">
        <f t="shared" si="212"/>
        <v>0</v>
      </c>
      <c r="V499" s="62">
        <f t="shared" si="212"/>
        <v>0</v>
      </c>
      <c r="W499" s="62">
        <f t="shared" si="212"/>
        <v>0</v>
      </c>
      <c r="X499" s="62">
        <f t="shared" si="212"/>
        <v>0</v>
      </c>
      <c r="Y499" s="62">
        <f t="shared" si="212"/>
        <v>0</v>
      </c>
      <c r="Z499" s="62">
        <f t="shared" si="212"/>
        <v>0</v>
      </c>
      <c r="AA499" s="62">
        <f t="shared" si="212"/>
        <v>0</v>
      </c>
      <c r="AB499" s="62">
        <f t="shared" si="212"/>
        <v>0</v>
      </c>
      <c r="AC499" s="62">
        <f>SUM(AC493:AC498)</f>
        <v>4982418.5600000005</v>
      </c>
      <c r="AD499" s="62">
        <f>SUM(AD493:AD498)</f>
        <v>0</v>
      </c>
      <c r="AE499" s="62">
        <f>SUM(AE493:AE498)</f>
        <v>0</v>
      </c>
      <c r="AF499" s="63">
        <f>SUM(H499:AE499)</f>
        <v>4982418.5600000005</v>
      </c>
      <c r="AG499" s="58" t="str">
        <f>IF(ABS(AF499-F499)&lt;1,"ok","err")</f>
        <v>ok</v>
      </c>
    </row>
    <row r="500" spans="1:33">
      <c r="A500" s="60"/>
      <c r="B500" s="60"/>
      <c r="F500" s="79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G500" s="58"/>
    </row>
    <row r="501" spans="1:33" ht="14.1">
      <c r="A501" s="65" t="s">
        <v>960</v>
      </c>
      <c r="B501" s="60"/>
      <c r="F501" s="79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G501" s="58"/>
    </row>
    <row r="502" spans="1:33">
      <c r="A502" s="60">
        <v>907</v>
      </c>
      <c r="B502" s="60" t="s">
        <v>1081</v>
      </c>
      <c r="C502" s="44" t="s">
        <v>79</v>
      </c>
      <c r="D502" s="44" t="s">
        <v>641</v>
      </c>
      <c r="F502" s="76">
        <v>145427.88</v>
      </c>
      <c r="H502" s="63">
        <f t="shared" ref="H502:Q512" si="213">IF(VLOOKUP($D502,$C$6:$AE$653,H$2,)=0,0,((VLOOKUP($D502,$C$6:$AE$653,H$2,)/VLOOKUP($D502,$C$6:$AE$653,4,))*$F502))</f>
        <v>0</v>
      </c>
      <c r="I502" s="63">
        <f t="shared" si="213"/>
        <v>0</v>
      </c>
      <c r="J502" s="63">
        <f t="shared" si="213"/>
        <v>0</v>
      </c>
      <c r="K502" s="63">
        <f t="shared" si="213"/>
        <v>0</v>
      </c>
      <c r="L502" s="63">
        <f t="shared" si="213"/>
        <v>0</v>
      </c>
      <c r="M502" s="63">
        <f t="shared" si="213"/>
        <v>0</v>
      </c>
      <c r="N502" s="63">
        <f t="shared" si="213"/>
        <v>0</v>
      </c>
      <c r="O502" s="63">
        <f t="shared" si="213"/>
        <v>0</v>
      </c>
      <c r="P502" s="63">
        <f t="shared" si="213"/>
        <v>0</v>
      </c>
      <c r="Q502" s="63">
        <f t="shared" si="213"/>
        <v>0</v>
      </c>
      <c r="R502" s="63">
        <f t="shared" ref="R502:AE512" si="214">IF(VLOOKUP($D502,$C$6:$AE$653,R$2,)=0,0,((VLOOKUP($D502,$C$6:$AE$653,R$2,)/VLOOKUP($D502,$C$6:$AE$653,4,))*$F502))</f>
        <v>0</v>
      </c>
      <c r="S502" s="63">
        <f t="shared" si="214"/>
        <v>0</v>
      </c>
      <c r="T502" s="63">
        <f t="shared" si="214"/>
        <v>0</v>
      </c>
      <c r="U502" s="63">
        <f t="shared" si="214"/>
        <v>0</v>
      </c>
      <c r="V502" s="63">
        <f t="shared" si="214"/>
        <v>0</v>
      </c>
      <c r="W502" s="63">
        <f t="shared" si="214"/>
        <v>0</v>
      </c>
      <c r="X502" s="63">
        <f t="shared" si="214"/>
        <v>0</v>
      </c>
      <c r="Y502" s="63">
        <f t="shared" si="214"/>
        <v>0</v>
      </c>
      <c r="Z502" s="63">
        <f t="shared" si="214"/>
        <v>0</v>
      </c>
      <c r="AA502" s="63">
        <f t="shared" si="214"/>
        <v>0</v>
      </c>
      <c r="AB502" s="63">
        <f t="shared" si="214"/>
        <v>0</v>
      </c>
      <c r="AC502" s="63">
        <f t="shared" si="214"/>
        <v>0</v>
      </c>
      <c r="AD502" s="63">
        <f t="shared" si="214"/>
        <v>145427.88</v>
      </c>
      <c r="AE502" s="63">
        <f t="shared" si="214"/>
        <v>0</v>
      </c>
      <c r="AF502" s="63">
        <f t="shared" ref="AF502:AF512" si="215">SUM(H502:AE502)</f>
        <v>145427.88</v>
      </c>
      <c r="AG502" s="58" t="str">
        <f t="shared" ref="AG502:AG512" si="216">IF(ABS(AF502-F502)&lt;1,"ok","err")</f>
        <v>ok</v>
      </c>
    </row>
    <row r="503" spans="1:33">
      <c r="A503" s="60">
        <v>908</v>
      </c>
      <c r="B503" s="60" t="s">
        <v>963</v>
      </c>
      <c r="C503" s="44" t="s">
        <v>80</v>
      </c>
      <c r="D503" s="44" t="s">
        <v>641</v>
      </c>
      <c r="F503" s="79">
        <v>617471.42000000004</v>
      </c>
      <c r="H503" s="63">
        <f t="shared" si="213"/>
        <v>0</v>
      </c>
      <c r="I503" s="63">
        <f t="shared" si="213"/>
        <v>0</v>
      </c>
      <c r="J503" s="63">
        <f t="shared" si="213"/>
        <v>0</v>
      </c>
      <c r="K503" s="63">
        <f t="shared" si="213"/>
        <v>0</v>
      </c>
      <c r="L503" s="63">
        <f t="shared" si="213"/>
        <v>0</v>
      </c>
      <c r="M503" s="63">
        <f t="shared" si="213"/>
        <v>0</v>
      </c>
      <c r="N503" s="63">
        <f t="shared" si="213"/>
        <v>0</v>
      </c>
      <c r="O503" s="63">
        <f t="shared" si="213"/>
        <v>0</v>
      </c>
      <c r="P503" s="63">
        <f t="shared" si="213"/>
        <v>0</v>
      </c>
      <c r="Q503" s="63">
        <f t="shared" si="213"/>
        <v>0</v>
      </c>
      <c r="R503" s="63">
        <f t="shared" si="214"/>
        <v>0</v>
      </c>
      <c r="S503" s="63">
        <f t="shared" si="214"/>
        <v>0</v>
      </c>
      <c r="T503" s="63">
        <f t="shared" si="214"/>
        <v>0</v>
      </c>
      <c r="U503" s="63">
        <f t="shared" si="214"/>
        <v>0</v>
      </c>
      <c r="V503" s="63">
        <f t="shared" si="214"/>
        <v>0</v>
      </c>
      <c r="W503" s="63">
        <f t="shared" si="214"/>
        <v>0</v>
      </c>
      <c r="X503" s="63">
        <f t="shared" si="214"/>
        <v>0</v>
      </c>
      <c r="Y503" s="63">
        <f t="shared" si="214"/>
        <v>0</v>
      </c>
      <c r="Z503" s="63">
        <f t="shared" si="214"/>
        <v>0</v>
      </c>
      <c r="AA503" s="63">
        <f t="shared" si="214"/>
        <v>0</v>
      </c>
      <c r="AB503" s="63">
        <f t="shared" si="214"/>
        <v>0</v>
      </c>
      <c r="AC503" s="63">
        <f t="shared" si="214"/>
        <v>0</v>
      </c>
      <c r="AD503" s="63">
        <f t="shared" si="214"/>
        <v>617471.42000000004</v>
      </c>
      <c r="AE503" s="63">
        <f t="shared" si="214"/>
        <v>0</v>
      </c>
      <c r="AF503" s="63">
        <f t="shared" si="215"/>
        <v>617471.42000000004</v>
      </c>
      <c r="AG503" s="58" t="str">
        <f t="shared" si="216"/>
        <v>ok</v>
      </c>
    </row>
    <row r="504" spans="1:33">
      <c r="A504" s="60">
        <v>908</v>
      </c>
      <c r="B504" s="60" t="s">
        <v>30</v>
      </c>
      <c r="C504" s="44" t="s">
        <v>81</v>
      </c>
      <c r="D504" s="44" t="s">
        <v>641</v>
      </c>
      <c r="F504" s="79">
        <v>0</v>
      </c>
      <c r="H504" s="63">
        <f t="shared" si="213"/>
        <v>0</v>
      </c>
      <c r="I504" s="63">
        <f t="shared" si="213"/>
        <v>0</v>
      </c>
      <c r="J504" s="63">
        <f t="shared" si="213"/>
        <v>0</v>
      </c>
      <c r="K504" s="63">
        <f t="shared" si="213"/>
        <v>0</v>
      </c>
      <c r="L504" s="63">
        <f t="shared" si="213"/>
        <v>0</v>
      </c>
      <c r="M504" s="63">
        <f t="shared" si="213"/>
        <v>0</v>
      </c>
      <c r="N504" s="63">
        <f t="shared" si="213"/>
        <v>0</v>
      </c>
      <c r="O504" s="63">
        <f t="shared" si="213"/>
        <v>0</v>
      </c>
      <c r="P504" s="63">
        <f t="shared" si="213"/>
        <v>0</v>
      </c>
      <c r="Q504" s="63">
        <f t="shared" si="213"/>
        <v>0</v>
      </c>
      <c r="R504" s="63">
        <f t="shared" si="214"/>
        <v>0</v>
      </c>
      <c r="S504" s="63">
        <f t="shared" si="214"/>
        <v>0</v>
      </c>
      <c r="T504" s="63">
        <f t="shared" si="214"/>
        <v>0</v>
      </c>
      <c r="U504" s="63">
        <f t="shared" si="214"/>
        <v>0</v>
      </c>
      <c r="V504" s="63">
        <f t="shared" si="214"/>
        <v>0</v>
      </c>
      <c r="W504" s="63">
        <f t="shared" si="214"/>
        <v>0</v>
      </c>
      <c r="X504" s="63">
        <f t="shared" si="214"/>
        <v>0</v>
      </c>
      <c r="Y504" s="63">
        <f t="shared" si="214"/>
        <v>0</v>
      </c>
      <c r="Z504" s="63">
        <f t="shared" si="214"/>
        <v>0</v>
      </c>
      <c r="AA504" s="63">
        <f t="shared" si="214"/>
        <v>0</v>
      </c>
      <c r="AB504" s="63">
        <f t="shared" si="214"/>
        <v>0</v>
      </c>
      <c r="AC504" s="63">
        <f t="shared" si="214"/>
        <v>0</v>
      </c>
      <c r="AD504" s="63">
        <f t="shared" si="214"/>
        <v>0</v>
      </c>
      <c r="AE504" s="63">
        <f t="shared" si="214"/>
        <v>0</v>
      </c>
      <c r="AF504" s="63">
        <f t="shared" si="215"/>
        <v>0</v>
      </c>
      <c r="AG504" s="58" t="str">
        <f t="shared" si="216"/>
        <v>ok</v>
      </c>
    </row>
    <row r="505" spans="1:33">
      <c r="A505" s="60">
        <v>909</v>
      </c>
      <c r="B505" s="60" t="s">
        <v>965</v>
      </c>
      <c r="C505" s="44" t="s">
        <v>82</v>
      </c>
      <c r="D505" s="44" t="s">
        <v>641</v>
      </c>
      <c r="F505" s="79">
        <v>0</v>
      </c>
      <c r="H505" s="63">
        <f t="shared" si="213"/>
        <v>0</v>
      </c>
      <c r="I505" s="63">
        <f t="shared" si="213"/>
        <v>0</v>
      </c>
      <c r="J505" s="63">
        <f t="shared" si="213"/>
        <v>0</v>
      </c>
      <c r="K505" s="63">
        <f t="shared" si="213"/>
        <v>0</v>
      </c>
      <c r="L505" s="63">
        <f t="shared" si="213"/>
        <v>0</v>
      </c>
      <c r="M505" s="63">
        <f t="shared" si="213"/>
        <v>0</v>
      </c>
      <c r="N505" s="63">
        <f t="shared" si="213"/>
        <v>0</v>
      </c>
      <c r="O505" s="63">
        <f t="shared" si="213"/>
        <v>0</v>
      </c>
      <c r="P505" s="63">
        <f t="shared" si="213"/>
        <v>0</v>
      </c>
      <c r="Q505" s="63">
        <f t="shared" si="213"/>
        <v>0</v>
      </c>
      <c r="R505" s="63">
        <f t="shared" si="214"/>
        <v>0</v>
      </c>
      <c r="S505" s="63">
        <f t="shared" si="214"/>
        <v>0</v>
      </c>
      <c r="T505" s="63">
        <f t="shared" si="214"/>
        <v>0</v>
      </c>
      <c r="U505" s="63">
        <f t="shared" si="214"/>
        <v>0</v>
      </c>
      <c r="V505" s="63">
        <f t="shared" si="214"/>
        <v>0</v>
      </c>
      <c r="W505" s="63">
        <f t="shared" si="214"/>
        <v>0</v>
      </c>
      <c r="X505" s="63">
        <f t="shared" si="214"/>
        <v>0</v>
      </c>
      <c r="Y505" s="63">
        <f t="shared" si="214"/>
        <v>0</v>
      </c>
      <c r="Z505" s="63">
        <f t="shared" si="214"/>
        <v>0</v>
      </c>
      <c r="AA505" s="63">
        <f t="shared" si="214"/>
        <v>0</v>
      </c>
      <c r="AB505" s="63">
        <f t="shared" si="214"/>
        <v>0</v>
      </c>
      <c r="AC505" s="63">
        <f t="shared" si="214"/>
        <v>0</v>
      </c>
      <c r="AD505" s="63">
        <f t="shared" si="214"/>
        <v>0</v>
      </c>
      <c r="AE505" s="63">
        <f t="shared" si="214"/>
        <v>0</v>
      </c>
      <c r="AF505" s="63">
        <f t="shared" si="215"/>
        <v>0</v>
      </c>
      <c r="AG505" s="58" t="str">
        <f t="shared" si="216"/>
        <v>ok</v>
      </c>
    </row>
    <row r="506" spans="1:33">
      <c r="A506" s="60">
        <v>909</v>
      </c>
      <c r="B506" s="60" t="s">
        <v>32</v>
      </c>
      <c r="C506" s="44" t="s">
        <v>83</v>
      </c>
      <c r="D506" s="44" t="s">
        <v>641</v>
      </c>
      <c r="F506" s="79">
        <v>0</v>
      </c>
      <c r="H506" s="63">
        <f t="shared" si="213"/>
        <v>0</v>
      </c>
      <c r="I506" s="63">
        <f t="shared" si="213"/>
        <v>0</v>
      </c>
      <c r="J506" s="63">
        <f t="shared" si="213"/>
        <v>0</v>
      </c>
      <c r="K506" s="63">
        <f t="shared" si="213"/>
        <v>0</v>
      </c>
      <c r="L506" s="63">
        <f t="shared" si="213"/>
        <v>0</v>
      </c>
      <c r="M506" s="63">
        <f t="shared" si="213"/>
        <v>0</v>
      </c>
      <c r="N506" s="63">
        <f t="shared" si="213"/>
        <v>0</v>
      </c>
      <c r="O506" s="63">
        <f t="shared" si="213"/>
        <v>0</v>
      </c>
      <c r="P506" s="63">
        <f t="shared" si="213"/>
        <v>0</v>
      </c>
      <c r="Q506" s="63">
        <f t="shared" si="213"/>
        <v>0</v>
      </c>
      <c r="R506" s="63">
        <f t="shared" si="214"/>
        <v>0</v>
      </c>
      <c r="S506" s="63">
        <f t="shared" si="214"/>
        <v>0</v>
      </c>
      <c r="T506" s="63">
        <f t="shared" si="214"/>
        <v>0</v>
      </c>
      <c r="U506" s="63">
        <f t="shared" si="214"/>
        <v>0</v>
      </c>
      <c r="V506" s="63">
        <f t="shared" si="214"/>
        <v>0</v>
      </c>
      <c r="W506" s="63">
        <f t="shared" si="214"/>
        <v>0</v>
      </c>
      <c r="X506" s="63">
        <f t="shared" si="214"/>
        <v>0</v>
      </c>
      <c r="Y506" s="63">
        <f t="shared" si="214"/>
        <v>0</v>
      </c>
      <c r="Z506" s="63">
        <f t="shared" si="214"/>
        <v>0</v>
      </c>
      <c r="AA506" s="63">
        <f t="shared" si="214"/>
        <v>0</v>
      </c>
      <c r="AB506" s="63">
        <f t="shared" si="214"/>
        <v>0</v>
      </c>
      <c r="AC506" s="63">
        <f t="shared" si="214"/>
        <v>0</v>
      </c>
      <c r="AD506" s="63">
        <f t="shared" si="214"/>
        <v>0</v>
      </c>
      <c r="AE506" s="63">
        <f t="shared" si="214"/>
        <v>0</v>
      </c>
      <c r="AF506" s="63">
        <f t="shared" si="215"/>
        <v>0</v>
      </c>
      <c r="AG506" s="58" t="str">
        <f t="shared" si="216"/>
        <v>ok</v>
      </c>
    </row>
    <row r="507" spans="1:33">
      <c r="A507" s="60">
        <v>910</v>
      </c>
      <c r="B507" s="60" t="s">
        <v>967</v>
      </c>
      <c r="C507" s="44" t="s">
        <v>84</v>
      </c>
      <c r="D507" s="44" t="s">
        <v>641</v>
      </c>
      <c r="F507" s="79">
        <v>322552.62</v>
      </c>
      <c r="H507" s="63">
        <f t="shared" si="213"/>
        <v>0</v>
      </c>
      <c r="I507" s="63">
        <f t="shared" si="213"/>
        <v>0</v>
      </c>
      <c r="J507" s="63">
        <f t="shared" si="213"/>
        <v>0</v>
      </c>
      <c r="K507" s="63">
        <f t="shared" si="213"/>
        <v>0</v>
      </c>
      <c r="L507" s="63">
        <f t="shared" si="213"/>
        <v>0</v>
      </c>
      <c r="M507" s="63">
        <f t="shared" si="213"/>
        <v>0</v>
      </c>
      <c r="N507" s="63">
        <f t="shared" si="213"/>
        <v>0</v>
      </c>
      <c r="O507" s="63">
        <f t="shared" si="213"/>
        <v>0</v>
      </c>
      <c r="P507" s="63">
        <f t="shared" si="213"/>
        <v>0</v>
      </c>
      <c r="Q507" s="63">
        <f t="shared" si="213"/>
        <v>0</v>
      </c>
      <c r="R507" s="63">
        <f t="shared" si="214"/>
        <v>0</v>
      </c>
      <c r="S507" s="63">
        <f t="shared" si="214"/>
        <v>0</v>
      </c>
      <c r="T507" s="63">
        <f t="shared" si="214"/>
        <v>0</v>
      </c>
      <c r="U507" s="63">
        <f t="shared" si="214"/>
        <v>0</v>
      </c>
      <c r="V507" s="63">
        <f t="shared" si="214"/>
        <v>0</v>
      </c>
      <c r="W507" s="63">
        <f t="shared" si="214"/>
        <v>0</v>
      </c>
      <c r="X507" s="63">
        <f t="shared" si="214"/>
        <v>0</v>
      </c>
      <c r="Y507" s="63">
        <f t="shared" si="214"/>
        <v>0</v>
      </c>
      <c r="Z507" s="63">
        <f t="shared" si="214"/>
        <v>0</v>
      </c>
      <c r="AA507" s="63">
        <f t="shared" si="214"/>
        <v>0</v>
      </c>
      <c r="AB507" s="63">
        <f t="shared" si="214"/>
        <v>0</v>
      </c>
      <c r="AC507" s="63">
        <f t="shared" si="214"/>
        <v>0</v>
      </c>
      <c r="AD507" s="63">
        <f t="shared" si="214"/>
        <v>322552.62</v>
      </c>
      <c r="AE507" s="63">
        <f t="shared" si="214"/>
        <v>0</v>
      </c>
      <c r="AF507" s="63">
        <f t="shared" si="215"/>
        <v>322552.62</v>
      </c>
      <c r="AG507" s="58" t="str">
        <f t="shared" si="216"/>
        <v>ok</v>
      </c>
    </row>
    <row r="508" spans="1:33">
      <c r="A508" s="60">
        <v>911</v>
      </c>
      <c r="B508" s="60" t="s">
        <v>147</v>
      </c>
      <c r="C508" s="44" t="s">
        <v>169</v>
      </c>
      <c r="D508" s="44" t="s">
        <v>641</v>
      </c>
      <c r="F508" s="79">
        <v>0</v>
      </c>
      <c r="H508" s="63">
        <f t="shared" si="213"/>
        <v>0</v>
      </c>
      <c r="I508" s="63">
        <f t="shared" si="213"/>
        <v>0</v>
      </c>
      <c r="J508" s="63">
        <f t="shared" si="213"/>
        <v>0</v>
      </c>
      <c r="K508" s="63">
        <f t="shared" si="213"/>
        <v>0</v>
      </c>
      <c r="L508" s="63">
        <f t="shared" si="213"/>
        <v>0</v>
      </c>
      <c r="M508" s="63">
        <f t="shared" si="213"/>
        <v>0</v>
      </c>
      <c r="N508" s="63">
        <f t="shared" si="213"/>
        <v>0</v>
      </c>
      <c r="O508" s="63">
        <f t="shared" si="213"/>
        <v>0</v>
      </c>
      <c r="P508" s="63">
        <f t="shared" si="213"/>
        <v>0</v>
      </c>
      <c r="Q508" s="63">
        <f t="shared" si="213"/>
        <v>0</v>
      </c>
      <c r="R508" s="63">
        <f t="shared" si="214"/>
        <v>0</v>
      </c>
      <c r="S508" s="63">
        <f t="shared" si="214"/>
        <v>0</v>
      </c>
      <c r="T508" s="63">
        <f t="shared" si="214"/>
        <v>0</v>
      </c>
      <c r="U508" s="63">
        <f t="shared" si="214"/>
        <v>0</v>
      </c>
      <c r="V508" s="63">
        <f t="shared" si="214"/>
        <v>0</v>
      </c>
      <c r="W508" s="63">
        <f t="shared" si="214"/>
        <v>0</v>
      </c>
      <c r="X508" s="63">
        <f t="shared" si="214"/>
        <v>0</v>
      </c>
      <c r="Y508" s="63">
        <f t="shared" si="214"/>
        <v>0</v>
      </c>
      <c r="Z508" s="63">
        <f t="shared" si="214"/>
        <v>0</v>
      </c>
      <c r="AA508" s="63">
        <f t="shared" si="214"/>
        <v>0</v>
      </c>
      <c r="AB508" s="63">
        <f t="shared" si="214"/>
        <v>0</v>
      </c>
      <c r="AC508" s="63">
        <f t="shared" si="214"/>
        <v>0</v>
      </c>
      <c r="AD508" s="63">
        <f t="shared" si="214"/>
        <v>0</v>
      </c>
      <c r="AE508" s="63">
        <f t="shared" si="214"/>
        <v>0</v>
      </c>
      <c r="AF508" s="63">
        <f t="shared" si="215"/>
        <v>0</v>
      </c>
      <c r="AG508" s="58" t="str">
        <f t="shared" si="216"/>
        <v>ok</v>
      </c>
    </row>
    <row r="509" spans="1:33">
      <c r="A509" s="60">
        <v>912</v>
      </c>
      <c r="B509" s="60" t="s">
        <v>147</v>
      </c>
      <c r="C509" s="44" t="s">
        <v>150</v>
      </c>
      <c r="D509" s="44" t="s">
        <v>641</v>
      </c>
      <c r="F509" s="79">
        <v>0</v>
      </c>
      <c r="H509" s="63">
        <f t="shared" si="213"/>
        <v>0</v>
      </c>
      <c r="I509" s="63">
        <f t="shared" si="213"/>
        <v>0</v>
      </c>
      <c r="J509" s="63">
        <f t="shared" si="213"/>
        <v>0</v>
      </c>
      <c r="K509" s="63">
        <f t="shared" si="213"/>
        <v>0</v>
      </c>
      <c r="L509" s="63">
        <f t="shared" si="213"/>
        <v>0</v>
      </c>
      <c r="M509" s="63">
        <f t="shared" si="213"/>
        <v>0</v>
      </c>
      <c r="N509" s="63">
        <f t="shared" si="213"/>
        <v>0</v>
      </c>
      <c r="O509" s="63">
        <f t="shared" si="213"/>
        <v>0</v>
      </c>
      <c r="P509" s="63">
        <f t="shared" si="213"/>
        <v>0</v>
      </c>
      <c r="Q509" s="63">
        <f t="shared" si="213"/>
        <v>0</v>
      </c>
      <c r="R509" s="63">
        <f t="shared" si="214"/>
        <v>0</v>
      </c>
      <c r="S509" s="63">
        <f t="shared" si="214"/>
        <v>0</v>
      </c>
      <c r="T509" s="63">
        <f t="shared" si="214"/>
        <v>0</v>
      </c>
      <c r="U509" s="63">
        <f t="shared" si="214"/>
        <v>0</v>
      </c>
      <c r="V509" s="63">
        <f t="shared" si="214"/>
        <v>0</v>
      </c>
      <c r="W509" s="63">
        <f t="shared" si="214"/>
        <v>0</v>
      </c>
      <c r="X509" s="63">
        <f t="shared" si="214"/>
        <v>0</v>
      </c>
      <c r="Y509" s="63">
        <f t="shared" si="214"/>
        <v>0</v>
      </c>
      <c r="Z509" s="63">
        <f t="shared" si="214"/>
        <v>0</v>
      </c>
      <c r="AA509" s="63">
        <f t="shared" si="214"/>
        <v>0</v>
      </c>
      <c r="AB509" s="63">
        <f t="shared" si="214"/>
        <v>0</v>
      </c>
      <c r="AC509" s="63">
        <f t="shared" si="214"/>
        <v>0</v>
      </c>
      <c r="AD509" s="63">
        <f t="shared" si="214"/>
        <v>0</v>
      </c>
      <c r="AE509" s="63">
        <f t="shared" si="214"/>
        <v>0</v>
      </c>
      <c r="AF509" s="63">
        <f t="shared" si="215"/>
        <v>0</v>
      </c>
      <c r="AG509" s="58" t="str">
        <f t="shared" si="216"/>
        <v>ok</v>
      </c>
    </row>
    <row r="510" spans="1:33">
      <c r="A510" s="60">
        <v>913</v>
      </c>
      <c r="B510" s="60" t="s">
        <v>137</v>
      </c>
      <c r="C510" s="44" t="s">
        <v>151</v>
      </c>
      <c r="D510" s="44" t="s">
        <v>641</v>
      </c>
      <c r="F510" s="79">
        <v>0</v>
      </c>
      <c r="H510" s="63">
        <f t="shared" si="213"/>
        <v>0</v>
      </c>
      <c r="I510" s="63">
        <f t="shared" si="213"/>
        <v>0</v>
      </c>
      <c r="J510" s="63">
        <f t="shared" si="213"/>
        <v>0</v>
      </c>
      <c r="K510" s="63">
        <f t="shared" si="213"/>
        <v>0</v>
      </c>
      <c r="L510" s="63">
        <f t="shared" si="213"/>
        <v>0</v>
      </c>
      <c r="M510" s="63">
        <f t="shared" si="213"/>
        <v>0</v>
      </c>
      <c r="N510" s="63">
        <f t="shared" si="213"/>
        <v>0</v>
      </c>
      <c r="O510" s="63">
        <f t="shared" si="213"/>
        <v>0</v>
      </c>
      <c r="P510" s="63">
        <f t="shared" si="213"/>
        <v>0</v>
      </c>
      <c r="Q510" s="63">
        <f t="shared" si="213"/>
        <v>0</v>
      </c>
      <c r="R510" s="63">
        <f t="shared" si="214"/>
        <v>0</v>
      </c>
      <c r="S510" s="63">
        <f t="shared" si="214"/>
        <v>0</v>
      </c>
      <c r="T510" s="63">
        <f t="shared" si="214"/>
        <v>0</v>
      </c>
      <c r="U510" s="63">
        <f t="shared" si="214"/>
        <v>0</v>
      </c>
      <c r="V510" s="63">
        <f t="shared" si="214"/>
        <v>0</v>
      </c>
      <c r="W510" s="63">
        <f t="shared" si="214"/>
        <v>0</v>
      </c>
      <c r="X510" s="63">
        <f t="shared" si="214"/>
        <v>0</v>
      </c>
      <c r="Y510" s="63">
        <f t="shared" si="214"/>
        <v>0</v>
      </c>
      <c r="Z510" s="63">
        <f t="shared" si="214"/>
        <v>0</v>
      </c>
      <c r="AA510" s="63">
        <f t="shared" si="214"/>
        <v>0</v>
      </c>
      <c r="AB510" s="63">
        <f t="shared" si="214"/>
        <v>0</v>
      </c>
      <c r="AC510" s="63">
        <f t="shared" si="214"/>
        <v>0</v>
      </c>
      <c r="AD510" s="63">
        <f t="shared" si="214"/>
        <v>0</v>
      </c>
      <c r="AE510" s="63">
        <f t="shared" si="214"/>
        <v>0</v>
      </c>
      <c r="AF510" s="63">
        <f t="shared" si="215"/>
        <v>0</v>
      </c>
      <c r="AG510" s="58" t="str">
        <f t="shared" si="216"/>
        <v>ok</v>
      </c>
    </row>
    <row r="511" spans="1:33">
      <c r="A511" s="60">
        <v>915</v>
      </c>
      <c r="B511" s="60" t="s">
        <v>158</v>
      </c>
      <c r="C511" s="44" t="s">
        <v>161</v>
      </c>
      <c r="D511" s="44" t="s">
        <v>641</v>
      </c>
      <c r="F511" s="79">
        <v>0</v>
      </c>
      <c r="H511" s="63">
        <f t="shared" si="213"/>
        <v>0</v>
      </c>
      <c r="I511" s="63">
        <f t="shared" si="213"/>
        <v>0</v>
      </c>
      <c r="J511" s="63">
        <f t="shared" si="213"/>
        <v>0</v>
      </c>
      <c r="K511" s="63">
        <f t="shared" si="213"/>
        <v>0</v>
      </c>
      <c r="L511" s="63">
        <f t="shared" si="213"/>
        <v>0</v>
      </c>
      <c r="M511" s="63">
        <f t="shared" si="213"/>
        <v>0</v>
      </c>
      <c r="N511" s="63">
        <f t="shared" si="213"/>
        <v>0</v>
      </c>
      <c r="O511" s="63">
        <f t="shared" si="213"/>
        <v>0</v>
      </c>
      <c r="P511" s="63">
        <f t="shared" si="213"/>
        <v>0</v>
      </c>
      <c r="Q511" s="63">
        <f t="shared" si="213"/>
        <v>0</v>
      </c>
      <c r="R511" s="63">
        <f t="shared" si="214"/>
        <v>0</v>
      </c>
      <c r="S511" s="63">
        <f t="shared" si="214"/>
        <v>0</v>
      </c>
      <c r="T511" s="63">
        <f t="shared" si="214"/>
        <v>0</v>
      </c>
      <c r="U511" s="63">
        <f t="shared" si="214"/>
        <v>0</v>
      </c>
      <c r="V511" s="63">
        <f t="shared" si="214"/>
        <v>0</v>
      </c>
      <c r="W511" s="63">
        <f t="shared" si="214"/>
        <v>0</v>
      </c>
      <c r="X511" s="63">
        <f t="shared" si="214"/>
        <v>0</v>
      </c>
      <c r="Y511" s="63">
        <f t="shared" si="214"/>
        <v>0</v>
      </c>
      <c r="Z511" s="63">
        <f t="shared" si="214"/>
        <v>0</v>
      </c>
      <c r="AA511" s="63">
        <f t="shared" si="214"/>
        <v>0</v>
      </c>
      <c r="AB511" s="63">
        <f t="shared" si="214"/>
        <v>0</v>
      </c>
      <c r="AC511" s="63">
        <f t="shared" si="214"/>
        <v>0</v>
      </c>
      <c r="AD511" s="63">
        <f t="shared" si="214"/>
        <v>0</v>
      </c>
      <c r="AE511" s="63">
        <f t="shared" si="214"/>
        <v>0</v>
      </c>
      <c r="AF511" s="63">
        <f t="shared" si="215"/>
        <v>0</v>
      </c>
      <c r="AG511" s="58" t="str">
        <f t="shared" si="216"/>
        <v>ok</v>
      </c>
    </row>
    <row r="512" spans="1:33">
      <c r="A512" s="60">
        <v>916</v>
      </c>
      <c r="B512" s="60" t="s">
        <v>159</v>
      </c>
      <c r="C512" s="44" t="s">
        <v>162</v>
      </c>
      <c r="D512" s="44" t="s">
        <v>641</v>
      </c>
      <c r="F512" s="79">
        <v>0</v>
      </c>
      <c r="H512" s="63">
        <f t="shared" si="213"/>
        <v>0</v>
      </c>
      <c r="I512" s="63">
        <f t="shared" si="213"/>
        <v>0</v>
      </c>
      <c r="J512" s="63">
        <f t="shared" si="213"/>
        <v>0</v>
      </c>
      <c r="K512" s="63">
        <f t="shared" si="213"/>
        <v>0</v>
      </c>
      <c r="L512" s="63">
        <f t="shared" si="213"/>
        <v>0</v>
      </c>
      <c r="M512" s="63">
        <f t="shared" si="213"/>
        <v>0</v>
      </c>
      <c r="N512" s="63">
        <f t="shared" si="213"/>
        <v>0</v>
      </c>
      <c r="O512" s="63">
        <f t="shared" si="213"/>
        <v>0</v>
      </c>
      <c r="P512" s="63">
        <f t="shared" si="213"/>
        <v>0</v>
      </c>
      <c r="Q512" s="63">
        <f t="shared" si="213"/>
        <v>0</v>
      </c>
      <c r="R512" s="63">
        <f t="shared" si="214"/>
        <v>0</v>
      </c>
      <c r="S512" s="63">
        <f t="shared" si="214"/>
        <v>0</v>
      </c>
      <c r="T512" s="63">
        <f t="shared" si="214"/>
        <v>0</v>
      </c>
      <c r="U512" s="63">
        <f t="shared" si="214"/>
        <v>0</v>
      </c>
      <c r="V512" s="63">
        <f t="shared" si="214"/>
        <v>0</v>
      </c>
      <c r="W512" s="63">
        <f t="shared" si="214"/>
        <v>0</v>
      </c>
      <c r="X512" s="63">
        <f t="shared" si="214"/>
        <v>0</v>
      </c>
      <c r="Y512" s="63">
        <f t="shared" si="214"/>
        <v>0</v>
      </c>
      <c r="Z512" s="63">
        <f t="shared" si="214"/>
        <v>0</v>
      </c>
      <c r="AA512" s="63">
        <f t="shared" si="214"/>
        <v>0</v>
      </c>
      <c r="AB512" s="63">
        <f t="shared" si="214"/>
        <v>0</v>
      </c>
      <c r="AC512" s="63">
        <f t="shared" si="214"/>
        <v>0</v>
      </c>
      <c r="AD512" s="63">
        <f t="shared" si="214"/>
        <v>0</v>
      </c>
      <c r="AE512" s="63">
        <f t="shared" si="214"/>
        <v>0</v>
      </c>
      <c r="AF512" s="63">
        <f t="shared" si="215"/>
        <v>0</v>
      </c>
      <c r="AG512" s="58" t="str">
        <f t="shared" si="216"/>
        <v>ok</v>
      </c>
    </row>
    <row r="513" spans="1:33">
      <c r="A513" s="60"/>
      <c r="B513" s="60"/>
      <c r="F513" s="79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8"/>
    </row>
    <row r="514" spans="1:33">
      <c r="A514" s="60" t="s">
        <v>112</v>
      </c>
      <c r="B514" s="60"/>
      <c r="C514" s="44" t="s">
        <v>85</v>
      </c>
      <c r="F514" s="76">
        <f>SUM(F502:F513)</f>
        <v>1085451.92</v>
      </c>
      <c r="G514" s="62">
        <f>SUM(G502:G513)</f>
        <v>0</v>
      </c>
      <c r="H514" s="62">
        <f t="shared" ref="H514:M514" si="217">SUM(H502:H513)</f>
        <v>0</v>
      </c>
      <c r="I514" s="62">
        <f t="shared" si="217"/>
        <v>0</v>
      </c>
      <c r="J514" s="62">
        <f t="shared" si="217"/>
        <v>0</v>
      </c>
      <c r="K514" s="62">
        <f t="shared" si="217"/>
        <v>0</v>
      </c>
      <c r="L514" s="62">
        <f t="shared" si="217"/>
        <v>0</v>
      </c>
      <c r="M514" s="62">
        <f t="shared" si="217"/>
        <v>0</v>
      </c>
      <c r="N514" s="62">
        <f>SUM(N502:N513)</f>
        <v>0</v>
      </c>
      <c r="O514" s="62">
        <f>SUM(O502:O513)</f>
        <v>0</v>
      </c>
      <c r="P514" s="62">
        <f>SUM(P502:P513)</f>
        <v>0</v>
      </c>
      <c r="Q514" s="62">
        <f t="shared" ref="Q514:AB514" si="218">SUM(Q502:Q513)</f>
        <v>0</v>
      </c>
      <c r="R514" s="62">
        <f t="shared" si="218"/>
        <v>0</v>
      </c>
      <c r="S514" s="62">
        <f t="shared" si="218"/>
        <v>0</v>
      </c>
      <c r="T514" s="62">
        <f t="shared" si="218"/>
        <v>0</v>
      </c>
      <c r="U514" s="62">
        <f t="shared" si="218"/>
        <v>0</v>
      </c>
      <c r="V514" s="62">
        <f t="shared" si="218"/>
        <v>0</v>
      </c>
      <c r="W514" s="62">
        <f t="shared" si="218"/>
        <v>0</v>
      </c>
      <c r="X514" s="62">
        <f t="shared" si="218"/>
        <v>0</v>
      </c>
      <c r="Y514" s="62">
        <f t="shared" si="218"/>
        <v>0</v>
      </c>
      <c r="Z514" s="62">
        <f t="shared" si="218"/>
        <v>0</v>
      </c>
      <c r="AA514" s="62">
        <f t="shared" si="218"/>
        <v>0</v>
      </c>
      <c r="AB514" s="62">
        <f t="shared" si="218"/>
        <v>0</v>
      </c>
      <c r="AC514" s="62">
        <f>SUM(AC502:AC513)</f>
        <v>0</v>
      </c>
      <c r="AD514" s="62">
        <f>SUM(AD502:AD513)</f>
        <v>1085451.92</v>
      </c>
      <c r="AE514" s="62">
        <f>SUM(AE502:AE513)</f>
        <v>0</v>
      </c>
      <c r="AF514" s="63">
        <f>SUM(H514:AE514)</f>
        <v>1085451.92</v>
      </c>
      <c r="AG514" s="58" t="str">
        <f>IF(ABS(AF514-F514)&lt;1,"ok","err")</f>
        <v>ok</v>
      </c>
    </row>
    <row r="515" spans="1:33">
      <c r="A515" s="60"/>
      <c r="B515" s="60"/>
      <c r="F515" s="79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G515" s="58"/>
    </row>
    <row r="516" spans="1:33">
      <c r="A516" s="60" t="s">
        <v>802</v>
      </c>
      <c r="B516" s="60"/>
      <c r="C516" s="44" t="s">
        <v>642</v>
      </c>
      <c r="F516" s="76">
        <f>F490+F499+F514</f>
        <v>55593293.480000004</v>
      </c>
      <c r="G516" s="63"/>
      <c r="H516" s="63">
        <f t="shared" ref="H516:AE516" si="219">H490+H499+H514</f>
        <v>18103460.25723663</v>
      </c>
      <c r="I516" s="63">
        <f t="shared" si="219"/>
        <v>0</v>
      </c>
      <c r="J516" s="63">
        <f t="shared" si="219"/>
        <v>0</v>
      </c>
      <c r="K516" s="63">
        <f t="shared" si="219"/>
        <v>15353660.74276337</v>
      </c>
      <c r="L516" s="63">
        <f t="shared" si="219"/>
        <v>0</v>
      </c>
      <c r="M516" s="63">
        <f t="shared" si="219"/>
        <v>0</v>
      </c>
      <c r="N516" s="63">
        <f t="shared" si="219"/>
        <v>4172132</v>
      </c>
      <c r="O516" s="63">
        <f t="shared" si="219"/>
        <v>0</v>
      </c>
      <c r="P516" s="63">
        <f t="shared" si="219"/>
        <v>0</v>
      </c>
      <c r="Q516" s="63">
        <f t="shared" si="219"/>
        <v>0</v>
      </c>
      <c r="R516" s="63">
        <f t="shared" si="219"/>
        <v>1736428.5437069198</v>
      </c>
      <c r="S516" s="63">
        <f t="shared" si="219"/>
        <v>0</v>
      </c>
      <c r="T516" s="63">
        <f t="shared" si="219"/>
        <v>1722280.9947074789</v>
      </c>
      <c r="U516" s="63">
        <f t="shared" si="219"/>
        <v>2910349.1223195679</v>
      </c>
      <c r="V516" s="63">
        <f t="shared" si="219"/>
        <v>571477.52169908036</v>
      </c>
      <c r="W516" s="63">
        <f t="shared" si="219"/>
        <v>995179.11754285323</v>
      </c>
      <c r="X516" s="63">
        <f t="shared" si="219"/>
        <v>156148.85638341264</v>
      </c>
      <c r="Y516" s="63">
        <f t="shared" si="219"/>
        <v>87038.607066968019</v>
      </c>
      <c r="Z516" s="63">
        <f t="shared" si="219"/>
        <v>39032.372273740795</v>
      </c>
      <c r="AA516" s="63">
        <f t="shared" si="219"/>
        <v>3543567.3806341151</v>
      </c>
      <c r="AB516" s="63">
        <f t="shared" si="219"/>
        <v>134667.48366586358</v>
      </c>
      <c r="AC516" s="63">
        <f t="shared" si="219"/>
        <v>4982418.5600000005</v>
      </c>
      <c r="AD516" s="63">
        <f t="shared" si="219"/>
        <v>1085451.92</v>
      </c>
      <c r="AE516" s="63">
        <f t="shared" si="219"/>
        <v>0</v>
      </c>
      <c r="AF516" s="63">
        <f>SUM(H516:AE516)</f>
        <v>55593293.480000004</v>
      </c>
      <c r="AG516" s="58" t="str">
        <f>IF(ABS(AF516-F516)&lt;1,"ok","err")</f>
        <v>ok</v>
      </c>
    </row>
    <row r="517" spans="1:33">
      <c r="A517" s="60"/>
      <c r="B517" s="60"/>
      <c r="F517" s="79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G517" s="58"/>
    </row>
    <row r="518" spans="1:33">
      <c r="A518" s="60"/>
      <c r="B518" s="60"/>
      <c r="F518" s="79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G518" s="58"/>
    </row>
    <row r="519" spans="1:33">
      <c r="A519" s="60"/>
      <c r="B519" s="60"/>
      <c r="F519" s="79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G519" s="58"/>
    </row>
    <row r="520" spans="1:33">
      <c r="A520" s="60"/>
      <c r="B520" s="60"/>
      <c r="F520" s="79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G520" s="58"/>
    </row>
    <row r="521" spans="1:33">
      <c r="A521" s="60"/>
      <c r="B521" s="60"/>
      <c r="F521" s="79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G521" s="58"/>
    </row>
    <row r="522" spans="1:33" ht="14.1">
      <c r="A522" s="59" t="s">
        <v>44</v>
      </c>
      <c r="B522" s="60"/>
      <c r="F522" s="79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G522" s="58"/>
    </row>
    <row r="523" spans="1:33">
      <c r="A523" s="60"/>
      <c r="B523" s="60"/>
      <c r="F523" s="79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G523" s="58"/>
    </row>
    <row r="524" spans="1:33" ht="14.1">
      <c r="A524" s="65" t="s">
        <v>971</v>
      </c>
      <c r="B524" s="60"/>
      <c r="F524" s="79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G524" s="58"/>
    </row>
    <row r="525" spans="1:33">
      <c r="A525" s="60">
        <v>920</v>
      </c>
      <c r="B525" s="60" t="s">
        <v>972</v>
      </c>
      <c r="C525" s="44" t="s">
        <v>87</v>
      </c>
      <c r="D525" s="44" t="s">
        <v>642</v>
      </c>
      <c r="F525" s="76">
        <v>20000454</v>
      </c>
      <c r="H525" s="63">
        <f t="shared" ref="H525:Q536" si="220">IF(VLOOKUP($D525,$C$6:$AE$653,H$2,)=0,0,((VLOOKUP($D525,$C$6:$AE$653,H$2,)/VLOOKUP($D525,$C$6:$AE$653,4,))*$F525))</f>
        <v>6512969.4869750571</v>
      </c>
      <c r="I525" s="63">
        <f t="shared" si="220"/>
        <v>0</v>
      </c>
      <c r="J525" s="63">
        <f t="shared" si="220"/>
        <v>0</v>
      </c>
      <c r="K525" s="63">
        <f t="shared" si="220"/>
        <v>5523691.1899763308</v>
      </c>
      <c r="L525" s="63">
        <f t="shared" si="220"/>
        <v>0</v>
      </c>
      <c r="M525" s="63">
        <f t="shared" si="220"/>
        <v>0</v>
      </c>
      <c r="N525" s="63">
        <f t="shared" si="220"/>
        <v>1500982.0236310991</v>
      </c>
      <c r="O525" s="63">
        <f t="shared" si="220"/>
        <v>0</v>
      </c>
      <c r="P525" s="63">
        <f t="shared" si="220"/>
        <v>0</v>
      </c>
      <c r="Q525" s="63">
        <f t="shared" si="220"/>
        <v>0</v>
      </c>
      <c r="R525" s="63">
        <f t="shared" ref="R525:AE536" si="221">IF(VLOOKUP($D525,$C$6:$AE$653,R$2,)=0,0,((VLOOKUP($D525,$C$6:$AE$653,R$2,)/VLOOKUP($D525,$C$6:$AE$653,4,))*$F525))</f>
        <v>624704.11516798008</v>
      </c>
      <c r="S525" s="63">
        <f t="shared" si="221"/>
        <v>0</v>
      </c>
      <c r="T525" s="63">
        <f t="shared" si="221"/>
        <v>619614.33931079227</v>
      </c>
      <c r="U525" s="63">
        <f t="shared" si="221"/>
        <v>1047038.2325133093</v>
      </c>
      <c r="V525" s="63">
        <f t="shared" si="221"/>
        <v>205596.91950771716</v>
      </c>
      <c r="W525" s="63">
        <f t="shared" si="221"/>
        <v>358029.41175516095</v>
      </c>
      <c r="X525" s="63">
        <f t="shared" si="221"/>
        <v>56176.704486352915</v>
      </c>
      <c r="Y525" s="63">
        <f t="shared" si="221"/>
        <v>31313.339215875658</v>
      </c>
      <c r="Z525" s="63">
        <f t="shared" si="221"/>
        <v>14042.434209311179</v>
      </c>
      <c r="AA525" s="63">
        <f t="shared" si="221"/>
        <v>1274847.23346657</v>
      </c>
      <c r="AB525" s="63">
        <f t="shared" si="221"/>
        <v>48448.484407994743</v>
      </c>
      <c r="AC525" s="63">
        <f t="shared" si="221"/>
        <v>1792493.7880119679</v>
      </c>
      <c r="AD525" s="63">
        <f t="shared" si="221"/>
        <v>390506.2973644798</v>
      </c>
      <c r="AE525" s="63">
        <f t="shared" si="221"/>
        <v>0</v>
      </c>
      <c r="AF525" s="63">
        <f t="shared" ref="AF525:AF536" si="222">SUM(H525:AE525)</f>
        <v>20000454.000000004</v>
      </c>
      <c r="AG525" s="58" t="str">
        <f t="shared" ref="AG525:AG536" si="223">IF(ABS(AF525-F525)&lt;1,"ok","err")</f>
        <v>ok</v>
      </c>
    </row>
    <row r="526" spans="1:33">
      <c r="A526" s="60">
        <v>921</v>
      </c>
      <c r="B526" s="60" t="s">
        <v>974</v>
      </c>
      <c r="C526" s="60" t="s">
        <v>87</v>
      </c>
      <c r="D526" s="60" t="s">
        <v>642</v>
      </c>
      <c r="F526" s="79">
        <v>0</v>
      </c>
      <c r="H526" s="63">
        <f t="shared" si="220"/>
        <v>0</v>
      </c>
      <c r="I526" s="63">
        <f t="shared" si="220"/>
        <v>0</v>
      </c>
      <c r="J526" s="63">
        <f t="shared" si="220"/>
        <v>0</v>
      </c>
      <c r="K526" s="63">
        <f t="shared" si="220"/>
        <v>0</v>
      </c>
      <c r="L526" s="63">
        <f t="shared" si="220"/>
        <v>0</v>
      </c>
      <c r="M526" s="63">
        <f t="shared" si="220"/>
        <v>0</v>
      </c>
      <c r="N526" s="63">
        <f t="shared" si="220"/>
        <v>0</v>
      </c>
      <c r="O526" s="63">
        <f t="shared" si="220"/>
        <v>0</v>
      </c>
      <c r="P526" s="63">
        <f t="shared" si="220"/>
        <v>0</v>
      </c>
      <c r="Q526" s="63">
        <f t="shared" si="220"/>
        <v>0</v>
      </c>
      <c r="R526" s="63">
        <f t="shared" si="221"/>
        <v>0</v>
      </c>
      <c r="S526" s="63">
        <f t="shared" si="221"/>
        <v>0</v>
      </c>
      <c r="T526" s="63">
        <f t="shared" si="221"/>
        <v>0</v>
      </c>
      <c r="U526" s="63">
        <f t="shared" si="221"/>
        <v>0</v>
      </c>
      <c r="V526" s="63">
        <f t="shared" si="221"/>
        <v>0</v>
      </c>
      <c r="W526" s="63">
        <f t="shared" si="221"/>
        <v>0</v>
      </c>
      <c r="X526" s="63">
        <f t="shared" si="221"/>
        <v>0</v>
      </c>
      <c r="Y526" s="63">
        <f t="shared" si="221"/>
        <v>0</v>
      </c>
      <c r="Z526" s="63">
        <f t="shared" si="221"/>
        <v>0</v>
      </c>
      <c r="AA526" s="63">
        <f t="shared" si="221"/>
        <v>0</v>
      </c>
      <c r="AB526" s="63">
        <f t="shared" si="221"/>
        <v>0</v>
      </c>
      <c r="AC526" s="63">
        <f t="shared" si="221"/>
        <v>0</v>
      </c>
      <c r="AD526" s="63">
        <f t="shared" si="221"/>
        <v>0</v>
      </c>
      <c r="AE526" s="63">
        <f t="shared" si="221"/>
        <v>0</v>
      </c>
      <c r="AF526" s="63">
        <f>SUM(H526:AE526)</f>
        <v>0</v>
      </c>
      <c r="AG526" s="58" t="str">
        <f t="shared" si="223"/>
        <v>ok</v>
      </c>
    </row>
    <row r="527" spans="1:33">
      <c r="A527" s="60">
        <v>922</v>
      </c>
      <c r="B527" s="60" t="s">
        <v>595</v>
      </c>
      <c r="C527" s="44" t="s">
        <v>596</v>
      </c>
      <c r="D527" s="44" t="s">
        <v>642</v>
      </c>
      <c r="F527" s="79">
        <v>-2892849</v>
      </c>
      <c r="H527" s="63">
        <f t="shared" si="220"/>
        <v>-942030.47927943571</v>
      </c>
      <c r="I527" s="63">
        <f t="shared" si="220"/>
        <v>0</v>
      </c>
      <c r="J527" s="63">
        <f t="shared" si="220"/>
        <v>0</v>
      </c>
      <c r="K527" s="63">
        <f t="shared" si="220"/>
        <v>-798942.09077613126</v>
      </c>
      <c r="L527" s="63">
        <f t="shared" si="220"/>
        <v>0</v>
      </c>
      <c r="M527" s="63">
        <f t="shared" si="220"/>
        <v>0</v>
      </c>
      <c r="N527" s="63">
        <f t="shared" si="220"/>
        <v>-217100.78911604715</v>
      </c>
      <c r="O527" s="63">
        <f t="shared" si="220"/>
        <v>0</v>
      </c>
      <c r="P527" s="63">
        <f t="shared" si="220"/>
        <v>0</v>
      </c>
      <c r="Q527" s="63">
        <f t="shared" si="220"/>
        <v>0</v>
      </c>
      <c r="R527" s="63">
        <f t="shared" si="221"/>
        <v>-90356.68264628273</v>
      </c>
      <c r="S527" s="63">
        <f t="shared" si="221"/>
        <v>0</v>
      </c>
      <c r="T527" s="63">
        <f t="shared" si="221"/>
        <v>-89620.501707655538</v>
      </c>
      <c r="U527" s="63">
        <f t="shared" si="221"/>
        <v>-151442.73744425474</v>
      </c>
      <c r="V527" s="63">
        <f t="shared" si="221"/>
        <v>-29737.367111815565</v>
      </c>
      <c r="W527" s="63">
        <f t="shared" si="221"/>
        <v>-51785.075767105373</v>
      </c>
      <c r="X527" s="63">
        <f t="shared" si="221"/>
        <v>-8125.3517243479346</v>
      </c>
      <c r="Y527" s="63">
        <f t="shared" si="221"/>
        <v>-4529.1352904942396</v>
      </c>
      <c r="Z527" s="63">
        <f t="shared" si="221"/>
        <v>-2031.0859823467824</v>
      </c>
      <c r="AA527" s="63">
        <f t="shared" si="221"/>
        <v>-184392.84150682448</v>
      </c>
      <c r="AB527" s="63">
        <f t="shared" si="221"/>
        <v>-7007.5484122102016</v>
      </c>
      <c r="AC527" s="63">
        <f t="shared" si="221"/>
        <v>-259264.80779669469</v>
      </c>
      <c r="AD527" s="63">
        <f t="shared" si="221"/>
        <v>-56482.505438353452</v>
      </c>
      <c r="AE527" s="63">
        <f t="shared" si="221"/>
        <v>0</v>
      </c>
      <c r="AF527" s="63">
        <f t="shared" si="222"/>
        <v>-2892849</v>
      </c>
      <c r="AG527" s="58" t="str">
        <f t="shared" si="223"/>
        <v>ok</v>
      </c>
    </row>
    <row r="528" spans="1:33">
      <c r="A528" s="60">
        <v>923</v>
      </c>
      <c r="B528" s="60" t="s">
        <v>976</v>
      </c>
      <c r="C528" s="44" t="s">
        <v>88</v>
      </c>
      <c r="D528" s="44" t="s">
        <v>642</v>
      </c>
      <c r="F528" s="79">
        <v>0</v>
      </c>
      <c r="H528" s="63">
        <f t="shared" si="220"/>
        <v>0</v>
      </c>
      <c r="I528" s="63">
        <f t="shared" si="220"/>
        <v>0</v>
      </c>
      <c r="J528" s="63">
        <f t="shared" si="220"/>
        <v>0</v>
      </c>
      <c r="K528" s="63">
        <f t="shared" si="220"/>
        <v>0</v>
      </c>
      <c r="L528" s="63">
        <f t="shared" si="220"/>
        <v>0</v>
      </c>
      <c r="M528" s="63">
        <f t="shared" si="220"/>
        <v>0</v>
      </c>
      <c r="N528" s="63">
        <f t="shared" si="220"/>
        <v>0</v>
      </c>
      <c r="O528" s="63">
        <f t="shared" si="220"/>
        <v>0</v>
      </c>
      <c r="P528" s="63">
        <f t="shared" si="220"/>
        <v>0</v>
      </c>
      <c r="Q528" s="63">
        <f t="shared" si="220"/>
        <v>0</v>
      </c>
      <c r="R528" s="63">
        <f t="shared" si="221"/>
        <v>0</v>
      </c>
      <c r="S528" s="63">
        <f t="shared" si="221"/>
        <v>0</v>
      </c>
      <c r="T528" s="63">
        <f t="shared" si="221"/>
        <v>0</v>
      </c>
      <c r="U528" s="63">
        <f t="shared" si="221"/>
        <v>0</v>
      </c>
      <c r="V528" s="63">
        <f t="shared" si="221"/>
        <v>0</v>
      </c>
      <c r="W528" s="63">
        <f t="shared" si="221"/>
        <v>0</v>
      </c>
      <c r="X528" s="63">
        <f t="shared" si="221"/>
        <v>0</v>
      </c>
      <c r="Y528" s="63">
        <f t="shared" si="221"/>
        <v>0</v>
      </c>
      <c r="Z528" s="63">
        <f t="shared" si="221"/>
        <v>0</v>
      </c>
      <c r="AA528" s="63">
        <f t="shared" si="221"/>
        <v>0</v>
      </c>
      <c r="AB528" s="63">
        <f t="shared" si="221"/>
        <v>0</v>
      </c>
      <c r="AC528" s="63">
        <f t="shared" si="221"/>
        <v>0</v>
      </c>
      <c r="AD528" s="63">
        <f t="shared" si="221"/>
        <v>0</v>
      </c>
      <c r="AE528" s="63">
        <f t="shared" si="221"/>
        <v>0</v>
      </c>
      <c r="AF528" s="63">
        <f t="shared" si="222"/>
        <v>0</v>
      </c>
      <c r="AG528" s="58" t="str">
        <f t="shared" si="223"/>
        <v>ok</v>
      </c>
    </row>
    <row r="529" spans="1:33">
      <c r="A529" s="60">
        <v>924</v>
      </c>
      <c r="B529" s="60" t="s">
        <v>978</v>
      </c>
      <c r="C529" s="44" t="s">
        <v>89</v>
      </c>
      <c r="D529" s="44" t="s">
        <v>892</v>
      </c>
      <c r="F529" s="79">
        <v>0</v>
      </c>
      <c r="H529" s="63">
        <f t="shared" si="220"/>
        <v>0</v>
      </c>
      <c r="I529" s="63">
        <f t="shared" si="220"/>
        <v>0</v>
      </c>
      <c r="J529" s="63">
        <f t="shared" si="220"/>
        <v>0</v>
      </c>
      <c r="K529" s="63">
        <f t="shared" si="220"/>
        <v>0</v>
      </c>
      <c r="L529" s="63">
        <f t="shared" si="220"/>
        <v>0</v>
      </c>
      <c r="M529" s="63">
        <f t="shared" si="220"/>
        <v>0</v>
      </c>
      <c r="N529" s="63">
        <f t="shared" si="220"/>
        <v>0</v>
      </c>
      <c r="O529" s="63">
        <f t="shared" si="220"/>
        <v>0</v>
      </c>
      <c r="P529" s="63">
        <f t="shared" si="220"/>
        <v>0</v>
      </c>
      <c r="Q529" s="63">
        <f t="shared" si="220"/>
        <v>0</v>
      </c>
      <c r="R529" s="63">
        <f t="shared" si="221"/>
        <v>0</v>
      </c>
      <c r="S529" s="63">
        <f t="shared" si="221"/>
        <v>0</v>
      </c>
      <c r="T529" s="63">
        <f t="shared" si="221"/>
        <v>0</v>
      </c>
      <c r="U529" s="63">
        <f t="shared" si="221"/>
        <v>0</v>
      </c>
      <c r="V529" s="63">
        <f t="shared" si="221"/>
        <v>0</v>
      </c>
      <c r="W529" s="63">
        <f t="shared" si="221"/>
        <v>0</v>
      </c>
      <c r="X529" s="63">
        <f t="shared" si="221"/>
        <v>0</v>
      </c>
      <c r="Y529" s="63">
        <f t="shared" si="221"/>
        <v>0</v>
      </c>
      <c r="Z529" s="63">
        <f t="shared" si="221"/>
        <v>0</v>
      </c>
      <c r="AA529" s="63">
        <f t="shared" si="221"/>
        <v>0</v>
      </c>
      <c r="AB529" s="63">
        <f t="shared" si="221"/>
        <v>0</v>
      </c>
      <c r="AC529" s="63">
        <f t="shared" si="221"/>
        <v>0</v>
      </c>
      <c r="AD529" s="63">
        <f t="shared" si="221"/>
        <v>0</v>
      </c>
      <c r="AE529" s="63">
        <f t="shared" si="221"/>
        <v>0</v>
      </c>
      <c r="AF529" s="63">
        <f t="shared" si="222"/>
        <v>0</v>
      </c>
      <c r="AG529" s="58" t="str">
        <f t="shared" si="223"/>
        <v>ok</v>
      </c>
    </row>
    <row r="530" spans="1:33">
      <c r="A530" s="60">
        <v>925</v>
      </c>
      <c r="B530" s="60" t="s">
        <v>1231</v>
      </c>
      <c r="C530" s="44" t="s">
        <v>90</v>
      </c>
      <c r="D530" s="44" t="s">
        <v>642</v>
      </c>
      <c r="F530" s="79">
        <v>0</v>
      </c>
      <c r="H530" s="63">
        <f t="shared" si="220"/>
        <v>0</v>
      </c>
      <c r="I530" s="63">
        <f t="shared" si="220"/>
        <v>0</v>
      </c>
      <c r="J530" s="63">
        <f t="shared" si="220"/>
        <v>0</v>
      </c>
      <c r="K530" s="63">
        <f t="shared" si="220"/>
        <v>0</v>
      </c>
      <c r="L530" s="63">
        <f t="shared" si="220"/>
        <v>0</v>
      </c>
      <c r="M530" s="63">
        <f t="shared" si="220"/>
        <v>0</v>
      </c>
      <c r="N530" s="63">
        <f t="shared" si="220"/>
        <v>0</v>
      </c>
      <c r="O530" s="63">
        <f t="shared" si="220"/>
        <v>0</v>
      </c>
      <c r="P530" s="63">
        <f t="shared" si="220"/>
        <v>0</v>
      </c>
      <c r="Q530" s="63">
        <f t="shared" si="220"/>
        <v>0</v>
      </c>
      <c r="R530" s="63">
        <f t="shared" si="221"/>
        <v>0</v>
      </c>
      <c r="S530" s="63">
        <f t="shared" si="221"/>
        <v>0</v>
      </c>
      <c r="T530" s="63">
        <f t="shared" si="221"/>
        <v>0</v>
      </c>
      <c r="U530" s="63">
        <f t="shared" si="221"/>
        <v>0</v>
      </c>
      <c r="V530" s="63">
        <f t="shared" si="221"/>
        <v>0</v>
      </c>
      <c r="W530" s="63">
        <f t="shared" si="221"/>
        <v>0</v>
      </c>
      <c r="X530" s="63">
        <f t="shared" si="221"/>
        <v>0</v>
      </c>
      <c r="Y530" s="63">
        <f t="shared" si="221"/>
        <v>0</v>
      </c>
      <c r="Z530" s="63">
        <f t="shared" si="221"/>
        <v>0</v>
      </c>
      <c r="AA530" s="63">
        <f t="shared" si="221"/>
        <v>0</v>
      </c>
      <c r="AB530" s="63">
        <f t="shared" si="221"/>
        <v>0</v>
      </c>
      <c r="AC530" s="63">
        <f t="shared" si="221"/>
        <v>0</v>
      </c>
      <c r="AD530" s="63">
        <f t="shared" si="221"/>
        <v>0</v>
      </c>
      <c r="AE530" s="63">
        <f t="shared" si="221"/>
        <v>0</v>
      </c>
      <c r="AF530" s="63">
        <f t="shared" si="222"/>
        <v>0</v>
      </c>
      <c r="AG530" s="58" t="str">
        <f t="shared" si="223"/>
        <v>ok</v>
      </c>
    </row>
    <row r="531" spans="1:33">
      <c r="A531" s="60">
        <v>926</v>
      </c>
      <c r="B531" s="60" t="s">
        <v>981</v>
      </c>
      <c r="C531" s="44" t="s">
        <v>91</v>
      </c>
      <c r="D531" s="44" t="s">
        <v>642</v>
      </c>
      <c r="F531" s="79">
        <v>0</v>
      </c>
      <c r="H531" s="63">
        <f t="shared" si="220"/>
        <v>0</v>
      </c>
      <c r="I531" s="63">
        <f t="shared" si="220"/>
        <v>0</v>
      </c>
      <c r="J531" s="63">
        <f t="shared" si="220"/>
        <v>0</v>
      </c>
      <c r="K531" s="63">
        <f t="shared" si="220"/>
        <v>0</v>
      </c>
      <c r="L531" s="63">
        <f t="shared" si="220"/>
        <v>0</v>
      </c>
      <c r="M531" s="63">
        <f t="shared" si="220"/>
        <v>0</v>
      </c>
      <c r="N531" s="63">
        <f t="shared" si="220"/>
        <v>0</v>
      </c>
      <c r="O531" s="63">
        <f t="shared" si="220"/>
        <v>0</v>
      </c>
      <c r="P531" s="63">
        <f t="shared" si="220"/>
        <v>0</v>
      </c>
      <c r="Q531" s="63">
        <f t="shared" si="220"/>
        <v>0</v>
      </c>
      <c r="R531" s="63">
        <f t="shared" si="221"/>
        <v>0</v>
      </c>
      <c r="S531" s="63">
        <f t="shared" si="221"/>
        <v>0</v>
      </c>
      <c r="T531" s="63">
        <f t="shared" si="221"/>
        <v>0</v>
      </c>
      <c r="U531" s="63">
        <f t="shared" si="221"/>
        <v>0</v>
      </c>
      <c r="V531" s="63">
        <f t="shared" si="221"/>
        <v>0</v>
      </c>
      <c r="W531" s="63">
        <f t="shared" si="221"/>
        <v>0</v>
      </c>
      <c r="X531" s="63">
        <f t="shared" si="221"/>
        <v>0</v>
      </c>
      <c r="Y531" s="63">
        <f t="shared" si="221"/>
        <v>0</v>
      </c>
      <c r="Z531" s="63">
        <f t="shared" si="221"/>
        <v>0</v>
      </c>
      <c r="AA531" s="63">
        <f t="shared" si="221"/>
        <v>0</v>
      </c>
      <c r="AB531" s="63">
        <f t="shared" si="221"/>
        <v>0</v>
      </c>
      <c r="AC531" s="63">
        <f t="shared" si="221"/>
        <v>0</v>
      </c>
      <c r="AD531" s="63">
        <f t="shared" si="221"/>
        <v>0</v>
      </c>
      <c r="AE531" s="63">
        <f t="shared" si="221"/>
        <v>0</v>
      </c>
      <c r="AF531" s="63">
        <f t="shared" si="222"/>
        <v>0</v>
      </c>
      <c r="AG531" s="58" t="str">
        <f t="shared" si="223"/>
        <v>ok</v>
      </c>
    </row>
    <row r="532" spans="1:33">
      <c r="A532" s="60">
        <v>928</v>
      </c>
      <c r="B532" s="60" t="s">
        <v>819</v>
      </c>
      <c r="C532" s="44" t="s">
        <v>92</v>
      </c>
      <c r="D532" s="44" t="s">
        <v>892</v>
      </c>
      <c r="F532" s="79">
        <v>0</v>
      </c>
      <c r="H532" s="63">
        <f t="shared" si="220"/>
        <v>0</v>
      </c>
      <c r="I532" s="63">
        <f t="shared" si="220"/>
        <v>0</v>
      </c>
      <c r="J532" s="63">
        <f t="shared" si="220"/>
        <v>0</v>
      </c>
      <c r="K532" s="63">
        <f t="shared" si="220"/>
        <v>0</v>
      </c>
      <c r="L532" s="63">
        <f t="shared" si="220"/>
        <v>0</v>
      </c>
      <c r="M532" s="63">
        <f t="shared" si="220"/>
        <v>0</v>
      </c>
      <c r="N532" s="63">
        <f t="shared" si="220"/>
        <v>0</v>
      </c>
      <c r="O532" s="63">
        <f t="shared" si="220"/>
        <v>0</v>
      </c>
      <c r="P532" s="63">
        <f t="shared" si="220"/>
        <v>0</v>
      </c>
      <c r="Q532" s="63">
        <f t="shared" si="220"/>
        <v>0</v>
      </c>
      <c r="R532" s="63">
        <f t="shared" si="221"/>
        <v>0</v>
      </c>
      <c r="S532" s="63">
        <f t="shared" si="221"/>
        <v>0</v>
      </c>
      <c r="T532" s="63">
        <f t="shared" si="221"/>
        <v>0</v>
      </c>
      <c r="U532" s="63">
        <f t="shared" si="221"/>
        <v>0</v>
      </c>
      <c r="V532" s="63">
        <f t="shared" si="221"/>
        <v>0</v>
      </c>
      <c r="W532" s="63">
        <f t="shared" si="221"/>
        <v>0</v>
      </c>
      <c r="X532" s="63">
        <f t="shared" si="221"/>
        <v>0</v>
      </c>
      <c r="Y532" s="63">
        <f t="shared" si="221"/>
        <v>0</v>
      </c>
      <c r="Z532" s="63">
        <f t="shared" si="221"/>
        <v>0</v>
      </c>
      <c r="AA532" s="63">
        <f t="shared" si="221"/>
        <v>0</v>
      </c>
      <c r="AB532" s="63">
        <f t="shared" si="221"/>
        <v>0</v>
      </c>
      <c r="AC532" s="63">
        <f t="shared" si="221"/>
        <v>0</v>
      </c>
      <c r="AD532" s="63">
        <f t="shared" si="221"/>
        <v>0</v>
      </c>
      <c r="AE532" s="63">
        <f t="shared" si="221"/>
        <v>0</v>
      </c>
      <c r="AF532" s="63">
        <f t="shared" si="222"/>
        <v>0</v>
      </c>
      <c r="AG532" s="58" t="str">
        <f t="shared" si="223"/>
        <v>ok</v>
      </c>
    </row>
    <row r="533" spans="1:33">
      <c r="A533" s="60">
        <v>929</v>
      </c>
      <c r="B533" s="60" t="s">
        <v>1082</v>
      </c>
      <c r="C533" s="44" t="s">
        <v>93</v>
      </c>
      <c r="D533" s="44" t="s">
        <v>642</v>
      </c>
      <c r="F533" s="79">
        <v>0</v>
      </c>
      <c r="H533" s="63">
        <f t="shared" si="220"/>
        <v>0</v>
      </c>
      <c r="I533" s="63">
        <f t="shared" si="220"/>
        <v>0</v>
      </c>
      <c r="J533" s="63">
        <f t="shared" si="220"/>
        <v>0</v>
      </c>
      <c r="K533" s="63">
        <f t="shared" si="220"/>
        <v>0</v>
      </c>
      <c r="L533" s="63">
        <f t="shared" si="220"/>
        <v>0</v>
      </c>
      <c r="M533" s="63">
        <f t="shared" si="220"/>
        <v>0</v>
      </c>
      <c r="N533" s="63">
        <f t="shared" si="220"/>
        <v>0</v>
      </c>
      <c r="O533" s="63">
        <f t="shared" si="220"/>
        <v>0</v>
      </c>
      <c r="P533" s="63">
        <f t="shared" si="220"/>
        <v>0</v>
      </c>
      <c r="Q533" s="63">
        <f t="shared" si="220"/>
        <v>0</v>
      </c>
      <c r="R533" s="63">
        <f t="shared" si="221"/>
        <v>0</v>
      </c>
      <c r="S533" s="63">
        <f t="shared" si="221"/>
        <v>0</v>
      </c>
      <c r="T533" s="63">
        <f t="shared" si="221"/>
        <v>0</v>
      </c>
      <c r="U533" s="63">
        <f t="shared" si="221"/>
        <v>0</v>
      </c>
      <c r="V533" s="63">
        <f t="shared" si="221"/>
        <v>0</v>
      </c>
      <c r="W533" s="63">
        <f t="shared" si="221"/>
        <v>0</v>
      </c>
      <c r="X533" s="63">
        <f t="shared" si="221"/>
        <v>0</v>
      </c>
      <c r="Y533" s="63">
        <f t="shared" si="221"/>
        <v>0</v>
      </c>
      <c r="Z533" s="63">
        <f t="shared" si="221"/>
        <v>0</v>
      </c>
      <c r="AA533" s="63">
        <f t="shared" si="221"/>
        <v>0</v>
      </c>
      <c r="AB533" s="63">
        <f t="shared" si="221"/>
        <v>0</v>
      </c>
      <c r="AC533" s="63">
        <f t="shared" si="221"/>
        <v>0</v>
      </c>
      <c r="AD533" s="63">
        <f t="shared" si="221"/>
        <v>0</v>
      </c>
      <c r="AE533" s="63">
        <f t="shared" si="221"/>
        <v>0</v>
      </c>
      <c r="AF533" s="63">
        <f t="shared" si="222"/>
        <v>0</v>
      </c>
      <c r="AG533" s="58" t="str">
        <f t="shared" si="223"/>
        <v>ok</v>
      </c>
    </row>
    <row r="534" spans="1:33">
      <c r="A534" s="60">
        <v>930</v>
      </c>
      <c r="B534" s="60" t="s">
        <v>984</v>
      </c>
      <c r="C534" s="44" t="s">
        <v>94</v>
      </c>
      <c r="D534" s="44" t="s">
        <v>642</v>
      </c>
      <c r="F534" s="79">
        <v>165400</v>
      </c>
      <c r="H534" s="63">
        <f t="shared" si="220"/>
        <v>53861.035011788954</v>
      </c>
      <c r="I534" s="63">
        <f t="shared" si="220"/>
        <v>0</v>
      </c>
      <c r="J534" s="63">
        <f t="shared" si="220"/>
        <v>0</v>
      </c>
      <c r="K534" s="63">
        <f t="shared" si="220"/>
        <v>45679.889207619242</v>
      </c>
      <c r="L534" s="63">
        <f t="shared" si="220"/>
        <v>0</v>
      </c>
      <c r="M534" s="63">
        <f t="shared" si="220"/>
        <v>0</v>
      </c>
      <c r="N534" s="63">
        <f t="shared" si="220"/>
        <v>12412.839563971089</v>
      </c>
      <c r="O534" s="63">
        <f t="shared" si="220"/>
        <v>0</v>
      </c>
      <c r="P534" s="63">
        <f t="shared" si="220"/>
        <v>0</v>
      </c>
      <c r="Q534" s="63">
        <f t="shared" si="220"/>
        <v>0</v>
      </c>
      <c r="R534" s="63">
        <f t="shared" si="221"/>
        <v>5166.185760022443</v>
      </c>
      <c r="S534" s="63">
        <f t="shared" si="221"/>
        <v>0</v>
      </c>
      <c r="T534" s="63">
        <f t="shared" si="221"/>
        <v>5124.0942691603414</v>
      </c>
      <c r="U534" s="63">
        <f t="shared" si="221"/>
        <v>8658.8096279065139</v>
      </c>
      <c r="V534" s="63">
        <f t="shared" si="221"/>
        <v>1700.2479287008393</v>
      </c>
      <c r="W534" s="63">
        <f t="shared" si="221"/>
        <v>2960.836024237431</v>
      </c>
      <c r="X534" s="63">
        <f t="shared" si="221"/>
        <v>464.57080034497079</v>
      </c>
      <c r="Y534" s="63">
        <f t="shared" si="221"/>
        <v>258.95543702687121</v>
      </c>
      <c r="Z534" s="63">
        <f t="shared" si="221"/>
        <v>116.12829479871152</v>
      </c>
      <c r="AA534" s="63">
        <f t="shared" si="221"/>
        <v>10542.747300404815</v>
      </c>
      <c r="AB534" s="63">
        <f t="shared" si="221"/>
        <v>400.6598710750431</v>
      </c>
      <c r="AC534" s="63">
        <f t="shared" si="221"/>
        <v>14823.587131431092</v>
      </c>
      <c r="AD534" s="63">
        <f t="shared" si="221"/>
        <v>3229.4137715116344</v>
      </c>
      <c r="AE534" s="63">
        <f t="shared" si="221"/>
        <v>0</v>
      </c>
      <c r="AF534" s="63">
        <f t="shared" si="222"/>
        <v>165400</v>
      </c>
      <c r="AG534" s="58" t="str">
        <f t="shared" si="223"/>
        <v>ok</v>
      </c>
    </row>
    <row r="535" spans="1:33">
      <c r="A535" s="60">
        <v>931</v>
      </c>
      <c r="B535" s="60" t="s">
        <v>986</v>
      </c>
      <c r="C535" s="44" t="s">
        <v>95</v>
      </c>
      <c r="D535" s="44" t="s">
        <v>882</v>
      </c>
      <c r="F535" s="79">
        <v>0</v>
      </c>
      <c r="H535" s="63">
        <f t="shared" si="220"/>
        <v>0</v>
      </c>
      <c r="I535" s="63">
        <f t="shared" si="220"/>
        <v>0</v>
      </c>
      <c r="J535" s="63">
        <f t="shared" si="220"/>
        <v>0</v>
      </c>
      <c r="K535" s="63">
        <f t="shared" si="220"/>
        <v>0</v>
      </c>
      <c r="L535" s="63">
        <f t="shared" si="220"/>
        <v>0</v>
      </c>
      <c r="M535" s="63">
        <f t="shared" si="220"/>
        <v>0</v>
      </c>
      <c r="N535" s="63">
        <f t="shared" si="220"/>
        <v>0</v>
      </c>
      <c r="O535" s="63">
        <f t="shared" si="220"/>
        <v>0</v>
      </c>
      <c r="P535" s="63">
        <f t="shared" si="220"/>
        <v>0</v>
      </c>
      <c r="Q535" s="63">
        <f t="shared" si="220"/>
        <v>0</v>
      </c>
      <c r="R535" s="63">
        <f t="shared" si="221"/>
        <v>0</v>
      </c>
      <c r="S535" s="63">
        <f t="shared" si="221"/>
        <v>0</v>
      </c>
      <c r="T535" s="63">
        <f t="shared" si="221"/>
        <v>0</v>
      </c>
      <c r="U535" s="63">
        <f t="shared" si="221"/>
        <v>0</v>
      </c>
      <c r="V535" s="63">
        <f t="shared" si="221"/>
        <v>0</v>
      </c>
      <c r="W535" s="63">
        <f t="shared" si="221"/>
        <v>0</v>
      </c>
      <c r="X535" s="63">
        <f t="shared" si="221"/>
        <v>0</v>
      </c>
      <c r="Y535" s="63">
        <f t="shared" si="221"/>
        <v>0</v>
      </c>
      <c r="Z535" s="63">
        <f t="shared" si="221"/>
        <v>0</v>
      </c>
      <c r="AA535" s="63">
        <f t="shared" si="221"/>
        <v>0</v>
      </c>
      <c r="AB535" s="63">
        <f t="shared" si="221"/>
        <v>0</v>
      </c>
      <c r="AC535" s="63">
        <f t="shared" si="221"/>
        <v>0</v>
      </c>
      <c r="AD535" s="63">
        <f t="shared" si="221"/>
        <v>0</v>
      </c>
      <c r="AE535" s="63">
        <f t="shared" si="221"/>
        <v>0</v>
      </c>
      <c r="AF535" s="63">
        <f t="shared" si="222"/>
        <v>0</v>
      </c>
      <c r="AG535" s="58" t="str">
        <f t="shared" si="223"/>
        <v>ok</v>
      </c>
    </row>
    <row r="536" spans="1:33">
      <c r="A536" s="60">
        <v>935</v>
      </c>
      <c r="B536" s="60" t="s">
        <v>988</v>
      </c>
      <c r="C536" s="44" t="s">
        <v>96</v>
      </c>
      <c r="D536" s="44" t="s">
        <v>882</v>
      </c>
      <c r="F536" s="79">
        <v>502248.93000000005</v>
      </c>
      <c r="H536" s="63">
        <f t="shared" si="220"/>
        <v>306591.48463598313</v>
      </c>
      <c r="I536" s="63">
        <f t="shared" si="220"/>
        <v>0</v>
      </c>
      <c r="J536" s="63">
        <f t="shared" si="220"/>
        <v>0</v>
      </c>
      <c r="K536" s="63">
        <f t="shared" si="220"/>
        <v>0</v>
      </c>
      <c r="L536" s="63">
        <f t="shared" si="220"/>
        <v>0</v>
      </c>
      <c r="M536" s="63">
        <f t="shared" si="220"/>
        <v>0</v>
      </c>
      <c r="N536" s="63">
        <f t="shared" si="220"/>
        <v>47089.30310939622</v>
      </c>
      <c r="O536" s="63">
        <f t="shared" si="220"/>
        <v>0</v>
      </c>
      <c r="P536" s="63">
        <f t="shared" si="220"/>
        <v>0</v>
      </c>
      <c r="Q536" s="63">
        <f t="shared" si="220"/>
        <v>0</v>
      </c>
      <c r="R536" s="63">
        <f t="shared" si="221"/>
        <v>18526.69899691836</v>
      </c>
      <c r="S536" s="63">
        <f t="shared" si="221"/>
        <v>0</v>
      </c>
      <c r="T536" s="63">
        <f t="shared" si="221"/>
        <v>28441.793292008482</v>
      </c>
      <c r="U536" s="63">
        <f t="shared" si="221"/>
        <v>46542.970563837342</v>
      </c>
      <c r="V536" s="63">
        <f t="shared" si="221"/>
        <v>7935.5198715195093</v>
      </c>
      <c r="W536" s="63">
        <f t="shared" si="221"/>
        <v>13559.861073008522</v>
      </c>
      <c r="X536" s="63">
        <f t="shared" si="221"/>
        <v>9721.4587905108947</v>
      </c>
      <c r="Y536" s="63">
        <f t="shared" si="221"/>
        <v>5418.8179880572197</v>
      </c>
      <c r="Z536" s="63">
        <f t="shared" si="221"/>
        <v>3464.6349211296938</v>
      </c>
      <c r="AA536" s="63">
        <f t="shared" si="221"/>
        <v>3533.3298848947429</v>
      </c>
      <c r="AB536" s="63">
        <f t="shared" si="221"/>
        <v>11423.056872735937</v>
      </c>
      <c r="AC536" s="63">
        <f t="shared" si="221"/>
        <v>0</v>
      </c>
      <c r="AD536" s="63">
        <f t="shared" si="221"/>
        <v>0</v>
      </c>
      <c r="AE536" s="63">
        <f t="shared" si="221"/>
        <v>0</v>
      </c>
      <c r="AF536" s="63">
        <f t="shared" si="222"/>
        <v>502248.93</v>
      </c>
      <c r="AG536" s="58" t="str">
        <f t="shared" si="223"/>
        <v>ok</v>
      </c>
    </row>
    <row r="537" spans="1:33">
      <c r="A537" s="60"/>
      <c r="B537" s="60"/>
      <c r="F537" s="79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58"/>
    </row>
    <row r="538" spans="1:33">
      <c r="A538" s="60" t="s">
        <v>989</v>
      </c>
      <c r="B538" s="60"/>
      <c r="C538" s="44" t="s">
        <v>97</v>
      </c>
      <c r="F538" s="76">
        <f t="shared" ref="F538:M538" si="224">SUM(F525:F537)</f>
        <v>17775253.93</v>
      </c>
      <c r="G538" s="62">
        <f t="shared" si="224"/>
        <v>0</v>
      </c>
      <c r="H538" s="62">
        <f t="shared" si="224"/>
        <v>5931391.5273433924</v>
      </c>
      <c r="I538" s="62">
        <f t="shared" si="224"/>
        <v>0</v>
      </c>
      <c r="J538" s="62">
        <f t="shared" si="224"/>
        <v>0</v>
      </c>
      <c r="K538" s="62">
        <f t="shared" si="224"/>
        <v>4770428.9884078186</v>
      </c>
      <c r="L538" s="62">
        <f t="shared" si="224"/>
        <v>0</v>
      </c>
      <c r="M538" s="62">
        <f t="shared" si="224"/>
        <v>0</v>
      </c>
      <c r="N538" s="62">
        <f>SUM(N525:N537)</f>
        <v>1343383.3771884195</v>
      </c>
      <c r="O538" s="62">
        <f>SUM(O525:O537)</f>
        <v>0</v>
      </c>
      <c r="P538" s="62">
        <f>SUM(P525:P537)</f>
        <v>0</v>
      </c>
      <c r="Q538" s="62">
        <f t="shared" ref="Q538:AB538" si="225">SUM(Q525:Q537)</f>
        <v>0</v>
      </c>
      <c r="R538" s="62">
        <f t="shared" si="225"/>
        <v>558040.31727863825</v>
      </c>
      <c r="S538" s="62">
        <f t="shared" si="225"/>
        <v>0</v>
      </c>
      <c r="T538" s="62">
        <f t="shared" si="225"/>
        <v>563559.72516430554</v>
      </c>
      <c r="U538" s="62">
        <f t="shared" si="225"/>
        <v>950797.27526079852</v>
      </c>
      <c r="V538" s="62">
        <f t="shared" si="225"/>
        <v>185495.32019612193</v>
      </c>
      <c r="W538" s="62">
        <f t="shared" si="225"/>
        <v>322765.03308530152</v>
      </c>
      <c r="X538" s="62">
        <f t="shared" si="225"/>
        <v>58237.382352860841</v>
      </c>
      <c r="Y538" s="62">
        <f t="shared" si="225"/>
        <v>32461.97735046551</v>
      </c>
      <c r="Z538" s="62">
        <f t="shared" si="225"/>
        <v>15592.111442892801</v>
      </c>
      <c r="AA538" s="62">
        <f t="shared" si="225"/>
        <v>1104530.4691450449</v>
      </c>
      <c r="AB538" s="62">
        <f t="shared" si="225"/>
        <v>53264.65273959552</v>
      </c>
      <c r="AC538" s="62">
        <f>SUM(AC525:AC537)</f>
        <v>1548052.5673467044</v>
      </c>
      <c r="AD538" s="62">
        <f>SUM(AD525:AD537)</f>
        <v>337253.20569763798</v>
      </c>
      <c r="AE538" s="62">
        <f>SUM(AE525:AE537)</f>
        <v>0</v>
      </c>
      <c r="AF538" s="63">
        <f>SUM(H538:AE538)</f>
        <v>17775253.929999996</v>
      </c>
      <c r="AG538" s="58" t="str">
        <f>IF(ABS(AF538-F538)&lt;1,"ok","err")</f>
        <v>ok</v>
      </c>
    </row>
    <row r="539" spans="1:33">
      <c r="A539" s="60"/>
      <c r="B539" s="60"/>
      <c r="F539" s="79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58"/>
    </row>
    <row r="540" spans="1:33">
      <c r="A540" s="60" t="s">
        <v>991</v>
      </c>
      <c r="B540" s="60"/>
      <c r="C540" s="44" t="s">
        <v>98</v>
      </c>
      <c r="F540" s="76">
        <f>F490+F499+F514+F538</f>
        <v>73368547.409999996</v>
      </c>
      <c r="G540" s="62"/>
      <c r="H540" s="62">
        <f t="shared" ref="H540:M540" si="226">H490+H499+H514+H538</f>
        <v>24034851.784580022</v>
      </c>
      <c r="I540" s="62">
        <f t="shared" si="226"/>
        <v>0</v>
      </c>
      <c r="J540" s="62">
        <f t="shared" si="226"/>
        <v>0</v>
      </c>
      <c r="K540" s="62">
        <f t="shared" si="226"/>
        <v>20124089.731171191</v>
      </c>
      <c r="L540" s="62">
        <f t="shared" si="226"/>
        <v>0</v>
      </c>
      <c r="M540" s="62">
        <f t="shared" si="226"/>
        <v>0</v>
      </c>
      <c r="N540" s="62">
        <f>N490+N499+N514+N538</f>
        <v>5515515.3771884199</v>
      </c>
      <c r="O540" s="62">
        <f>O490+O499+O514+O538</f>
        <v>0</v>
      </c>
      <c r="P540" s="62">
        <f>P490+P499+P514+P538</f>
        <v>0</v>
      </c>
      <c r="Q540" s="62">
        <f t="shared" ref="Q540:AB540" si="227">Q490+Q499+Q514+Q538</f>
        <v>0</v>
      </c>
      <c r="R540" s="62">
        <f t="shared" si="227"/>
        <v>2294468.860985558</v>
      </c>
      <c r="S540" s="62">
        <f t="shared" si="227"/>
        <v>0</v>
      </c>
      <c r="T540" s="62">
        <f t="shared" si="227"/>
        <v>2285840.7198717846</v>
      </c>
      <c r="U540" s="62">
        <f t="shared" si="227"/>
        <v>3861146.3975803666</v>
      </c>
      <c r="V540" s="62">
        <f t="shared" si="227"/>
        <v>756972.84189520229</v>
      </c>
      <c r="W540" s="62">
        <f t="shared" si="227"/>
        <v>1317944.1506281546</v>
      </c>
      <c r="X540" s="62">
        <f t="shared" si="227"/>
        <v>214386.23873627349</v>
      </c>
      <c r="Y540" s="62">
        <f t="shared" si="227"/>
        <v>119500.58441743354</v>
      </c>
      <c r="Z540" s="62">
        <f t="shared" si="227"/>
        <v>54624.483716633593</v>
      </c>
      <c r="AA540" s="62">
        <f t="shared" si="227"/>
        <v>4648097.8497791598</v>
      </c>
      <c r="AB540" s="62">
        <f t="shared" si="227"/>
        <v>187932.13640545908</v>
      </c>
      <c r="AC540" s="62">
        <f>AC490+AC499+AC514+AC538</f>
        <v>6530471.1273467047</v>
      </c>
      <c r="AD540" s="62">
        <f>AD490+AD499+AD514+AD538</f>
        <v>1422705.1256976379</v>
      </c>
      <c r="AE540" s="62">
        <f>AE490+AE499+AE514+AE538</f>
        <v>0</v>
      </c>
      <c r="AF540" s="63">
        <f>SUM(H540:AE540)</f>
        <v>73368547.409999996</v>
      </c>
      <c r="AG540" s="58" t="str">
        <f>IF(ABS(AF540-F540)&lt;1,"ok","err")</f>
        <v>ok</v>
      </c>
    </row>
    <row r="541" spans="1:33">
      <c r="A541" s="60"/>
      <c r="B541" s="60"/>
      <c r="F541" s="79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58"/>
    </row>
    <row r="542" spans="1:33">
      <c r="A542" s="60" t="s">
        <v>19</v>
      </c>
      <c r="B542" s="60"/>
      <c r="C542" s="44" t="s">
        <v>99</v>
      </c>
      <c r="F542" s="80">
        <f t="shared" ref="F542:M542" si="228">F540-F430</f>
        <v>73368547.409999996</v>
      </c>
      <c r="G542" s="64">
        <f t="shared" si="228"/>
        <v>0</v>
      </c>
      <c r="H542" s="64">
        <f t="shared" si="228"/>
        <v>24034851.784580022</v>
      </c>
      <c r="I542" s="64">
        <f t="shared" si="228"/>
        <v>0</v>
      </c>
      <c r="J542" s="64">
        <f t="shared" si="228"/>
        <v>0</v>
      </c>
      <c r="K542" s="64">
        <f t="shared" si="228"/>
        <v>20124089.731171191</v>
      </c>
      <c r="L542" s="64">
        <f t="shared" si="228"/>
        <v>0</v>
      </c>
      <c r="M542" s="64">
        <f t="shared" si="228"/>
        <v>0</v>
      </c>
      <c r="N542" s="64">
        <f>N540-N430</f>
        <v>5515515.3771884199</v>
      </c>
      <c r="O542" s="64">
        <f>O540-O430</f>
        <v>0</v>
      </c>
      <c r="P542" s="64">
        <f>P540-P430</f>
        <v>0</v>
      </c>
      <c r="Q542" s="64">
        <f t="shared" ref="Q542:AB542" si="229">Q540-Q430</f>
        <v>0</v>
      </c>
      <c r="R542" s="64">
        <f t="shared" si="229"/>
        <v>2294468.860985558</v>
      </c>
      <c r="S542" s="64">
        <f t="shared" si="229"/>
        <v>0</v>
      </c>
      <c r="T542" s="64">
        <f t="shared" si="229"/>
        <v>2285840.7198717846</v>
      </c>
      <c r="U542" s="64">
        <f t="shared" si="229"/>
        <v>3861146.3975803666</v>
      </c>
      <c r="V542" s="64">
        <f t="shared" si="229"/>
        <v>756972.84189520229</v>
      </c>
      <c r="W542" s="64">
        <f t="shared" si="229"/>
        <v>1317944.1506281546</v>
      </c>
      <c r="X542" s="64">
        <f t="shared" si="229"/>
        <v>214386.23873627349</v>
      </c>
      <c r="Y542" s="64">
        <f t="shared" si="229"/>
        <v>119500.58441743354</v>
      </c>
      <c r="Z542" s="64">
        <f t="shared" si="229"/>
        <v>54624.483716633593</v>
      </c>
      <c r="AA542" s="64">
        <f t="shared" si="229"/>
        <v>4648097.8497791598</v>
      </c>
      <c r="AB542" s="64">
        <f t="shared" si="229"/>
        <v>187932.13640545908</v>
      </c>
      <c r="AC542" s="64">
        <f>AC540-AC430</f>
        <v>6530471.1273467047</v>
      </c>
      <c r="AD542" s="64">
        <f>AD540-AD430</f>
        <v>1422705.1256976379</v>
      </c>
      <c r="AE542" s="64">
        <f>AE540-AE430</f>
        <v>0</v>
      </c>
      <c r="AF542" s="63">
        <f>SUM(H542:AE542)</f>
        <v>73368547.409999996</v>
      </c>
      <c r="AG542" s="58" t="str">
        <f>IF(ABS(AF542-F542)&lt;1,"ok","err")</f>
        <v>ok</v>
      </c>
    </row>
    <row r="543" spans="1:33">
      <c r="A543" s="60"/>
      <c r="B543" s="60"/>
      <c r="F543" s="80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3"/>
      <c r="AG543" s="58"/>
    </row>
    <row r="544" spans="1:33">
      <c r="A544" s="60"/>
      <c r="B544" s="60"/>
      <c r="F544" s="80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3"/>
      <c r="AG544" s="58"/>
    </row>
    <row r="545" spans="1:33">
      <c r="A545" s="60"/>
      <c r="B545" s="60"/>
      <c r="F545" s="80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3"/>
      <c r="AG545" s="58"/>
    </row>
    <row r="546" spans="1:33">
      <c r="A546" s="60"/>
      <c r="B546" s="60"/>
      <c r="F546" s="80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3"/>
      <c r="AG546" s="58"/>
    </row>
    <row r="547" spans="1:33">
      <c r="A547" s="60"/>
      <c r="B547" s="60"/>
      <c r="F547" s="80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3"/>
      <c r="AG547" s="58"/>
    </row>
    <row r="548" spans="1:33">
      <c r="A548" s="60"/>
      <c r="B548" s="60"/>
      <c r="F548" s="80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3"/>
      <c r="AG548" s="58"/>
    </row>
    <row r="549" spans="1:33">
      <c r="A549" s="60"/>
      <c r="B549" s="60"/>
      <c r="F549" s="80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3"/>
      <c r="AG549" s="58"/>
    </row>
    <row r="550" spans="1:33">
      <c r="A550" s="60"/>
      <c r="B550" s="60"/>
      <c r="F550" s="80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3"/>
      <c r="AG550" s="58"/>
    </row>
    <row r="551" spans="1:33">
      <c r="A551" s="60"/>
      <c r="B551" s="60"/>
      <c r="F551" s="80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3"/>
      <c r="AG551" s="58"/>
    </row>
    <row r="552" spans="1:33">
      <c r="A552" s="60"/>
      <c r="B552" s="60"/>
      <c r="F552" s="80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3"/>
      <c r="AG552" s="58"/>
    </row>
    <row r="553" spans="1:33">
      <c r="A553" s="60"/>
      <c r="B553" s="60"/>
      <c r="F553" s="80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3"/>
      <c r="AG553" s="58"/>
    </row>
    <row r="554" spans="1:33">
      <c r="A554" s="60"/>
      <c r="B554" s="60"/>
      <c r="F554" s="80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3"/>
      <c r="AG554" s="58"/>
    </row>
    <row r="555" spans="1:33">
      <c r="A555" s="60"/>
      <c r="B555" s="60"/>
      <c r="F555" s="80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3"/>
      <c r="AG555" s="58"/>
    </row>
    <row r="556" spans="1:33">
      <c r="A556" s="60"/>
      <c r="B556" s="60"/>
      <c r="F556" s="80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3"/>
      <c r="AG556" s="58"/>
    </row>
    <row r="557" spans="1:33">
      <c r="A557" s="60"/>
      <c r="B557" s="60"/>
      <c r="F557" s="80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3"/>
      <c r="AG557" s="58"/>
    </row>
    <row r="558" spans="1:33">
      <c r="A558" s="60"/>
      <c r="B558" s="60"/>
      <c r="F558" s="80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3"/>
      <c r="AG558" s="58"/>
    </row>
    <row r="559" spans="1:33">
      <c r="A559" s="60"/>
      <c r="B559" s="60"/>
      <c r="F559" s="80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3"/>
      <c r="AG559" s="58"/>
    </row>
    <row r="560" spans="1:33">
      <c r="A560" s="60"/>
      <c r="B560" s="60"/>
      <c r="F560" s="80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3"/>
      <c r="AG560" s="58"/>
    </row>
    <row r="561" spans="1:33">
      <c r="A561" s="60"/>
      <c r="B561" s="60"/>
      <c r="F561" s="80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3"/>
      <c r="AG561" s="58"/>
    </row>
    <row r="562" spans="1:33">
      <c r="A562" s="60"/>
      <c r="B562" s="60"/>
      <c r="F562" s="80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3"/>
      <c r="AG562" s="58"/>
    </row>
    <row r="563" spans="1:33">
      <c r="A563" s="60"/>
      <c r="B563" s="60"/>
      <c r="F563" s="80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3"/>
      <c r="AG563" s="58"/>
    </row>
    <row r="564" spans="1:33">
      <c r="A564" s="60"/>
      <c r="B564" s="60"/>
      <c r="F564" s="80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3"/>
      <c r="AG564" s="58"/>
    </row>
    <row r="565" spans="1:33">
      <c r="A565" s="60"/>
      <c r="B565" s="60"/>
      <c r="F565" s="80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3"/>
      <c r="AG565" s="58"/>
    </row>
    <row r="566" spans="1:33">
      <c r="A566" s="60"/>
      <c r="B566" s="60"/>
      <c r="F566" s="80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3"/>
      <c r="AG566" s="58"/>
    </row>
    <row r="567" spans="1:33">
      <c r="A567" s="60"/>
      <c r="B567" s="60"/>
      <c r="F567" s="80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3"/>
      <c r="AG567" s="58"/>
    </row>
    <row r="568" spans="1:33" ht="14.1">
      <c r="A568" s="59" t="s">
        <v>994</v>
      </c>
      <c r="B568" s="60"/>
      <c r="F568" s="112"/>
      <c r="AG568" s="58"/>
    </row>
    <row r="569" spans="1:33">
      <c r="A569" s="60"/>
      <c r="B569" s="60"/>
      <c r="AG569" s="58"/>
    </row>
    <row r="570" spans="1:33" ht="14.1">
      <c r="A570" s="65" t="s">
        <v>995</v>
      </c>
      <c r="B570" s="60"/>
      <c r="AG570" s="58"/>
    </row>
    <row r="571" spans="1:33">
      <c r="A571" s="68" t="s">
        <v>303</v>
      </c>
      <c r="B571" s="60"/>
      <c r="C571" s="44" t="s">
        <v>21</v>
      </c>
      <c r="D571" s="44" t="s">
        <v>191</v>
      </c>
      <c r="F571" s="76">
        <v>179722988.35269237</v>
      </c>
      <c r="H571" s="63">
        <f t="shared" ref="H571:Q578" si="230">IF(VLOOKUP($D571,$C$6:$AE$653,H$2,)=0,0,((VLOOKUP($D571,$C$6:$AE$653,H$2,)/VLOOKUP($D571,$C$6:$AE$653,4,))*$F571))</f>
        <v>179722988.35269237</v>
      </c>
      <c r="I571" s="63">
        <f t="shared" si="230"/>
        <v>0</v>
      </c>
      <c r="J571" s="63">
        <f t="shared" si="230"/>
        <v>0</v>
      </c>
      <c r="K571" s="63">
        <f t="shared" si="230"/>
        <v>0</v>
      </c>
      <c r="L571" s="63">
        <f t="shared" si="230"/>
        <v>0</v>
      </c>
      <c r="M571" s="63">
        <f t="shared" si="230"/>
        <v>0</v>
      </c>
      <c r="N571" s="63">
        <f t="shared" si="230"/>
        <v>0</v>
      </c>
      <c r="O571" s="63">
        <f t="shared" si="230"/>
        <v>0</v>
      </c>
      <c r="P571" s="63">
        <f t="shared" si="230"/>
        <v>0</v>
      </c>
      <c r="Q571" s="63">
        <f t="shared" si="230"/>
        <v>0</v>
      </c>
      <c r="R571" s="63">
        <f t="shared" ref="R571:AE578" si="231">IF(VLOOKUP($D571,$C$6:$AE$653,R$2,)=0,0,((VLOOKUP($D571,$C$6:$AE$653,R$2,)/VLOOKUP($D571,$C$6:$AE$653,4,))*$F571))</f>
        <v>0</v>
      </c>
      <c r="S571" s="63">
        <f t="shared" si="231"/>
        <v>0</v>
      </c>
      <c r="T571" s="63">
        <f t="shared" si="231"/>
        <v>0</v>
      </c>
      <c r="U571" s="63">
        <f t="shared" si="231"/>
        <v>0</v>
      </c>
      <c r="V571" s="63">
        <f t="shared" si="231"/>
        <v>0</v>
      </c>
      <c r="W571" s="63">
        <f t="shared" si="231"/>
        <v>0</v>
      </c>
      <c r="X571" s="63">
        <f t="shared" si="231"/>
        <v>0</v>
      </c>
      <c r="Y571" s="63">
        <f t="shared" si="231"/>
        <v>0</v>
      </c>
      <c r="Z571" s="63">
        <f t="shared" si="231"/>
        <v>0</v>
      </c>
      <c r="AA571" s="63">
        <f t="shared" si="231"/>
        <v>0</v>
      </c>
      <c r="AB571" s="63">
        <f t="shared" si="231"/>
        <v>0</v>
      </c>
      <c r="AC571" s="63">
        <f t="shared" si="231"/>
        <v>0</v>
      </c>
      <c r="AD571" s="63">
        <f t="shared" si="231"/>
        <v>0</v>
      </c>
      <c r="AE571" s="63">
        <f t="shared" si="231"/>
        <v>0</v>
      </c>
      <c r="AF571" s="63">
        <f t="shared" ref="AF571:AF578" si="232">SUM(H571:AE571)</f>
        <v>179722988.35269237</v>
      </c>
      <c r="AG571" s="58" t="str">
        <f t="shared" ref="AG571:AG578" si="233">IF(ABS(AF571-F571)&lt;1,"ok","err")</f>
        <v>ok</v>
      </c>
    </row>
    <row r="572" spans="1:33">
      <c r="A572" s="68" t="s">
        <v>302</v>
      </c>
      <c r="B572" s="60"/>
      <c r="C572" s="44" t="s">
        <v>34</v>
      </c>
      <c r="D572" s="44" t="s">
        <v>191</v>
      </c>
      <c r="F572" s="79">
        <v>5725979.8709662594</v>
      </c>
      <c r="H572" s="63">
        <f t="shared" si="230"/>
        <v>5725979.8709662594</v>
      </c>
      <c r="I572" s="63">
        <f t="shared" si="230"/>
        <v>0</v>
      </c>
      <c r="J572" s="63">
        <f t="shared" si="230"/>
        <v>0</v>
      </c>
      <c r="K572" s="63">
        <f t="shared" si="230"/>
        <v>0</v>
      </c>
      <c r="L572" s="63">
        <f t="shared" si="230"/>
        <v>0</v>
      </c>
      <c r="M572" s="63">
        <f t="shared" si="230"/>
        <v>0</v>
      </c>
      <c r="N572" s="63">
        <f t="shared" si="230"/>
        <v>0</v>
      </c>
      <c r="O572" s="63">
        <f t="shared" si="230"/>
        <v>0</v>
      </c>
      <c r="P572" s="63">
        <f t="shared" si="230"/>
        <v>0</v>
      </c>
      <c r="Q572" s="63">
        <f t="shared" si="230"/>
        <v>0</v>
      </c>
      <c r="R572" s="63">
        <f t="shared" si="231"/>
        <v>0</v>
      </c>
      <c r="S572" s="63">
        <f t="shared" si="231"/>
        <v>0</v>
      </c>
      <c r="T572" s="63">
        <f t="shared" si="231"/>
        <v>0</v>
      </c>
      <c r="U572" s="63">
        <f t="shared" si="231"/>
        <v>0</v>
      </c>
      <c r="V572" s="63">
        <f t="shared" si="231"/>
        <v>0</v>
      </c>
      <c r="W572" s="63">
        <f t="shared" si="231"/>
        <v>0</v>
      </c>
      <c r="X572" s="63">
        <f t="shared" si="231"/>
        <v>0</v>
      </c>
      <c r="Y572" s="63">
        <f t="shared" si="231"/>
        <v>0</v>
      </c>
      <c r="Z572" s="63">
        <f t="shared" si="231"/>
        <v>0</v>
      </c>
      <c r="AA572" s="63">
        <f t="shared" si="231"/>
        <v>0</v>
      </c>
      <c r="AB572" s="63">
        <f t="shared" si="231"/>
        <v>0</v>
      </c>
      <c r="AC572" s="63">
        <f t="shared" si="231"/>
        <v>0</v>
      </c>
      <c r="AD572" s="63">
        <f t="shared" si="231"/>
        <v>0</v>
      </c>
      <c r="AE572" s="63">
        <f t="shared" si="231"/>
        <v>0</v>
      </c>
      <c r="AF572" s="63">
        <f t="shared" si="232"/>
        <v>5725979.8709662594</v>
      </c>
      <c r="AG572" s="58" t="str">
        <f t="shared" si="233"/>
        <v>ok</v>
      </c>
    </row>
    <row r="573" spans="1:33">
      <c r="A573" s="283" t="s">
        <v>301</v>
      </c>
      <c r="B573" s="60"/>
      <c r="C573" s="44" t="s">
        <v>35</v>
      </c>
      <c r="D573" s="44" t="s">
        <v>191</v>
      </c>
      <c r="F573" s="79">
        <f>13010803.436897-611017</f>
        <v>12399786.436897</v>
      </c>
      <c r="H573" s="63">
        <f t="shared" si="230"/>
        <v>12399786.436897</v>
      </c>
      <c r="I573" s="63">
        <f t="shared" si="230"/>
        <v>0</v>
      </c>
      <c r="J573" s="63">
        <f t="shared" si="230"/>
        <v>0</v>
      </c>
      <c r="K573" s="63">
        <f t="shared" si="230"/>
        <v>0</v>
      </c>
      <c r="L573" s="63">
        <f t="shared" si="230"/>
        <v>0</v>
      </c>
      <c r="M573" s="63">
        <f t="shared" si="230"/>
        <v>0</v>
      </c>
      <c r="N573" s="63">
        <f t="shared" si="230"/>
        <v>0</v>
      </c>
      <c r="O573" s="63">
        <f t="shared" si="230"/>
        <v>0</v>
      </c>
      <c r="P573" s="63">
        <f t="shared" si="230"/>
        <v>0</v>
      </c>
      <c r="Q573" s="63">
        <f t="shared" si="230"/>
        <v>0</v>
      </c>
      <c r="R573" s="63">
        <f t="shared" si="231"/>
        <v>0</v>
      </c>
      <c r="S573" s="63">
        <f t="shared" si="231"/>
        <v>0</v>
      </c>
      <c r="T573" s="63">
        <f t="shared" si="231"/>
        <v>0</v>
      </c>
      <c r="U573" s="63">
        <f t="shared" si="231"/>
        <v>0</v>
      </c>
      <c r="V573" s="63">
        <f t="shared" si="231"/>
        <v>0</v>
      </c>
      <c r="W573" s="63">
        <f t="shared" si="231"/>
        <v>0</v>
      </c>
      <c r="X573" s="63">
        <f t="shared" si="231"/>
        <v>0</v>
      </c>
      <c r="Y573" s="63">
        <f t="shared" si="231"/>
        <v>0</v>
      </c>
      <c r="Z573" s="63">
        <f t="shared" si="231"/>
        <v>0</v>
      </c>
      <c r="AA573" s="63">
        <f t="shared" si="231"/>
        <v>0</v>
      </c>
      <c r="AB573" s="63">
        <f t="shared" si="231"/>
        <v>0</v>
      </c>
      <c r="AC573" s="63">
        <f t="shared" si="231"/>
        <v>0</v>
      </c>
      <c r="AD573" s="63">
        <f t="shared" si="231"/>
        <v>0</v>
      </c>
      <c r="AE573" s="63">
        <f t="shared" si="231"/>
        <v>0</v>
      </c>
      <c r="AF573" s="63">
        <f t="shared" si="232"/>
        <v>12399786.436897</v>
      </c>
      <c r="AG573" s="58" t="str">
        <f t="shared" si="233"/>
        <v>ok</v>
      </c>
    </row>
    <row r="574" spans="1:33">
      <c r="A574" s="60" t="s">
        <v>304</v>
      </c>
      <c r="B574" s="60"/>
      <c r="C574" s="44" t="s">
        <v>36</v>
      </c>
      <c r="D574" s="44" t="s">
        <v>1085</v>
      </c>
      <c r="F574" s="79">
        <v>12287716.575704392</v>
      </c>
      <c r="H574" s="63">
        <f t="shared" si="230"/>
        <v>0</v>
      </c>
      <c r="I574" s="63">
        <f t="shared" si="230"/>
        <v>0</v>
      </c>
      <c r="J574" s="63">
        <f t="shared" si="230"/>
        <v>0</v>
      </c>
      <c r="K574" s="63">
        <f t="shared" si="230"/>
        <v>0</v>
      </c>
      <c r="L574" s="63">
        <f t="shared" si="230"/>
        <v>0</v>
      </c>
      <c r="M574" s="63">
        <f t="shared" si="230"/>
        <v>0</v>
      </c>
      <c r="N574" s="63">
        <f t="shared" si="230"/>
        <v>12287716.575704392</v>
      </c>
      <c r="O574" s="63">
        <f t="shared" si="230"/>
        <v>0</v>
      </c>
      <c r="P574" s="63">
        <f t="shared" si="230"/>
        <v>0</v>
      </c>
      <c r="Q574" s="63">
        <f t="shared" si="230"/>
        <v>0</v>
      </c>
      <c r="R574" s="63">
        <f t="shared" si="231"/>
        <v>0</v>
      </c>
      <c r="S574" s="63">
        <f t="shared" si="231"/>
        <v>0</v>
      </c>
      <c r="T574" s="63">
        <f t="shared" si="231"/>
        <v>0</v>
      </c>
      <c r="U574" s="63">
        <f t="shared" si="231"/>
        <v>0</v>
      </c>
      <c r="V574" s="63">
        <f t="shared" si="231"/>
        <v>0</v>
      </c>
      <c r="W574" s="63">
        <f t="shared" si="231"/>
        <v>0</v>
      </c>
      <c r="X574" s="63">
        <f t="shared" si="231"/>
        <v>0</v>
      </c>
      <c r="Y574" s="63">
        <f t="shared" si="231"/>
        <v>0</v>
      </c>
      <c r="Z574" s="63">
        <f t="shared" si="231"/>
        <v>0</v>
      </c>
      <c r="AA574" s="63">
        <f t="shared" si="231"/>
        <v>0</v>
      </c>
      <c r="AB574" s="63">
        <f t="shared" si="231"/>
        <v>0</v>
      </c>
      <c r="AC574" s="63">
        <f t="shared" si="231"/>
        <v>0</v>
      </c>
      <c r="AD574" s="63">
        <f t="shared" si="231"/>
        <v>0</v>
      </c>
      <c r="AE574" s="63">
        <f t="shared" si="231"/>
        <v>0</v>
      </c>
      <c r="AF574" s="63">
        <f t="shared" si="232"/>
        <v>12287716.575704392</v>
      </c>
      <c r="AG574" s="58" t="str">
        <f t="shared" si="233"/>
        <v>ok</v>
      </c>
    </row>
    <row r="575" spans="1:33">
      <c r="A575" s="60" t="s">
        <v>305</v>
      </c>
      <c r="B575" s="60"/>
      <c r="C575" s="44" t="s">
        <v>37</v>
      </c>
      <c r="D575" s="44" t="s">
        <v>1085</v>
      </c>
      <c r="F575" s="79">
        <v>0</v>
      </c>
      <c r="H575" s="63">
        <f t="shared" si="230"/>
        <v>0</v>
      </c>
      <c r="I575" s="63">
        <f t="shared" si="230"/>
        <v>0</v>
      </c>
      <c r="J575" s="63">
        <f t="shared" si="230"/>
        <v>0</v>
      </c>
      <c r="K575" s="63">
        <f t="shared" si="230"/>
        <v>0</v>
      </c>
      <c r="L575" s="63">
        <f t="shared" si="230"/>
        <v>0</v>
      </c>
      <c r="M575" s="63">
        <f t="shared" si="230"/>
        <v>0</v>
      </c>
      <c r="N575" s="63">
        <f t="shared" si="230"/>
        <v>0</v>
      </c>
      <c r="O575" s="63">
        <f t="shared" si="230"/>
        <v>0</v>
      </c>
      <c r="P575" s="63">
        <f t="shared" si="230"/>
        <v>0</v>
      </c>
      <c r="Q575" s="63">
        <f t="shared" si="230"/>
        <v>0</v>
      </c>
      <c r="R575" s="63">
        <f t="shared" si="231"/>
        <v>0</v>
      </c>
      <c r="S575" s="63">
        <f t="shared" si="231"/>
        <v>0</v>
      </c>
      <c r="T575" s="63">
        <f t="shared" si="231"/>
        <v>0</v>
      </c>
      <c r="U575" s="63">
        <f t="shared" si="231"/>
        <v>0</v>
      </c>
      <c r="V575" s="63">
        <f t="shared" si="231"/>
        <v>0</v>
      </c>
      <c r="W575" s="63">
        <f t="shared" si="231"/>
        <v>0</v>
      </c>
      <c r="X575" s="63">
        <f t="shared" si="231"/>
        <v>0</v>
      </c>
      <c r="Y575" s="63">
        <f t="shared" si="231"/>
        <v>0</v>
      </c>
      <c r="Z575" s="63">
        <f t="shared" si="231"/>
        <v>0</v>
      </c>
      <c r="AA575" s="63">
        <f t="shared" si="231"/>
        <v>0</v>
      </c>
      <c r="AB575" s="63">
        <f t="shared" si="231"/>
        <v>0</v>
      </c>
      <c r="AC575" s="63">
        <f t="shared" si="231"/>
        <v>0</v>
      </c>
      <c r="AD575" s="63">
        <f t="shared" si="231"/>
        <v>0</v>
      </c>
      <c r="AE575" s="63">
        <f t="shared" si="231"/>
        <v>0</v>
      </c>
      <c r="AF575" s="63">
        <f t="shared" si="232"/>
        <v>0</v>
      </c>
      <c r="AG575" s="58" t="str">
        <f t="shared" si="233"/>
        <v>ok</v>
      </c>
    </row>
    <row r="576" spans="1:33">
      <c r="A576" s="60" t="s">
        <v>307</v>
      </c>
      <c r="B576" s="60"/>
      <c r="C576" s="44" t="s">
        <v>38</v>
      </c>
      <c r="D576" s="44" t="s">
        <v>859</v>
      </c>
      <c r="F576" s="79">
        <v>42603324.121205993</v>
      </c>
      <c r="H576" s="63">
        <f t="shared" si="230"/>
        <v>0</v>
      </c>
      <c r="I576" s="63">
        <f t="shared" si="230"/>
        <v>0</v>
      </c>
      <c r="J576" s="63">
        <f t="shared" si="230"/>
        <v>0</v>
      </c>
      <c r="K576" s="63">
        <f t="shared" si="230"/>
        <v>0</v>
      </c>
      <c r="L576" s="63">
        <f t="shared" si="230"/>
        <v>0</v>
      </c>
      <c r="M576" s="63">
        <f t="shared" si="230"/>
        <v>0</v>
      </c>
      <c r="N576" s="63">
        <f t="shared" si="230"/>
        <v>0</v>
      </c>
      <c r="O576" s="63">
        <f t="shared" si="230"/>
        <v>0</v>
      </c>
      <c r="P576" s="63">
        <f t="shared" si="230"/>
        <v>0</v>
      </c>
      <c r="Q576" s="63">
        <f t="shared" si="230"/>
        <v>0</v>
      </c>
      <c r="R576" s="63">
        <f t="shared" si="231"/>
        <v>5312706.683166367</v>
      </c>
      <c r="S576" s="63">
        <f t="shared" si="231"/>
        <v>0</v>
      </c>
      <c r="T576" s="63">
        <f t="shared" si="231"/>
        <v>8155954.0276885545</v>
      </c>
      <c r="U576" s="63">
        <f t="shared" si="231"/>
        <v>13346638.319651207</v>
      </c>
      <c r="V576" s="63">
        <f t="shared" si="231"/>
        <v>2275585.6001564953</v>
      </c>
      <c r="W576" s="63">
        <f t="shared" si="231"/>
        <v>3888418.7926495997</v>
      </c>
      <c r="X576" s="63">
        <f t="shared" si="231"/>
        <v>2787720.5267416714</v>
      </c>
      <c r="Y576" s="63">
        <f t="shared" si="231"/>
        <v>1553897.4614313252</v>
      </c>
      <c r="Z576" s="63">
        <f t="shared" si="231"/>
        <v>993516.92944754823</v>
      </c>
      <c r="AA576" s="63">
        <f t="shared" si="231"/>
        <v>1013215.861953288</v>
      </c>
      <c r="AB576" s="63">
        <f t="shared" si="231"/>
        <v>3275669.918319942</v>
      </c>
      <c r="AC576" s="63">
        <f t="shared" si="231"/>
        <v>0</v>
      </c>
      <c r="AD576" s="63">
        <f t="shared" si="231"/>
        <v>0</v>
      </c>
      <c r="AE576" s="63">
        <f t="shared" si="231"/>
        <v>0</v>
      </c>
      <c r="AF576" s="63">
        <f t="shared" si="232"/>
        <v>42603324.121205993</v>
      </c>
      <c r="AG576" s="58" t="str">
        <f t="shared" si="233"/>
        <v>ok</v>
      </c>
    </row>
    <row r="577" spans="1:33">
      <c r="A577" s="68" t="s">
        <v>599</v>
      </c>
      <c r="B577" s="60"/>
      <c r="C577" s="44" t="s">
        <v>39</v>
      </c>
      <c r="D577" s="44" t="s">
        <v>882</v>
      </c>
      <c r="F577" s="79">
        <f>804798.3901624+23936088.87-339957-8694-9196</f>
        <v>24383040.260162402</v>
      </c>
      <c r="H577" s="63">
        <f t="shared" si="230"/>
        <v>14884317.450516297</v>
      </c>
      <c r="I577" s="63">
        <f t="shared" si="230"/>
        <v>0</v>
      </c>
      <c r="J577" s="63">
        <f t="shared" si="230"/>
        <v>0</v>
      </c>
      <c r="K577" s="63">
        <f t="shared" si="230"/>
        <v>0</v>
      </c>
      <c r="L577" s="63">
        <f t="shared" si="230"/>
        <v>0</v>
      </c>
      <c r="M577" s="63">
        <f t="shared" si="230"/>
        <v>0</v>
      </c>
      <c r="N577" s="63">
        <f t="shared" si="230"/>
        <v>2286078.286994854</v>
      </c>
      <c r="O577" s="63">
        <f t="shared" si="230"/>
        <v>0</v>
      </c>
      <c r="P577" s="63">
        <f t="shared" si="230"/>
        <v>0</v>
      </c>
      <c r="Q577" s="63">
        <f t="shared" si="230"/>
        <v>0</v>
      </c>
      <c r="R577" s="63">
        <f t="shared" si="231"/>
        <v>899428.98938534467</v>
      </c>
      <c r="S577" s="63">
        <f t="shared" si="231"/>
        <v>0</v>
      </c>
      <c r="T577" s="63">
        <f t="shared" si="231"/>
        <v>1380784.2077637871</v>
      </c>
      <c r="U577" s="63">
        <f t="shared" si="231"/>
        <v>2259555.0877243271</v>
      </c>
      <c r="V577" s="63">
        <f t="shared" si="231"/>
        <v>385251.39418928965</v>
      </c>
      <c r="W577" s="63">
        <f t="shared" si="231"/>
        <v>658300.33418961335</v>
      </c>
      <c r="X577" s="63">
        <f t="shared" si="231"/>
        <v>471954.65618321334</v>
      </c>
      <c r="Y577" s="63">
        <f t="shared" si="231"/>
        <v>263071.25664815534</v>
      </c>
      <c r="Z577" s="63">
        <f t="shared" si="231"/>
        <v>168200.1249234516</v>
      </c>
      <c r="AA577" s="63">
        <f t="shared" si="231"/>
        <v>171535.10876732678</v>
      </c>
      <c r="AB577" s="63">
        <f t="shared" si="231"/>
        <v>554563.36287674156</v>
      </c>
      <c r="AC577" s="63">
        <f t="shared" si="231"/>
        <v>0</v>
      </c>
      <c r="AD577" s="63">
        <f t="shared" si="231"/>
        <v>0</v>
      </c>
      <c r="AE577" s="63">
        <f t="shared" si="231"/>
        <v>0</v>
      </c>
      <c r="AF577" s="63">
        <f t="shared" si="232"/>
        <v>24383040.260162406</v>
      </c>
      <c r="AG577" s="58" t="str">
        <f t="shared" si="233"/>
        <v>ok</v>
      </c>
    </row>
    <row r="578" spans="1:33">
      <c r="A578" s="68" t="s">
        <v>306</v>
      </c>
      <c r="B578" s="60"/>
      <c r="C578" s="44" t="s">
        <v>1375</v>
      </c>
      <c r="D578" s="44" t="s">
        <v>861</v>
      </c>
      <c r="F578" s="79"/>
      <c r="H578" s="63">
        <f t="shared" si="230"/>
        <v>0</v>
      </c>
      <c r="I578" s="63">
        <f t="shared" si="230"/>
        <v>0</v>
      </c>
      <c r="J578" s="63">
        <f t="shared" si="230"/>
        <v>0</v>
      </c>
      <c r="K578" s="63">
        <f t="shared" si="230"/>
        <v>0</v>
      </c>
      <c r="L578" s="63">
        <f t="shared" si="230"/>
        <v>0</v>
      </c>
      <c r="M578" s="63">
        <f t="shared" si="230"/>
        <v>0</v>
      </c>
      <c r="N578" s="63">
        <f t="shared" si="230"/>
        <v>0</v>
      </c>
      <c r="O578" s="63">
        <f t="shared" si="230"/>
        <v>0</v>
      </c>
      <c r="P578" s="63">
        <f t="shared" si="230"/>
        <v>0</v>
      </c>
      <c r="Q578" s="63">
        <f t="shared" si="230"/>
        <v>0</v>
      </c>
      <c r="R578" s="63">
        <f t="shared" si="231"/>
        <v>0</v>
      </c>
      <c r="S578" s="63">
        <f t="shared" si="231"/>
        <v>0</v>
      </c>
      <c r="T578" s="63">
        <f t="shared" si="231"/>
        <v>0</v>
      </c>
      <c r="U578" s="63">
        <f t="shared" si="231"/>
        <v>0</v>
      </c>
      <c r="V578" s="63">
        <f t="shared" si="231"/>
        <v>0</v>
      </c>
      <c r="W578" s="63">
        <f t="shared" si="231"/>
        <v>0</v>
      </c>
      <c r="X578" s="63">
        <f t="shared" si="231"/>
        <v>0</v>
      </c>
      <c r="Y578" s="63">
        <f t="shared" si="231"/>
        <v>0</v>
      </c>
      <c r="Z578" s="63">
        <f t="shared" si="231"/>
        <v>0</v>
      </c>
      <c r="AA578" s="63">
        <f t="shared" si="231"/>
        <v>0</v>
      </c>
      <c r="AB578" s="63">
        <f t="shared" si="231"/>
        <v>0</v>
      </c>
      <c r="AC578" s="63">
        <f t="shared" si="231"/>
        <v>0</v>
      </c>
      <c r="AD578" s="63">
        <f t="shared" si="231"/>
        <v>0</v>
      </c>
      <c r="AE578" s="63">
        <f t="shared" si="231"/>
        <v>0</v>
      </c>
      <c r="AF578" s="63">
        <f t="shared" si="232"/>
        <v>0</v>
      </c>
      <c r="AG578" s="58" t="str">
        <f t="shared" si="233"/>
        <v>ok</v>
      </c>
    </row>
    <row r="579" spans="1:33">
      <c r="A579" s="60"/>
      <c r="B579" s="60"/>
      <c r="F579" s="79"/>
      <c r="AG579" s="58"/>
    </row>
    <row r="580" spans="1:33">
      <c r="A580" s="60" t="s">
        <v>996</v>
      </c>
      <c r="B580" s="60"/>
      <c r="C580" s="44" t="s">
        <v>997</v>
      </c>
      <c r="F580" s="76">
        <f>SUM(F571:F579)</f>
        <v>277122835.6176284</v>
      </c>
      <c r="H580" s="63">
        <f t="shared" ref="H580:M580" si="234">SUM(H571:H579)</f>
        <v>212733072.11107191</v>
      </c>
      <c r="I580" s="63">
        <f t="shared" si="234"/>
        <v>0</v>
      </c>
      <c r="J580" s="63">
        <f t="shared" si="234"/>
        <v>0</v>
      </c>
      <c r="K580" s="63">
        <f t="shared" si="234"/>
        <v>0</v>
      </c>
      <c r="L580" s="63">
        <f t="shared" si="234"/>
        <v>0</v>
      </c>
      <c r="M580" s="63">
        <f t="shared" si="234"/>
        <v>0</v>
      </c>
      <c r="N580" s="63">
        <f>SUM(N571:N579)</f>
        <v>14573794.862699246</v>
      </c>
      <c r="O580" s="63">
        <f>SUM(O571:O579)</f>
        <v>0</v>
      </c>
      <c r="P580" s="63">
        <f>SUM(P571:P579)</f>
        <v>0</v>
      </c>
      <c r="Q580" s="63">
        <f t="shared" ref="Q580:AB580" si="235">SUM(Q571:Q579)</f>
        <v>0</v>
      </c>
      <c r="R580" s="63">
        <f t="shared" si="235"/>
        <v>6212135.672551712</v>
      </c>
      <c r="S580" s="63">
        <f t="shared" si="235"/>
        <v>0</v>
      </c>
      <c r="T580" s="63">
        <f t="shared" si="235"/>
        <v>9536738.2354523409</v>
      </c>
      <c r="U580" s="63">
        <f t="shared" si="235"/>
        <v>15606193.407375533</v>
      </c>
      <c r="V580" s="63">
        <f t="shared" si="235"/>
        <v>2660836.9943457851</v>
      </c>
      <c r="W580" s="63">
        <f t="shared" si="235"/>
        <v>4546719.1268392131</v>
      </c>
      <c r="X580" s="63">
        <f t="shared" si="235"/>
        <v>3259675.1829248848</v>
      </c>
      <c r="Y580" s="63">
        <f t="shared" si="235"/>
        <v>1816968.7180794806</v>
      </c>
      <c r="Z580" s="63">
        <f t="shared" si="235"/>
        <v>1161717.0543709998</v>
      </c>
      <c r="AA580" s="63">
        <f t="shared" si="235"/>
        <v>1184750.9707206148</v>
      </c>
      <c r="AB580" s="63">
        <f t="shared" si="235"/>
        <v>3830233.2811966836</v>
      </c>
      <c r="AC580" s="63">
        <f>SUM(AC571:AC579)</f>
        <v>0</v>
      </c>
      <c r="AD580" s="63">
        <f>SUM(AD571:AD579)</f>
        <v>0</v>
      </c>
      <c r="AE580" s="63">
        <f>SUM(AE571:AE579)</f>
        <v>0</v>
      </c>
      <c r="AF580" s="63">
        <f>SUM(H580:AE580)</f>
        <v>277122835.61762846</v>
      </c>
      <c r="AG580" s="58" t="str">
        <f>IF(ABS(AF580-F580)&lt;1,"ok","err")</f>
        <v>ok</v>
      </c>
    </row>
    <row r="581" spans="1:33">
      <c r="A581" s="60"/>
      <c r="B581" s="60"/>
      <c r="F581" s="76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58"/>
    </row>
    <row r="582" spans="1:33" ht="14.1">
      <c r="A582" s="65" t="s">
        <v>718</v>
      </c>
      <c r="B582" s="60"/>
      <c r="F582" s="76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58"/>
    </row>
    <row r="583" spans="1:33" ht="14.1">
      <c r="A583" s="65"/>
      <c r="B583" s="60" t="s">
        <v>681</v>
      </c>
      <c r="C583" s="94" t="s">
        <v>719</v>
      </c>
      <c r="D583" s="44" t="s">
        <v>616</v>
      </c>
      <c r="F583" s="76">
        <v>0</v>
      </c>
      <c r="H583" s="63">
        <f t="shared" ref="H583:Q586" si="236">IF(VLOOKUP($D583,$C$6:$AE$653,H$2,)=0,0,((VLOOKUP($D583,$C$6:$AE$653,H$2,)/VLOOKUP($D583,$C$6:$AE$653,4,))*$F583))</f>
        <v>0</v>
      </c>
      <c r="I583" s="63">
        <f t="shared" si="236"/>
        <v>0</v>
      </c>
      <c r="J583" s="63">
        <f t="shared" si="236"/>
        <v>0</v>
      </c>
      <c r="K583" s="63">
        <f t="shared" si="236"/>
        <v>0</v>
      </c>
      <c r="L583" s="63">
        <f t="shared" si="236"/>
        <v>0</v>
      </c>
      <c r="M583" s="63">
        <f t="shared" si="236"/>
        <v>0</v>
      </c>
      <c r="N583" s="63">
        <f t="shared" si="236"/>
        <v>0</v>
      </c>
      <c r="O583" s="63">
        <f t="shared" si="236"/>
        <v>0</v>
      </c>
      <c r="P583" s="63">
        <f t="shared" si="236"/>
        <v>0</v>
      </c>
      <c r="Q583" s="63">
        <f t="shared" si="236"/>
        <v>0</v>
      </c>
      <c r="R583" s="63">
        <f t="shared" ref="R583:AE586" si="237">IF(VLOOKUP($D583,$C$6:$AE$653,R$2,)=0,0,((VLOOKUP($D583,$C$6:$AE$653,R$2,)/VLOOKUP($D583,$C$6:$AE$653,4,))*$F583))</f>
        <v>0</v>
      </c>
      <c r="S583" s="63">
        <f t="shared" si="237"/>
        <v>0</v>
      </c>
      <c r="T583" s="63">
        <f t="shared" si="237"/>
        <v>0</v>
      </c>
      <c r="U583" s="63">
        <f t="shared" si="237"/>
        <v>0</v>
      </c>
      <c r="V583" s="63">
        <f t="shared" si="237"/>
        <v>0</v>
      </c>
      <c r="W583" s="63">
        <f t="shared" si="237"/>
        <v>0</v>
      </c>
      <c r="X583" s="63">
        <f t="shared" si="237"/>
        <v>0</v>
      </c>
      <c r="Y583" s="63">
        <f t="shared" si="237"/>
        <v>0</v>
      </c>
      <c r="Z583" s="63">
        <f t="shared" si="237"/>
        <v>0</v>
      </c>
      <c r="AA583" s="63">
        <f t="shared" si="237"/>
        <v>0</v>
      </c>
      <c r="AB583" s="63">
        <f t="shared" si="237"/>
        <v>0</v>
      </c>
      <c r="AC583" s="63">
        <f t="shared" si="237"/>
        <v>0</v>
      </c>
      <c r="AD583" s="63">
        <f t="shared" si="237"/>
        <v>0</v>
      </c>
      <c r="AE583" s="63">
        <f t="shared" si="237"/>
        <v>0</v>
      </c>
      <c r="AF583" s="63">
        <f>SUM(H583:AE583)</f>
        <v>0</v>
      </c>
      <c r="AG583" s="58" t="str">
        <f>IF(ABS(AF583-F583)&lt;1,"ok","err")</f>
        <v>ok</v>
      </c>
    </row>
    <row r="584" spans="1:33" ht="14.1">
      <c r="A584" s="65"/>
      <c r="B584" s="60" t="s">
        <v>1054</v>
      </c>
      <c r="C584" s="94" t="s">
        <v>720</v>
      </c>
      <c r="D584" s="44" t="s">
        <v>1085</v>
      </c>
      <c r="F584" s="79">
        <v>0</v>
      </c>
      <c r="H584" s="63">
        <f t="shared" si="236"/>
        <v>0</v>
      </c>
      <c r="I584" s="63">
        <f t="shared" si="236"/>
        <v>0</v>
      </c>
      <c r="J584" s="63">
        <f t="shared" si="236"/>
        <v>0</v>
      </c>
      <c r="K584" s="63">
        <f t="shared" si="236"/>
        <v>0</v>
      </c>
      <c r="L584" s="63">
        <f t="shared" si="236"/>
        <v>0</v>
      </c>
      <c r="M584" s="63">
        <f t="shared" si="236"/>
        <v>0</v>
      </c>
      <c r="N584" s="63">
        <f t="shared" si="236"/>
        <v>0</v>
      </c>
      <c r="O584" s="63">
        <f t="shared" si="236"/>
        <v>0</v>
      </c>
      <c r="P584" s="63">
        <f t="shared" si="236"/>
        <v>0</v>
      </c>
      <c r="Q584" s="63">
        <f t="shared" si="236"/>
        <v>0</v>
      </c>
      <c r="R584" s="63">
        <f t="shared" si="237"/>
        <v>0</v>
      </c>
      <c r="S584" s="63">
        <f t="shared" si="237"/>
        <v>0</v>
      </c>
      <c r="T584" s="63">
        <f t="shared" si="237"/>
        <v>0</v>
      </c>
      <c r="U584" s="63">
        <f t="shared" si="237"/>
        <v>0</v>
      </c>
      <c r="V584" s="63">
        <f t="shared" si="237"/>
        <v>0</v>
      </c>
      <c r="W584" s="63">
        <f t="shared" si="237"/>
        <v>0</v>
      </c>
      <c r="X584" s="63">
        <f t="shared" si="237"/>
        <v>0</v>
      </c>
      <c r="Y584" s="63">
        <f t="shared" si="237"/>
        <v>0</v>
      </c>
      <c r="Z584" s="63">
        <f t="shared" si="237"/>
        <v>0</v>
      </c>
      <c r="AA584" s="63">
        <f t="shared" si="237"/>
        <v>0</v>
      </c>
      <c r="AB584" s="63">
        <f t="shared" si="237"/>
        <v>0</v>
      </c>
      <c r="AC584" s="63">
        <f t="shared" si="237"/>
        <v>0</v>
      </c>
      <c r="AD584" s="63">
        <f t="shared" si="237"/>
        <v>0</v>
      </c>
      <c r="AE584" s="63">
        <f t="shared" si="237"/>
        <v>0</v>
      </c>
      <c r="AF584" s="63">
        <f>SUM(H584:AE584)</f>
        <v>0</v>
      </c>
      <c r="AG584" s="58" t="str">
        <f>IF(ABS(AF584-F584)&lt;1,"ok","err")</f>
        <v>ok</v>
      </c>
    </row>
    <row r="585" spans="1:33" ht="14.1">
      <c r="A585" s="65"/>
      <c r="B585" s="60" t="s">
        <v>862</v>
      </c>
      <c r="C585" s="94" t="s">
        <v>721</v>
      </c>
      <c r="D585" s="44" t="s">
        <v>859</v>
      </c>
      <c r="F585" s="79">
        <v>0</v>
      </c>
      <c r="H585" s="63">
        <f t="shared" si="236"/>
        <v>0</v>
      </c>
      <c r="I585" s="63">
        <f t="shared" si="236"/>
        <v>0</v>
      </c>
      <c r="J585" s="63">
        <f t="shared" si="236"/>
        <v>0</v>
      </c>
      <c r="K585" s="63">
        <f t="shared" si="236"/>
        <v>0</v>
      </c>
      <c r="L585" s="63">
        <f t="shared" si="236"/>
        <v>0</v>
      </c>
      <c r="M585" s="63">
        <f t="shared" si="236"/>
        <v>0</v>
      </c>
      <c r="N585" s="63">
        <f t="shared" si="236"/>
        <v>0</v>
      </c>
      <c r="O585" s="63">
        <f t="shared" si="236"/>
        <v>0</v>
      </c>
      <c r="P585" s="63">
        <f t="shared" si="236"/>
        <v>0</v>
      </c>
      <c r="Q585" s="63">
        <f t="shared" si="236"/>
        <v>0</v>
      </c>
      <c r="R585" s="63">
        <f t="shared" si="237"/>
        <v>0</v>
      </c>
      <c r="S585" s="63">
        <f t="shared" si="237"/>
        <v>0</v>
      </c>
      <c r="T585" s="63">
        <f t="shared" si="237"/>
        <v>0</v>
      </c>
      <c r="U585" s="63">
        <f t="shared" si="237"/>
        <v>0</v>
      </c>
      <c r="V585" s="63">
        <f t="shared" si="237"/>
        <v>0</v>
      </c>
      <c r="W585" s="63">
        <f t="shared" si="237"/>
        <v>0</v>
      </c>
      <c r="X585" s="63">
        <f t="shared" si="237"/>
        <v>0</v>
      </c>
      <c r="Y585" s="63">
        <f t="shared" si="237"/>
        <v>0</v>
      </c>
      <c r="Z585" s="63">
        <f t="shared" si="237"/>
        <v>0</v>
      </c>
      <c r="AA585" s="63">
        <f t="shared" si="237"/>
        <v>0</v>
      </c>
      <c r="AB585" s="63">
        <f t="shared" si="237"/>
        <v>0</v>
      </c>
      <c r="AC585" s="63">
        <f t="shared" si="237"/>
        <v>0</v>
      </c>
      <c r="AD585" s="63">
        <f t="shared" si="237"/>
        <v>0</v>
      </c>
      <c r="AE585" s="63">
        <f t="shared" si="237"/>
        <v>0</v>
      </c>
      <c r="AF585" s="63">
        <f>SUM(H585:AE585)</f>
        <v>0</v>
      </c>
      <c r="AG585" s="58" t="str">
        <f>IF(ABS(AF585-F585)&lt;1,"ok","err")</f>
        <v>ok</v>
      </c>
    </row>
    <row r="586" spans="1:33" ht="14.1">
      <c r="A586" s="65"/>
      <c r="B586" s="60" t="s">
        <v>682</v>
      </c>
      <c r="C586" s="94" t="s">
        <v>722</v>
      </c>
      <c r="D586" s="44" t="s">
        <v>882</v>
      </c>
      <c r="F586" s="79">
        <v>0</v>
      </c>
      <c r="H586" s="63">
        <f t="shared" si="236"/>
        <v>0</v>
      </c>
      <c r="I586" s="63">
        <f t="shared" si="236"/>
        <v>0</v>
      </c>
      <c r="J586" s="63">
        <f t="shared" si="236"/>
        <v>0</v>
      </c>
      <c r="K586" s="63">
        <f t="shared" si="236"/>
        <v>0</v>
      </c>
      <c r="L586" s="63">
        <f t="shared" si="236"/>
        <v>0</v>
      </c>
      <c r="M586" s="63">
        <f t="shared" si="236"/>
        <v>0</v>
      </c>
      <c r="N586" s="63">
        <f t="shared" si="236"/>
        <v>0</v>
      </c>
      <c r="O586" s="63">
        <f t="shared" si="236"/>
        <v>0</v>
      </c>
      <c r="P586" s="63">
        <f t="shared" si="236"/>
        <v>0</v>
      </c>
      <c r="Q586" s="63">
        <f t="shared" si="236"/>
        <v>0</v>
      </c>
      <c r="R586" s="63">
        <f t="shared" si="237"/>
        <v>0</v>
      </c>
      <c r="S586" s="63">
        <f t="shared" si="237"/>
        <v>0</v>
      </c>
      <c r="T586" s="63">
        <f t="shared" si="237"/>
        <v>0</v>
      </c>
      <c r="U586" s="63">
        <f t="shared" si="237"/>
        <v>0</v>
      </c>
      <c r="V586" s="63">
        <f t="shared" si="237"/>
        <v>0</v>
      </c>
      <c r="W586" s="63">
        <f t="shared" si="237"/>
        <v>0</v>
      </c>
      <c r="X586" s="63">
        <f t="shared" si="237"/>
        <v>0</v>
      </c>
      <c r="Y586" s="63">
        <f t="shared" si="237"/>
        <v>0</v>
      </c>
      <c r="Z586" s="63">
        <f t="shared" si="237"/>
        <v>0</v>
      </c>
      <c r="AA586" s="63">
        <f t="shared" si="237"/>
        <v>0</v>
      </c>
      <c r="AB586" s="63">
        <f t="shared" si="237"/>
        <v>0</v>
      </c>
      <c r="AC586" s="63">
        <f t="shared" si="237"/>
        <v>0</v>
      </c>
      <c r="AD586" s="63">
        <f t="shared" si="237"/>
        <v>0</v>
      </c>
      <c r="AE586" s="63">
        <f t="shared" si="237"/>
        <v>0</v>
      </c>
      <c r="AF586" s="63">
        <f>SUM(H586:AE586)</f>
        <v>0</v>
      </c>
      <c r="AG586" s="58" t="str">
        <f>IF(ABS(AF586-F586)&lt;1,"ok","err")</f>
        <v>ok</v>
      </c>
    </row>
    <row r="587" spans="1:33" ht="14.1">
      <c r="A587" s="65"/>
      <c r="B587" s="60"/>
      <c r="F587" s="76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58"/>
    </row>
    <row r="588" spans="1:33">
      <c r="A588" s="60" t="s">
        <v>717</v>
      </c>
      <c r="B588" s="60"/>
      <c r="C588" s="94" t="s">
        <v>724</v>
      </c>
      <c r="F588" s="76">
        <f>SUM(F583:F587)</f>
        <v>0</v>
      </c>
      <c r="H588" s="62">
        <f t="shared" ref="H588:AE588" si="238">SUM(H583:H587)</f>
        <v>0</v>
      </c>
      <c r="I588" s="62">
        <f t="shared" si="238"/>
        <v>0</v>
      </c>
      <c r="J588" s="62">
        <f t="shared" si="238"/>
        <v>0</v>
      </c>
      <c r="K588" s="62">
        <f t="shared" si="238"/>
        <v>0</v>
      </c>
      <c r="L588" s="62">
        <f t="shared" si="238"/>
        <v>0</v>
      </c>
      <c r="M588" s="62">
        <f t="shared" si="238"/>
        <v>0</v>
      </c>
      <c r="N588" s="62">
        <f t="shared" si="238"/>
        <v>0</v>
      </c>
      <c r="O588" s="62">
        <f t="shared" si="238"/>
        <v>0</v>
      </c>
      <c r="P588" s="62">
        <f t="shared" si="238"/>
        <v>0</v>
      </c>
      <c r="Q588" s="62">
        <f t="shared" si="238"/>
        <v>0</v>
      </c>
      <c r="R588" s="62">
        <f t="shared" si="238"/>
        <v>0</v>
      </c>
      <c r="S588" s="62">
        <f t="shared" si="238"/>
        <v>0</v>
      </c>
      <c r="T588" s="62">
        <f t="shared" si="238"/>
        <v>0</v>
      </c>
      <c r="U588" s="62">
        <f t="shared" si="238"/>
        <v>0</v>
      </c>
      <c r="V588" s="62">
        <f t="shared" si="238"/>
        <v>0</v>
      </c>
      <c r="W588" s="62">
        <f t="shared" si="238"/>
        <v>0</v>
      </c>
      <c r="X588" s="62">
        <f t="shared" si="238"/>
        <v>0</v>
      </c>
      <c r="Y588" s="62">
        <f t="shared" si="238"/>
        <v>0</v>
      </c>
      <c r="Z588" s="62">
        <f t="shared" si="238"/>
        <v>0</v>
      </c>
      <c r="AA588" s="62">
        <f t="shared" si="238"/>
        <v>0</v>
      </c>
      <c r="AB588" s="62">
        <f t="shared" si="238"/>
        <v>0</v>
      </c>
      <c r="AC588" s="62">
        <f t="shared" si="238"/>
        <v>0</v>
      </c>
      <c r="AD588" s="62">
        <f t="shared" si="238"/>
        <v>0</v>
      </c>
      <c r="AE588" s="62">
        <f t="shared" si="238"/>
        <v>0</v>
      </c>
      <c r="AF588" s="63">
        <f>SUM(H588:AE588)</f>
        <v>0</v>
      </c>
      <c r="AG588" s="58" t="str">
        <f>IF(ABS(AF588-F588)&lt;1,"ok","err")</f>
        <v>ok</v>
      </c>
    </row>
    <row r="589" spans="1:33">
      <c r="A589" s="60"/>
      <c r="B589" s="60"/>
      <c r="F589" s="79"/>
      <c r="AG589" s="58"/>
    </row>
    <row r="590" spans="1:33" ht="14.1">
      <c r="A590" s="65" t="s">
        <v>688</v>
      </c>
      <c r="B590" s="60"/>
      <c r="F590" s="76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58"/>
    </row>
    <row r="591" spans="1:33" ht="14.1">
      <c r="A591" s="65"/>
      <c r="B591" s="60" t="s">
        <v>681</v>
      </c>
      <c r="C591" s="44" t="s">
        <v>689</v>
      </c>
      <c r="D591" s="44" t="s">
        <v>616</v>
      </c>
      <c r="F591" s="76">
        <v>0</v>
      </c>
      <c r="H591" s="63">
        <f t="shared" ref="H591:Q594" si="239">IF(VLOOKUP($D591,$C$6:$AE$653,H$2,)=0,0,((VLOOKUP($D591,$C$6:$AE$653,H$2,)/VLOOKUP($D591,$C$6:$AE$653,4,))*$F591))</f>
        <v>0</v>
      </c>
      <c r="I591" s="63">
        <f t="shared" si="239"/>
        <v>0</v>
      </c>
      <c r="J591" s="63">
        <f t="shared" si="239"/>
        <v>0</v>
      </c>
      <c r="K591" s="63">
        <f t="shared" si="239"/>
        <v>0</v>
      </c>
      <c r="L591" s="63">
        <f t="shared" si="239"/>
        <v>0</v>
      </c>
      <c r="M591" s="63">
        <f t="shared" si="239"/>
        <v>0</v>
      </c>
      <c r="N591" s="63">
        <f t="shared" si="239"/>
        <v>0</v>
      </c>
      <c r="O591" s="63">
        <f t="shared" si="239"/>
        <v>0</v>
      </c>
      <c r="P591" s="63">
        <f t="shared" si="239"/>
        <v>0</v>
      </c>
      <c r="Q591" s="63">
        <f t="shared" si="239"/>
        <v>0</v>
      </c>
      <c r="R591" s="63">
        <f t="shared" ref="R591:AE594" si="240">IF(VLOOKUP($D591,$C$6:$AE$653,R$2,)=0,0,((VLOOKUP($D591,$C$6:$AE$653,R$2,)/VLOOKUP($D591,$C$6:$AE$653,4,))*$F591))</f>
        <v>0</v>
      </c>
      <c r="S591" s="63">
        <f t="shared" si="240"/>
        <v>0</v>
      </c>
      <c r="T591" s="63">
        <f t="shared" si="240"/>
        <v>0</v>
      </c>
      <c r="U591" s="63">
        <f t="shared" si="240"/>
        <v>0</v>
      </c>
      <c r="V591" s="63">
        <f t="shared" si="240"/>
        <v>0</v>
      </c>
      <c r="W591" s="63">
        <f t="shared" si="240"/>
        <v>0</v>
      </c>
      <c r="X591" s="63">
        <f t="shared" si="240"/>
        <v>0</v>
      </c>
      <c r="Y591" s="63">
        <f t="shared" si="240"/>
        <v>0</v>
      </c>
      <c r="Z591" s="63">
        <f t="shared" si="240"/>
        <v>0</v>
      </c>
      <c r="AA591" s="63">
        <f t="shared" si="240"/>
        <v>0</v>
      </c>
      <c r="AB591" s="63">
        <f t="shared" si="240"/>
        <v>0</v>
      </c>
      <c r="AC591" s="63">
        <f t="shared" si="240"/>
        <v>0</v>
      </c>
      <c r="AD591" s="63">
        <f t="shared" si="240"/>
        <v>0</v>
      </c>
      <c r="AE591" s="63">
        <f t="shared" si="240"/>
        <v>0</v>
      </c>
      <c r="AF591" s="63">
        <f>SUM(H591:AE591)</f>
        <v>0</v>
      </c>
      <c r="AG591" s="58" t="str">
        <f>IF(ABS(AF591-F591)&lt;1,"ok","err")</f>
        <v>ok</v>
      </c>
    </row>
    <row r="592" spans="1:33" ht="14.1">
      <c r="A592" s="65"/>
      <c r="B592" s="60" t="s">
        <v>1054</v>
      </c>
      <c r="C592" s="44" t="s">
        <v>691</v>
      </c>
      <c r="D592" s="44" t="s">
        <v>1085</v>
      </c>
      <c r="F592" s="79">
        <v>0</v>
      </c>
      <c r="H592" s="63">
        <f t="shared" si="239"/>
        <v>0</v>
      </c>
      <c r="I592" s="63">
        <f t="shared" si="239"/>
        <v>0</v>
      </c>
      <c r="J592" s="63">
        <f t="shared" si="239"/>
        <v>0</v>
      </c>
      <c r="K592" s="63">
        <f t="shared" si="239"/>
        <v>0</v>
      </c>
      <c r="L592" s="63">
        <f t="shared" si="239"/>
        <v>0</v>
      </c>
      <c r="M592" s="63">
        <f t="shared" si="239"/>
        <v>0</v>
      </c>
      <c r="N592" s="63">
        <f t="shared" si="239"/>
        <v>0</v>
      </c>
      <c r="O592" s="63">
        <f t="shared" si="239"/>
        <v>0</v>
      </c>
      <c r="P592" s="63">
        <f t="shared" si="239"/>
        <v>0</v>
      </c>
      <c r="Q592" s="63">
        <f t="shared" si="239"/>
        <v>0</v>
      </c>
      <c r="R592" s="63">
        <f t="shared" si="240"/>
        <v>0</v>
      </c>
      <c r="S592" s="63">
        <f t="shared" si="240"/>
        <v>0</v>
      </c>
      <c r="T592" s="63">
        <f t="shared" si="240"/>
        <v>0</v>
      </c>
      <c r="U592" s="63">
        <f t="shared" si="240"/>
        <v>0</v>
      </c>
      <c r="V592" s="63">
        <f t="shared" si="240"/>
        <v>0</v>
      </c>
      <c r="W592" s="63">
        <f t="shared" si="240"/>
        <v>0</v>
      </c>
      <c r="X592" s="63">
        <f t="shared" si="240"/>
        <v>0</v>
      </c>
      <c r="Y592" s="63">
        <f t="shared" si="240"/>
        <v>0</v>
      </c>
      <c r="Z592" s="63">
        <f t="shared" si="240"/>
        <v>0</v>
      </c>
      <c r="AA592" s="63">
        <f t="shared" si="240"/>
        <v>0</v>
      </c>
      <c r="AB592" s="63">
        <f t="shared" si="240"/>
        <v>0</v>
      </c>
      <c r="AC592" s="63">
        <f t="shared" si="240"/>
        <v>0</v>
      </c>
      <c r="AD592" s="63">
        <f t="shared" si="240"/>
        <v>0</v>
      </c>
      <c r="AE592" s="63">
        <f t="shared" si="240"/>
        <v>0</v>
      </c>
      <c r="AF592" s="63">
        <f>SUM(H592:AE592)</f>
        <v>0</v>
      </c>
      <c r="AG592" s="58" t="str">
        <f>IF(ABS(AF592-F592)&lt;1,"ok","err")</f>
        <v>ok</v>
      </c>
    </row>
    <row r="593" spans="1:33" ht="14.1">
      <c r="A593" s="65"/>
      <c r="B593" s="60" t="s">
        <v>862</v>
      </c>
      <c r="C593" s="44" t="s">
        <v>690</v>
      </c>
      <c r="D593" s="44" t="s">
        <v>859</v>
      </c>
      <c r="F593" s="79">
        <v>0</v>
      </c>
      <c r="H593" s="63">
        <f t="shared" si="239"/>
        <v>0</v>
      </c>
      <c r="I593" s="63">
        <f t="shared" si="239"/>
        <v>0</v>
      </c>
      <c r="J593" s="63">
        <f t="shared" si="239"/>
        <v>0</v>
      </c>
      <c r="K593" s="63">
        <f t="shared" si="239"/>
        <v>0</v>
      </c>
      <c r="L593" s="63">
        <f t="shared" si="239"/>
        <v>0</v>
      </c>
      <c r="M593" s="63">
        <f t="shared" si="239"/>
        <v>0</v>
      </c>
      <c r="N593" s="63">
        <f t="shared" si="239"/>
        <v>0</v>
      </c>
      <c r="O593" s="63">
        <f t="shared" si="239"/>
        <v>0</v>
      </c>
      <c r="P593" s="63">
        <f t="shared" si="239"/>
        <v>0</v>
      </c>
      <c r="Q593" s="63">
        <f t="shared" si="239"/>
        <v>0</v>
      </c>
      <c r="R593" s="63">
        <f t="shared" si="240"/>
        <v>0</v>
      </c>
      <c r="S593" s="63">
        <f t="shared" si="240"/>
        <v>0</v>
      </c>
      <c r="T593" s="63">
        <f t="shared" si="240"/>
        <v>0</v>
      </c>
      <c r="U593" s="63">
        <f t="shared" si="240"/>
        <v>0</v>
      </c>
      <c r="V593" s="63">
        <f t="shared" si="240"/>
        <v>0</v>
      </c>
      <c r="W593" s="63">
        <f t="shared" si="240"/>
        <v>0</v>
      </c>
      <c r="X593" s="63">
        <f t="shared" si="240"/>
        <v>0</v>
      </c>
      <c r="Y593" s="63">
        <f t="shared" si="240"/>
        <v>0</v>
      </c>
      <c r="Z593" s="63">
        <f t="shared" si="240"/>
        <v>0</v>
      </c>
      <c r="AA593" s="63">
        <f t="shared" si="240"/>
        <v>0</v>
      </c>
      <c r="AB593" s="63">
        <f t="shared" si="240"/>
        <v>0</v>
      </c>
      <c r="AC593" s="63">
        <f t="shared" si="240"/>
        <v>0</v>
      </c>
      <c r="AD593" s="63">
        <f t="shared" si="240"/>
        <v>0</v>
      </c>
      <c r="AE593" s="63">
        <f t="shared" si="240"/>
        <v>0</v>
      </c>
      <c r="AF593" s="63">
        <f>SUM(H593:AE593)</f>
        <v>0</v>
      </c>
      <c r="AG593" s="58" t="str">
        <f>IF(ABS(AF593-F593)&lt;1,"ok","err")</f>
        <v>ok</v>
      </c>
    </row>
    <row r="594" spans="1:33" ht="14.1">
      <c r="A594" s="65"/>
      <c r="B594" s="60" t="s">
        <v>682</v>
      </c>
      <c r="C594" s="94" t="s">
        <v>723</v>
      </c>
      <c r="D594" s="44" t="s">
        <v>882</v>
      </c>
      <c r="F594" s="79">
        <v>0</v>
      </c>
      <c r="H594" s="63">
        <f t="shared" si="239"/>
        <v>0</v>
      </c>
      <c r="I594" s="63">
        <f t="shared" si="239"/>
        <v>0</v>
      </c>
      <c r="J594" s="63">
        <f t="shared" si="239"/>
        <v>0</v>
      </c>
      <c r="K594" s="63">
        <f t="shared" si="239"/>
        <v>0</v>
      </c>
      <c r="L594" s="63">
        <f t="shared" si="239"/>
        <v>0</v>
      </c>
      <c r="M594" s="63">
        <f t="shared" si="239"/>
        <v>0</v>
      </c>
      <c r="N594" s="63">
        <f t="shared" si="239"/>
        <v>0</v>
      </c>
      <c r="O594" s="63">
        <f t="shared" si="239"/>
        <v>0</v>
      </c>
      <c r="P594" s="63">
        <f t="shared" si="239"/>
        <v>0</v>
      </c>
      <c r="Q594" s="63">
        <f t="shared" si="239"/>
        <v>0</v>
      </c>
      <c r="R594" s="63">
        <f t="shared" si="240"/>
        <v>0</v>
      </c>
      <c r="S594" s="63">
        <f t="shared" si="240"/>
        <v>0</v>
      </c>
      <c r="T594" s="63">
        <f t="shared" si="240"/>
        <v>0</v>
      </c>
      <c r="U594" s="63">
        <f t="shared" si="240"/>
        <v>0</v>
      </c>
      <c r="V594" s="63">
        <f t="shared" si="240"/>
        <v>0</v>
      </c>
      <c r="W594" s="63">
        <f t="shared" si="240"/>
        <v>0</v>
      </c>
      <c r="X594" s="63">
        <f t="shared" si="240"/>
        <v>0</v>
      </c>
      <c r="Y594" s="63">
        <f t="shared" si="240"/>
        <v>0</v>
      </c>
      <c r="Z594" s="63">
        <f t="shared" si="240"/>
        <v>0</v>
      </c>
      <c r="AA594" s="63">
        <f t="shared" si="240"/>
        <v>0</v>
      </c>
      <c r="AB594" s="63">
        <f t="shared" si="240"/>
        <v>0</v>
      </c>
      <c r="AC594" s="63">
        <f t="shared" si="240"/>
        <v>0</v>
      </c>
      <c r="AD594" s="63">
        <f t="shared" si="240"/>
        <v>0</v>
      </c>
      <c r="AE594" s="63">
        <f t="shared" si="240"/>
        <v>0</v>
      </c>
      <c r="AF594" s="63">
        <f>SUM(H594:AE594)</f>
        <v>0</v>
      </c>
      <c r="AG594" s="58" t="str">
        <f>IF(ABS(AF594-F594)&lt;1,"ok","err")</f>
        <v>ok</v>
      </c>
    </row>
    <row r="595" spans="1:33" ht="14.1">
      <c r="A595" s="65"/>
      <c r="B595" s="60"/>
      <c r="F595" s="76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58"/>
    </row>
    <row r="596" spans="1:33">
      <c r="A596" s="60" t="s">
        <v>692</v>
      </c>
      <c r="B596" s="60"/>
      <c r="C596" s="44" t="s">
        <v>694</v>
      </c>
      <c r="F596" s="76">
        <f>SUM(F591:F595)</f>
        <v>0</v>
      </c>
      <c r="H596" s="62">
        <f>SUM(H591:H595)</f>
        <v>0</v>
      </c>
      <c r="I596" s="62">
        <f t="shared" ref="I596:W596" si="241">SUM(I591:I595)</f>
        <v>0</v>
      </c>
      <c r="J596" s="62">
        <f t="shared" si="241"/>
        <v>0</v>
      </c>
      <c r="K596" s="62">
        <f t="shared" si="241"/>
        <v>0</v>
      </c>
      <c r="L596" s="62">
        <f t="shared" si="241"/>
        <v>0</v>
      </c>
      <c r="M596" s="62">
        <f t="shared" si="241"/>
        <v>0</v>
      </c>
      <c r="N596" s="62">
        <f t="shared" si="241"/>
        <v>0</v>
      </c>
      <c r="O596" s="62">
        <f t="shared" si="241"/>
        <v>0</v>
      </c>
      <c r="P596" s="62">
        <f t="shared" si="241"/>
        <v>0</v>
      </c>
      <c r="Q596" s="62">
        <f t="shared" si="241"/>
        <v>0</v>
      </c>
      <c r="R596" s="62">
        <f t="shared" si="241"/>
        <v>0</v>
      </c>
      <c r="S596" s="62">
        <f t="shared" si="241"/>
        <v>0</v>
      </c>
      <c r="T596" s="62">
        <f t="shared" si="241"/>
        <v>0</v>
      </c>
      <c r="U596" s="62">
        <f t="shared" si="241"/>
        <v>0</v>
      </c>
      <c r="V596" s="62">
        <f t="shared" si="241"/>
        <v>0</v>
      </c>
      <c r="W596" s="62">
        <f t="shared" si="241"/>
        <v>0</v>
      </c>
      <c r="X596" s="62">
        <f t="shared" ref="X596:AE596" si="242">SUM(X591:X595)</f>
        <v>0</v>
      </c>
      <c r="Y596" s="62">
        <f t="shared" si="242"/>
        <v>0</v>
      </c>
      <c r="Z596" s="62">
        <f t="shared" si="242"/>
        <v>0</v>
      </c>
      <c r="AA596" s="62">
        <f t="shared" si="242"/>
        <v>0</v>
      </c>
      <c r="AB596" s="62">
        <f t="shared" si="242"/>
        <v>0</v>
      </c>
      <c r="AC596" s="62">
        <f t="shared" si="242"/>
        <v>0</v>
      </c>
      <c r="AD596" s="62">
        <f t="shared" si="242"/>
        <v>0</v>
      </c>
      <c r="AE596" s="62">
        <f t="shared" si="242"/>
        <v>0</v>
      </c>
      <c r="AF596" s="63">
        <f>SUM(H596:AE596)</f>
        <v>0</v>
      </c>
      <c r="AG596" s="58" t="str">
        <f>IF(ABS(AF596-F596)&lt;1,"ok","err")</f>
        <v>ok</v>
      </c>
    </row>
    <row r="597" spans="1:33">
      <c r="A597" s="60"/>
      <c r="B597" s="60"/>
      <c r="F597" s="79"/>
      <c r="AG597" s="58"/>
    </row>
    <row r="598" spans="1:33">
      <c r="A598" s="60" t="s">
        <v>614</v>
      </c>
      <c r="B598" s="60"/>
      <c r="C598" s="44" t="s">
        <v>998</v>
      </c>
      <c r="D598" s="44" t="s">
        <v>892</v>
      </c>
      <c r="F598" s="173">
        <f>42949138.113755-612416</f>
        <v>42336722.113755003</v>
      </c>
      <c r="H598" s="63">
        <f t="shared" ref="H598:AE598" si="243">IF(VLOOKUP($D598,$C$6:$AE$653,H$2,)=0,0,((VLOOKUP($D598,$C$6:$AE$653,H$2,)/VLOOKUP($D598,$C$6:$AE$653,4,))*$F598))</f>
        <v>25721710.883164674</v>
      </c>
      <c r="I598" s="63">
        <f t="shared" si="243"/>
        <v>0</v>
      </c>
      <c r="J598" s="63">
        <f t="shared" si="243"/>
        <v>0</v>
      </c>
      <c r="K598" s="63">
        <f t="shared" si="243"/>
        <v>0</v>
      </c>
      <c r="L598" s="63">
        <f t="shared" si="243"/>
        <v>0</v>
      </c>
      <c r="M598" s="63">
        <f t="shared" si="243"/>
        <v>0</v>
      </c>
      <c r="N598" s="63">
        <f t="shared" si="243"/>
        <v>4076188.9791705641</v>
      </c>
      <c r="O598" s="63">
        <f t="shared" si="243"/>
        <v>0</v>
      </c>
      <c r="P598" s="63">
        <f t="shared" si="243"/>
        <v>0</v>
      </c>
      <c r="Q598" s="63">
        <f t="shared" si="243"/>
        <v>0</v>
      </c>
      <c r="R598" s="63">
        <f t="shared" si="243"/>
        <v>1563612.3741103811</v>
      </c>
      <c r="S598" s="63">
        <f t="shared" si="243"/>
        <v>0</v>
      </c>
      <c r="T598" s="63">
        <f t="shared" si="243"/>
        <v>2400424.3789285575</v>
      </c>
      <c r="U598" s="63">
        <f t="shared" si="243"/>
        <v>3928123.6616180972</v>
      </c>
      <c r="V598" s="63">
        <f t="shared" si="243"/>
        <v>669740.30657974328</v>
      </c>
      <c r="W598" s="63">
        <f t="shared" si="243"/>
        <v>1144422.2507474481</v>
      </c>
      <c r="X598" s="63">
        <f t="shared" si="243"/>
        <v>820469.59697328508</v>
      </c>
      <c r="Y598" s="63">
        <f t="shared" si="243"/>
        <v>457336.24001704424</v>
      </c>
      <c r="Z598" s="63">
        <f t="shared" si="243"/>
        <v>292407.51605855033</v>
      </c>
      <c r="AA598" s="63">
        <f t="shared" si="243"/>
        <v>298205.21889810968</v>
      </c>
      <c r="AB598" s="63">
        <f t="shared" si="243"/>
        <v>964080.7074885543</v>
      </c>
      <c r="AC598" s="63">
        <f t="shared" si="243"/>
        <v>0</v>
      </c>
      <c r="AD598" s="63">
        <f t="shared" si="243"/>
        <v>0</v>
      </c>
      <c r="AE598" s="63">
        <f t="shared" si="243"/>
        <v>0</v>
      </c>
      <c r="AF598" s="63">
        <f>SUM(H598:AE598)</f>
        <v>42336722.11375501</v>
      </c>
      <c r="AG598" s="58" t="str">
        <f>IF(ABS(AF598-F598)&lt;1,"ok","err")</f>
        <v>ok</v>
      </c>
    </row>
    <row r="599" spans="1:33">
      <c r="A599" s="60"/>
      <c r="B599" s="60"/>
      <c r="AG599" s="58"/>
    </row>
    <row r="600" spans="1:33">
      <c r="A600" s="60" t="s">
        <v>685</v>
      </c>
      <c r="B600" s="60"/>
      <c r="C600" s="44" t="s">
        <v>515</v>
      </c>
      <c r="D600" s="44" t="s">
        <v>892</v>
      </c>
      <c r="F600" s="173">
        <v>-916996</v>
      </c>
      <c r="G600" s="62">
        <v>600157</v>
      </c>
      <c r="H600" s="63">
        <f t="shared" ref="H600:AE600" si="244">IF(VLOOKUP($D600,$C$6:$AE$653,H$2,)=0,0,((VLOOKUP($D600,$C$6:$AE$653,H$2,)/VLOOKUP($D600,$C$6:$AE$653,4,))*$F600))</f>
        <v>-557121.68574702344</v>
      </c>
      <c r="I600" s="63">
        <f t="shared" si="244"/>
        <v>0</v>
      </c>
      <c r="J600" s="63">
        <f t="shared" si="244"/>
        <v>0</v>
      </c>
      <c r="K600" s="63">
        <f t="shared" si="244"/>
        <v>0</v>
      </c>
      <c r="L600" s="63">
        <f t="shared" si="244"/>
        <v>0</v>
      </c>
      <c r="M600" s="63">
        <f t="shared" si="244"/>
        <v>0</v>
      </c>
      <c r="N600" s="63">
        <f t="shared" si="244"/>
        <v>-88288.577918248455</v>
      </c>
      <c r="O600" s="63">
        <f t="shared" si="244"/>
        <v>0</v>
      </c>
      <c r="P600" s="63">
        <f t="shared" si="244"/>
        <v>0</v>
      </c>
      <c r="Q600" s="63">
        <f t="shared" si="244"/>
        <v>0</v>
      </c>
      <c r="R600" s="63">
        <f t="shared" si="244"/>
        <v>-33867.201356712489</v>
      </c>
      <c r="S600" s="63">
        <f t="shared" si="244"/>
        <v>0</v>
      </c>
      <c r="T600" s="63">
        <f t="shared" si="244"/>
        <v>-51992.205439655867</v>
      </c>
      <c r="U600" s="63">
        <f t="shared" si="244"/>
        <v>-85081.543996974957</v>
      </c>
      <c r="V600" s="63">
        <f t="shared" si="244"/>
        <v>-14506.2997678997</v>
      </c>
      <c r="W600" s="63">
        <f t="shared" si="244"/>
        <v>-24787.715577665182</v>
      </c>
      <c r="X600" s="63">
        <f t="shared" si="244"/>
        <v>-17771.034245980842</v>
      </c>
      <c r="Y600" s="63">
        <f t="shared" si="244"/>
        <v>-9905.7149871887777</v>
      </c>
      <c r="Z600" s="63">
        <f t="shared" si="244"/>
        <v>-6333.4266142562346</v>
      </c>
      <c r="AA600" s="63">
        <f t="shared" si="244"/>
        <v>-6459.0024748242704</v>
      </c>
      <c r="AB600" s="63">
        <f t="shared" si="244"/>
        <v>-20881.59187356992</v>
      </c>
      <c r="AC600" s="63">
        <f t="shared" si="244"/>
        <v>0</v>
      </c>
      <c r="AD600" s="63">
        <f t="shared" si="244"/>
        <v>0</v>
      </c>
      <c r="AE600" s="63">
        <f t="shared" si="244"/>
        <v>0</v>
      </c>
      <c r="AF600" s="63">
        <f>SUM(H600:AE600)</f>
        <v>-916996</v>
      </c>
      <c r="AG600" s="58" t="str">
        <f>IF(ABS(AF600-F600)&lt;1,"ok","err")</f>
        <v>ok</v>
      </c>
    </row>
    <row r="601" spans="1:33">
      <c r="A601" s="60"/>
      <c r="B601" s="60"/>
      <c r="W601" s="44"/>
    </row>
    <row r="602" spans="1:33">
      <c r="A602" s="60" t="s">
        <v>716</v>
      </c>
      <c r="B602" s="60"/>
      <c r="C602" s="44" t="s">
        <v>999</v>
      </c>
      <c r="D602" s="44" t="s">
        <v>892</v>
      </c>
      <c r="F602" s="76">
        <v>0</v>
      </c>
      <c r="G602" s="62">
        <v>600157</v>
      </c>
      <c r="H602" s="63">
        <f t="shared" ref="H602:AE602" si="245">IF(VLOOKUP($D602,$C$6:$AE$653,H$2,)=0,0,((VLOOKUP($D602,$C$6:$AE$653,H$2,)/VLOOKUP($D602,$C$6:$AE$653,4,))*$F602))</f>
        <v>0</v>
      </c>
      <c r="I602" s="63">
        <f t="shared" si="245"/>
        <v>0</v>
      </c>
      <c r="J602" s="63">
        <f t="shared" si="245"/>
        <v>0</v>
      </c>
      <c r="K602" s="63">
        <f t="shared" si="245"/>
        <v>0</v>
      </c>
      <c r="L602" s="63">
        <f t="shared" si="245"/>
        <v>0</v>
      </c>
      <c r="M602" s="63">
        <f t="shared" si="245"/>
        <v>0</v>
      </c>
      <c r="N602" s="63">
        <f t="shared" si="245"/>
        <v>0</v>
      </c>
      <c r="O602" s="63">
        <f t="shared" si="245"/>
        <v>0</v>
      </c>
      <c r="P602" s="63">
        <f t="shared" si="245"/>
        <v>0</v>
      </c>
      <c r="Q602" s="63">
        <f t="shared" si="245"/>
        <v>0</v>
      </c>
      <c r="R602" s="63">
        <f t="shared" si="245"/>
        <v>0</v>
      </c>
      <c r="S602" s="63">
        <f t="shared" si="245"/>
        <v>0</v>
      </c>
      <c r="T602" s="63">
        <f t="shared" si="245"/>
        <v>0</v>
      </c>
      <c r="U602" s="63">
        <f t="shared" si="245"/>
        <v>0</v>
      </c>
      <c r="V602" s="63">
        <f t="shared" si="245"/>
        <v>0</v>
      </c>
      <c r="W602" s="63">
        <f t="shared" si="245"/>
        <v>0</v>
      </c>
      <c r="X602" s="63">
        <f t="shared" si="245"/>
        <v>0</v>
      </c>
      <c r="Y602" s="63">
        <f t="shared" si="245"/>
        <v>0</v>
      </c>
      <c r="Z602" s="63">
        <f t="shared" si="245"/>
        <v>0</v>
      </c>
      <c r="AA602" s="63">
        <f t="shared" si="245"/>
        <v>0</v>
      </c>
      <c r="AB602" s="63">
        <f t="shared" si="245"/>
        <v>0</v>
      </c>
      <c r="AC602" s="63">
        <f t="shared" si="245"/>
        <v>0</v>
      </c>
      <c r="AD602" s="63">
        <f t="shared" si="245"/>
        <v>0</v>
      </c>
      <c r="AE602" s="63">
        <f t="shared" si="245"/>
        <v>0</v>
      </c>
      <c r="AF602" s="63">
        <f>SUM(H602:AE602)</f>
        <v>0</v>
      </c>
      <c r="AG602" s="58" t="str">
        <f>IF(ABS(AF602-F602)&lt;1,"ok","err")</f>
        <v>ok</v>
      </c>
    </row>
    <row r="603" spans="1:33">
      <c r="A603" s="60"/>
      <c r="B603" s="60"/>
      <c r="W603" s="44"/>
    </row>
    <row r="604" spans="1:33">
      <c r="A604" s="60" t="s">
        <v>808</v>
      </c>
      <c r="B604" s="60"/>
      <c r="C604" s="44" t="s">
        <v>1000</v>
      </c>
      <c r="D604" s="44" t="s">
        <v>892</v>
      </c>
      <c r="F604" s="173">
        <v>75433705.043134421</v>
      </c>
      <c r="H604" s="63">
        <f t="shared" ref="H604:AE604" si="246">IF(VLOOKUP($D604,$C$6:$AE$653,H$2,)=0,0,((VLOOKUP($D604,$C$6:$AE$653,H$2,)/VLOOKUP($D604,$C$6:$AE$653,4,))*$F604))</f>
        <v>45829810.507106677</v>
      </c>
      <c r="I604" s="63">
        <f t="shared" si="246"/>
        <v>0</v>
      </c>
      <c r="J604" s="63">
        <f t="shared" si="246"/>
        <v>0</v>
      </c>
      <c r="K604" s="63">
        <f t="shared" si="246"/>
        <v>0</v>
      </c>
      <c r="L604" s="63">
        <f t="shared" si="246"/>
        <v>0</v>
      </c>
      <c r="M604" s="63">
        <f t="shared" si="246"/>
        <v>0</v>
      </c>
      <c r="N604" s="63">
        <f t="shared" si="246"/>
        <v>7262773.8238366842</v>
      </c>
      <c r="O604" s="63">
        <f t="shared" si="246"/>
        <v>0</v>
      </c>
      <c r="P604" s="63">
        <f t="shared" si="246"/>
        <v>0</v>
      </c>
      <c r="Q604" s="63">
        <f t="shared" si="246"/>
        <v>0</v>
      </c>
      <c r="R604" s="63">
        <f t="shared" si="246"/>
        <v>2785975.5961625697</v>
      </c>
      <c r="S604" s="63">
        <f t="shared" si="246"/>
        <v>0</v>
      </c>
      <c r="T604" s="63">
        <f t="shared" si="246"/>
        <v>4276970.3353962824</v>
      </c>
      <c r="U604" s="63">
        <f t="shared" si="246"/>
        <v>6998957.5684978701</v>
      </c>
      <c r="V604" s="63">
        <f t="shared" si="246"/>
        <v>1193313.7526870731</v>
      </c>
      <c r="W604" s="63">
        <f t="shared" si="246"/>
        <v>2039081.1143982129</v>
      </c>
      <c r="X604" s="63">
        <f t="shared" si="246"/>
        <v>1461876.5573925725</v>
      </c>
      <c r="Y604" s="63">
        <f t="shared" si="246"/>
        <v>814861.55074281059</v>
      </c>
      <c r="Z604" s="63">
        <f t="shared" si="246"/>
        <v>520998.82129490451</v>
      </c>
      <c r="AA604" s="63">
        <f t="shared" si="246"/>
        <v>531328.91262204992</v>
      </c>
      <c r="AB604" s="63">
        <f t="shared" si="246"/>
        <v>1717756.5029967262</v>
      </c>
      <c r="AC604" s="63">
        <f t="shared" si="246"/>
        <v>0</v>
      </c>
      <c r="AD604" s="63">
        <f t="shared" si="246"/>
        <v>0</v>
      </c>
      <c r="AE604" s="63">
        <f t="shared" si="246"/>
        <v>0</v>
      </c>
      <c r="AF604" s="63">
        <f>SUM(H604:AE604)</f>
        <v>75433705.043134421</v>
      </c>
      <c r="AG604" s="58" t="str">
        <f>IF(ABS(AF604-F604)&lt;1,"ok","err")</f>
        <v>ok</v>
      </c>
    </row>
    <row r="605" spans="1:33">
      <c r="A605" s="60"/>
      <c r="B605" s="60"/>
      <c r="F605" s="76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58"/>
    </row>
    <row r="606" spans="1:33">
      <c r="A606" s="60" t="s">
        <v>1001</v>
      </c>
      <c r="B606" s="60"/>
      <c r="C606" s="44" t="s">
        <v>1002</v>
      </c>
      <c r="D606" s="44" t="s">
        <v>892</v>
      </c>
      <c r="F606" s="173">
        <v>0</v>
      </c>
      <c r="H606" s="63">
        <f t="shared" ref="H606:AE606" si="247">IF(VLOOKUP($D606,$C$6:$AE$653,H$2,)=0,0,((VLOOKUP($D606,$C$6:$AE$653,H$2,)/VLOOKUP($D606,$C$6:$AE$653,4,))*$F606))</f>
        <v>0</v>
      </c>
      <c r="I606" s="63">
        <f t="shared" si="247"/>
        <v>0</v>
      </c>
      <c r="J606" s="63">
        <f t="shared" si="247"/>
        <v>0</v>
      </c>
      <c r="K606" s="63">
        <f t="shared" si="247"/>
        <v>0</v>
      </c>
      <c r="L606" s="63">
        <f t="shared" si="247"/>
        <v>0</v>
      </c>
      <c r="M606" s="63">
        <f t="shared" si="247"/>
        <v>0</v>
      </c>
      <c r="N606" s="63">
        <f t="shared" si="247"/>
        <v>0</v>
      </c>
      <c r="O606" s="63">
        <f t="shared" si="247"/>
        <v>0</v>
      </c>
      <c r="P606" s="63">
        <f t="shared" si="247"/>
        <v>0</v>
      </c>
      <c r="Q606" s="63">
        <f t="shared" si="247"/>
        <v>0</v>
      </c>
      <c r="R606" s="63">
        <f t="shared" si="247"/>
        <v>0</v>
      </c>
      <c r="S606" s="63">
        <f t="shared" si="247"/>
        <v>0</v>
      </c>
      <c r="T606" s="63">
        <f t="shared" si="247"/>
        <v>0</v>
      </c>
      <c r="U606" s="63">
        <f t="shared" si="247"/>
        <v>0</v>
      </c>
      <c r="V606" s="63">
        <f t="shared" si="247"/>
        <v>0</v>
      </c>
      <c r="W606" s="63">
        <f t="shared" si="247"/>
        <v>0</v>
      </c>
      <c r="X606" s="63">
        <f t="shared" si="247"/>
        <v>0</v>
      </c>
      <c r="Y606" s="63">
        <f t="shared" si="247"/>
        <v>0</v>
      </c>
      <c r="Z606" s="63">
        <f t="shared" si="247"/>
        <v>0</v>
      </c>
      <c r="AA606" s="63">
        <f t="shared" si="247"/>
        <v>0</v>
      </c>
      <c r="AB606" s="63">
        <f t="shared" si="247"/>
        <v>0</v>
      </c>
      <c r="AC606" s="63">
        <f t="shared" si="247"/>
        <v>0</v>
      </c>
      <c r="AD606" s="63">
        <f t="shared" si="247"/>
        <v>0</v>
      </c>
      <c r="AE606" s="63">
        <f t="shared" si="247"/>
        <v>0</v>
      </c>
      <c r="AF606" s="63">
        <f>SUM(H606:AE606)</f>
        <v>0</v>
      </c>
      <c r="AG606" s="58" t="str">
        <f>IF(ABS(AF606-F606)&lt;1,"ok","err")</f>
        <v>ok</v>
      </c>
    </row>
    <row r="607" spans="1:33">
      <c r="A607" s="60"/>
      <c r="B607" s="60"/>
      <c r="AF607" s="63"/>
      <c r="AG607" s="58"/>
    </row>
    <row r="608" spans="1:33" ht="14.1">
      <c r="A608" s="65" t="s">
        <v>1003</v>
      </c>
      <c r="B608" s="60"/>
      <c r="C608" s="44" t="s">
        <v>1004</v>
      </c>
      <c r="F608" s="80">
        <f>F580+F588+F596+F598+F600+F602+F604+F606</f>
        <v>393976266.77451777</v>
      </c>
      <c r="G608" s="64"/>
      <c r="H608" s="80">
        <f t="shared" ref="H608:AE608" si="248">H580+H588+H596+H598+H600+H602+H604+H606</f>
        <v>283727471.81559622</v>
      </c>
      <c r="I608" s="80">
        <f t="shared" si="248"/>
        <v>0</v>
      </c>
      <c r="J608" s="80">
        <f t="shared" si="248"/>
        <v>0</v>
      </c>
      <c r="K608" s="80">
        <f t="shared" si="248"/>
        <v>0</v>
      </c>
      <c r="L608" s="80">
        <f t="shared" si="248"/>
        <v>0</v>
      </c>
      <c r="M608" s="80">
        <f t="shared" si="248"/>
        <v>0</v>
      </c>
      <c r="N608" s="80">
        <f t="shared" si="248"/>
        <v>25824469.087788243</v>
      </c>
      <c r="O608" s="80">
        <f t="shared" si="248"/>
        <v>0</v>
      </c>
      <c r="P608" s="80">
        <f t="shared" si="248"/>
        <v>0</v>
      </c>
      <c r="Q608" s="80">
        <f t="shared" si="248"/>
        <v>0</v>
      </c>
      <c r="R608" s="80">
        <f t="shared" si="248"/>
        <v>10527856.44146795</v>
      </c>
      <c r="S608" s="80">
        <f t="shared" si="248"/>
        <v>0</v>
      </c>
      <c r="T608" s="80">
        <f t="shared" si="248"/>
        <v>16162140.744337525</v>
      </c>
      <c r="U608" s="80">
        <f t="shared" si="248"/>
        <v>26448193.093494527</v>
      </c>
      <c r="V608" s="80">
        <f t="shared" si="248"/>
        <v>4509384.7538447017</v>
      </c>
      <c r="W608" s="80">
        <f t="shared" si="248"/>
        <v>7705434.7764072092</v>
      </c>
      <c r="X608" s="80">
        <f t="shared" si="248"/>
        <v>5524250.3030447615</v>
      </c>
      <c r="Y608" s="80">
        <f t="shared" si="248"/>
        <v>3079260.7938521467</v>
      </c>
      <c r="Z608" s="80">
        <f t="shared" si="248"/>
        <v>1968789.9651101981</v>
      </c>
      <c r="AA608" s="80">
        <f t="shared" si="248"/>
        <v>2007826.0997659501</v>
      </c>
      <c r="AB608" s="80">
        <f t="shared" si="248"/>
        <v>6491188.8998083938</v>
      </c>
      <c r="AC608" s="80">
        <f t="shared" si="248"/>
        <v>0</v>
      </c>
      <c r="AD608" s="80">
        <f t="shared" si="248"/>
        <v>0</v>
      </c>
      <c r="AE608" s="80">
        <f t="shared" si="248"/>
        <v>0</v>
      </c>
      <c r="AF608" s="63">
        <f>SUM(H608:AE608)</f>
        <v>393976266.77451771</v>
      </c>
      <c r="AG608" s="58" t="str">
        <f>IF(ABS(AF608-F608)&lt;1,"ok","err")</f>
        <v>ok</v>
      </c>
    </row>
    <row r="609" spans="1:34">
      <c r="A609" s="60"/>
      <c r="B609" s="60"/>
      <c r="AG609" s="58"/>
    </row>
    <row r="610" spans="1:34" ht="14.1">
      <c r="A610" s="65" t="s">
        <v>1084</v>
      </c>
      <c r="B610" s="60"/>
      <c r="F610" s="80">
        <f>F333+F608</f>
        <v>1037412928.0158303</v>
      </c>
      <c r="G610" s="64">
        <f t="shared" ref="G610:AE610" si="249">G333+G608</f>
        <v>0</v>
      </c>
      <c r="H610" s="64">
        <f t="shared" si="249"/>
        <v>395685570.0308311</v>
      </c>
      <c r="I610" s="64">
        <f t="shared" si="249"/>
        <v>0</v>
      </c>
      <c r="J610" s="64">
        <f t="shared" si="249"/>
        <v>0</v>
      </c>
      <c r="K610" s="64">
        <f t="shared" si="249"/>
        <v>397495518.54181111</v>
      </c>
      <c r="L610" s="64">
        <f t="shared" si="249"/>
        <v>0</v>
      </c>
      <c r="M610" s="64">
        <f t="shared" si="249"/>
        <v>0</v>
      </c>
      <c r="N610" s="64">
        <f t="shared" si="249"/>
        <v>60290462.199914575</v>
      </c>
      <c r="O610" s="64">
        <f t="shared" si="249"/>
        <v>0</v>
      </c>
      <c r="P610" s="64">
        <f t="shared" si="249"/>
        <v>0</v>
      </c>
      <c r="Q610" s="64">
        <f t="shared" si="249"/>
        <v>0</v>
      </c>
      <c r="R610" s="64">
        <f t="shared" si="249"/>
        <v>18602235.093585499</v>
      </c>
      <c r="S610" s="64">
        <f t="shared" si="249"/>
        <v>0</v>
      </c>
      <c r="T610" s="64">
        <f t="shared" si="249"/>
        <v>29362315.544825345</v>
      </c>
      <c r="U610" s="64">
        <f t="shared" si="249"/>
        <v>48540916.758069448</v>
      </c>
      <c r="V610" s="64">
        <f t="shared" si="249"/>
        <v>8678513.5606606212</v>
      </c>
      <c r="W610" s="64">
        <f t="shared" si="249"/>
        <v>14929225.615540747</v>
      </c>
      <c r="X610" s="64">
        <f t="shared" si="249"/>
        <v>6641279.5213026498</v>
      </c>
      <c r="Y610" s="64">
        <f t="shared" si="249"/>
        <v>3701901.7113849809</v>
      </c>
      <c r="Z610" s="64">
        <f t="shared" si="249"/>
        <v>2301702.5436082552</v>
      </c>
      <c r="AA610" s="64">
        <f t="shared" si="249"/>
        <v>15926141.35749062</v>
      </c>
      <c r="AB610" s="64">
        <f t="shared" si="249"/>
        <v>8165124.3716460401</v>
      </c>
      <c r="AC610" s="64">
        <f t="shared" si="249"/>
        <v>22203327.895651627</v>
      </c>
      <c r="AD610" s="64">
        <f t="shared" si="249"/>
        <v>4888693.2695076521</v>
      </c>
      <c r="AE610" s="64">
        <f t="shared" si="249"/>
        <v>0</v>
      </c>
      <c r="AF610" s="63">
        <f>SUM(H610:AE610)</f>
        <v>1037412928.0158303</v>
      </c>
      <c r="AG610" s="58" t="str">
        <f>IF(ABS(AF610-F610)&lt;1,"ok","err")</f>
        <v>ok</v>
      </c>
    </row>
    <row r="611" spans="1:34">
      <c r="A611" s="60"/>
      <c r="B611" s="60"/>
      <c r="AG611" s="58"/>
    </row>
    <row r="612" spans="1:34">
      <c r="A612" s="60"/>
      <c r="B612" s="60"/>
      <c r="AG612" s="58"/>
    </row>
    <row r="613" spans="1:34" s="60" customFormat="1">
      <c r="F613" s="79"/>
      <c r="W613" s="77"/>
      <c r="AG613" s="93"/>
    </row>
    <row r="614" spans="1:34" s="60" customFormat="1" ht="14.1">
      <c r="A614" s="59" t="s">
        <v>1215</v>
      </c>
      <c r="W614" s="77"/>
      <c r="AG614" s="93"/>
    </row>
    <row r="615" spans="1:34" s="60" customFormat="1">
      <c r="W615" s="77"/>
      <c r="AG615" s="93"/>
    </row>
    <row r="616" spans="1:34" s="60" customFormat="1">
      <c r="A616" s="60" t="s">
        <v>847</v>
      </c>
      <c r="C616" s="60" t="s">
        <v>864</v>
      </c>
      <c r="F616" s="81">
        <v>1</v>
      </c>
      <c r="G616" s="81"/>
      <c r="H616" s="230">
        <v>0</v>
      </c>
      <c r="I616" s="230">
        <v>0</v>
      </c>
      <c r="J616" s="230">
        <v>0</v>
      </c>
      <c r="K616" s="230">
        <v>0</v>
      </c>
      <c r="L616" s="230">
        <v>0</v>
      </c>
      <c r="M616" s="230">
        <v>0</v>
      </c>
      <c r="N616" s="230">
        <v>0</v>
      </c>
      <c r="O616" s="230">
        <v>0</v>
      </c>
      <c r="P616" s="230">
        <v>0</v>
      </c>
      <c r="Q616" s="230">
        <v>0</v>
      </c>
      <c r="R616" s="230">
        <v>1</v>
      </c>
      <c r="S616" s="230">
        <v>0</v>
      </c>
      <c r="T616" s="230">
        <v>0</v>
      </c>
      <c r="U616" s="230">
        <v>0</v>
      </c>
      <c r="V616" s="230">
        <v>0</v>
      </c>
      <c r="W616" s="230">
        <v>0</v>
      </c>
      <c r="X616" s="81">
        <v>0</v>
      </c>
      <c r="Y616" s="81">
        <v>0</v>
      </c>
      <c r="Z616" s="81">
        <v>0</v>
      </c>
      <c r="AA616" s="81">
        <v>0</v>
      </c>
      <c r="AB616" s="81">
        <v>0</v>
      </c>
      <c r="AC616" s="81">
        <v>0</v>
      </c>
      <c r="AD616" s="81">
        <v>0</v>
      </c>
      <c r="AE616" s="81">
        <v>0</v>
      </c>
      <c r="AF616" s="230">
        <f>SUM(H616:AE616)</f>
        <v>1</v>
      </c>
      <c r="AG616" s="93" t="str">
        <f t="shared" ref="AG616:AG640" si="250">IF(ABS(AF616-F616)&lt;0.0000001,"ok","err")</f>
        <v>ok</v>
      </c>
    </row>
    <row r="617" spans="1:34" s="60" customFormat="1">
      <c r="A617" s="60" t="s">
        <v>1005</v>
      </c>
      <c r="C617" s="60" t="s">
        <v>865</v>
      </c>
      <c r="F617" s="81">
        <v>1</v>
      </c>
      <c r="G617" s="81"/>
      <c r="H617" s="230">
        <v>0</v>
      </c>
      <c r="I617" s="230">
        <v>0</v>
      </c>
      <c r="J617" s="230">
        <v>0</v>
      </c>
      <c r="K617" s="230">
        <v>0</v>
      </c>
      <c r="L617" s="230">
        <v>0</v>
      </c>
      <c r="M617" s="230">
        <v>0</v>
      </c>
      <c r="N617" s="230">
        <v>0</v>
      </c>
      <c r="O617" s="230">
        <v>0</v>
      </c>
      <c r="P617" s="230">
        <v>0</v>
      </c>
      <c r="Q617" s="230">
        <v>0</v>
      </c>
      <c r="R617" s="230">
        <v>0</v>
      </c>
      <c r="S617" s="230">
        <v>0</v>
      </c>
      <c r="T617" s="439">
        <f>0.3601*0.7052</f>
        <v>0.25394252</v>
      </c>
      <c r="U617" s="439">
        <f>0.6399*0.7052</f>
        <v>0.45125748000000004</v>
      </c>
      <c r="V617" s="439">
        <f>0.3601*0.2948</f>
        <v>0.10615748</v>
      </c>
      <c r="W617" s="439">
        <f>0.6399*0.2948</f>
        <v>0.18864252000000001</v>
      </c>
      <c r="X617" s="81">
        <v>0</v>
      </c>
      <c r="Y617" s="81">
        <v>0</v>
      </c>
      <c r="Z617" s="81">
        <v>0</v>
      </c>
      <c r="AA617" s="81">
        <v>0</v>
      </c>
      <c r="AB617" s="81">
        <v>0</v>
      </c>
      <c r="AC617" s="81">
        <v>0</v>
      </c>
      <c r="AD617" s="81">
        <v>0</v>
      </c>
      <c r="AE617" s="81">
        <v>0</v>
      </c>
      <c r="AF617" s="230">
        <f t="shared" ref="AF617:AF625" si="251">SUM(H617:AE617)</f>
        <v>1</v>
      </c>
      <c r="AG617" s="93" t="str">
        <f t="shared" si="250"/>
        <v>ok</v>
      </c>
    </row>
    <row r="618" spans="1:34" s="60" customFormat="1">
      <c r="A618" s="60" t="s">
        <v>1006</v>
      </c>
      <c r="C618" s="60" t="s">
        <v>867</v>
      </c>
      <c r="F618" s="81">
        <v>1</v>
      </c>
      <c r="G618" s="81"/>
      <c r="H618" s="230">
        <v>0</v>
      </c>
      <c r="I618" s="230">
        <v>0</v>
      </c>
      <c r="J618" s="230">
        <v>0</v>
      </c>
      <c r="K618" s="230">
        <v>0</v>
      </c>
      <c r="L618" s="230">
        <v>0</v>
      </c>
      <c r="M618" s="230">
        <v>0</v>
      </c>
      <c r="N618" s="230">
        <v>0</v>
      </c>
      <c r="O618" s="230">
        <v>0</v>
      </c>
      <c r="P618" s="230">
        <v>0</v>
      </c>
      <c r="Q618" s="230">
        <v>0</v>
      </c>
      <c r="R618" s="230">
        <v>0</v>
      </c>
      <c r="S618" s="230">
        <v>0</v>
      </c>
      <c r="T618" s="439">
        <f>T617</f>
        <v>0.25394252</v>
      </c>
      <c r="U618" s="439">
        <f>U617</f>
        <v>0.45125748000000004</v>
      </c>
      <c r="V618" s="439">
        <f>V617</f>
        <v>0.10615748</v>
      </c>
      <c r="W618" s="439">
        <f>W617</f>
        <v>0.18864252000000001</v>
      </c>
      <c r="X618" s="81">
        <v>0</v>
      </c>
      <c r="Y618" s="81">
        <v>0</v>
      </c>
      <c r="Z618" s="81">
        <v>0</v>
      </c>
      <c r="AA618" s="81">
        <v>0</v>
      </c>
      <c r="AB618" s="81">
        <v>0</v>
      </c>
      <c r="AC618" s="81">
        <v>0</v>
      </c>
      <c r="AD618" s="81">
        <v>0</v>
      </c>
      <c r="AE618" s="81">
        <v>0</v>
      </c>
      <c r="AF618" s="230">
        <f t="shared" si="251"/>
        <v>1</v>
      </c>
      <c r="AG618" s="93" t="str">
        <f t="shared" si="250"/>
        <v>ok</v>
      </c>
      <c r="AH618" s="81"/>
    </row>
    <row r="619" spans="1:34" s="60" customFormat="1">
      <c r="A619" s="60" t="s">
        <v>1007</v>
      </c>
      <c r="C619" s="60" t="s">
        <v>868</v>
      </c>
      <c r="F619" s="81">
        <v>1</v>
      </c>
      <c r="G619" s="81"/>
      <c r="H619" s="230">
        <v>0</v>
      </c>
      <c r="I619" s="230">
        <v>0</v>
      </c>
      <c r="J619" s="230">
        <v>0</v>
      </c>
      <c r="K619" s="230">
        <v>0</v>
      </c>
      <c r="L619" s="230">
        <v>0</v>
      </c>
      <c r="M619" s="230">
        <v>0</v>
      </c>
      <c r="N619" s="230">
        <v>0</v>
      </c>
      <c r="O619" s="230">
        <v>0</v>
      </c>
      <c r="P619" s="230">
        <v>0</v>
      </c>
      <c r="Q619" s="230">
        <v>0</v>
      </c>
      <c r="R619" s="230">
        <v>0</v>
      </c>
      <c r="S619" s="230">
        <v>0</v>
      </c>
      <c r="T619" s="439">
        <f>0.4014*0.8807</f>
        <v>0.35351297999999998</v>
      </c>
      <c r="U619" s="439">
        <f>0.5986*0.8807</f>
        <v>0.52718702000000006</v>
      </c>
      <c r="V619" s="439">
        <f>0.4014*0.1193</f>
        <v>4.7887019999999995E-2</v>
      </c>
      <c r="W619" s="439">
        <f>0.5986*0.1193</f>
        <v>7.1412980000000001E-2</v>
      </c>
      <c r="X619" s="81">
        <v>0</v>
      </c>
      <c r="Y619" s="81">
        <v>0</v>
      </c>
      <c r="Z619" s="81">
        <v>0</v>
      </c>
      <c r="AA619" s="81">
        <v>0</v>
      </c>
      <c r="AB619" s="81">
        <v>0</v>
      </c>
      <c r="AC619" s="81">
        <v>0</v>
      </c>
      <c r="AD619" s="81">
        <v>0</v>
      </c>
      <c r="AE619" s="81">
        <v>0</v>
      </c>
      <c r="AF619" s="230">
        <f t="shared" si="251"/>
        <v>1</v>
      </c>
      <c r="AG619" s="93" t="str">
        <f t="shared" si="250"/>
        <v>ok</v>
      </c>
    </row>
    <row r="620" spans="1:34" s="60" customFormat="1">
      <c r="A620" s="60" t="s">
        <v>1008</v>
      </c>
      <c r="C620" s="60" t="s">
        <v>871</v>
      </c>
      <c r="F620" s="81">
        <v>1</v>
      </c>
      <c r="G620" s="81"/>
      <c r="H620" s="230">
        <v>0</v>
      </c>
      <c r="I620" s="230">
        <v>0</v>
      </c>
      <c r="J620" s="230">
        <v>0</v>
      </c>
      <c r="K620" s="230">
        <v>0</v>
      </c>
      <c r="L620" s="230">
        <v>0</v>
      </c>
      <c r="M620" s="230">
        <v>0</v>
      </c>
      <c r="N620" s="230">
        <v>0</v>
      </c>
      <c r="O620" s="230">
        <v>0</v>
      </c>
      <c r="P620" s="230">
        <v>0</v>
      </c>
      <c r="Q620" s="230">
        <v>0</v>
      </c>
      <c r="R620" s="230">
        <v>0</v>
      </c>
      <c r="S620" s="230">
        <v>0</v>
      </c>
      <c r="T620" s="230">
        <v>0</v>
      </c>
      <c r="U620" s="230">
        <v>0</v>
      </c>
      <c r="V620" s="230">
        <v>0</v>
      </c>
      <c r="W620" s="230">
        <v>0</v>
      </c>
      <c r="X620" s="440">
        <v>0.64209254115302228</v>
      </c>
      <c r="Y620" s="440">
        <v>0.35790745884697772</v>
      </c>
      <c r="Z620" s="81">
        <v>0</v>
      </c>
      <c r="AA620" s="81">
        <v>0</v>
      </c>
      <c r="AB620" s="81">
        <v>0</v>
      </c>
      <c r="AC620" s="81">
        <v>0</v>
      </c>
      <c r="AD620" s="81">
        <v>0</v>
      </c>
      <c r="AE620" s="81">
        <v>0</v>
      </c>
      <c r="AF620" s="230">
        <f t="shared" si="251"/>
        <v>1</v>
      </c>
      <c r="AG620" s="93" t="str">
        <f t="shared" si="250"/>
        <v>ok</v>
      </c>
    </row>
    <row r="621" spans="1:34" s="60" customFormat="1">
      <c r="A621" s="60" t="s">
        <v>1009</v>
      </c>
      <c r="C621" s="60" t="s">
        <v>873</v>
      </c>
      <c r="F621" s="81">
        <v>1</v>
      </c>
      <c r="G621" s="81"/>
      <c r="H621" s="230">
        <v>0</v>
      </c>
      <c r="I621" s="230">
        <v>0</v>
      </c>
      <c r="J621" s="230">
        <v>0</v>
      </c>
      <c r="K621" s="230">
        <v>0</v>
      </c>
      <c r="L621" s="230">
        <v>0</v>
      </c>
      <c r="M621" s="230">
        <v>0</v>
      </c>
      <c r="N621" s="230">
        <v>0</v>
      </c>
      <c r="O621" s="230">
        <v>0</v>
      </c>
      <c r="P621" s="230">
        <v>0</v>
      </c>
      <c r="Q621" s="230">
        <v>0</v>
      </c>
      <c r="R621" s="230">
        <v>0</v>
      </c>
      <c r="S621" s="230">
        <v>0</v>
      </c>
      <c r="T621" s="230">
        <v>0</v>
      </c>
      <c r="U621" s="230">
        <v>0</v>
      </c>
      <c r="V621" s="230">
        <v>0</v>
      </c>
      <c r="W621" s="230">
        <v>0</v>
      </c>
      <c r="X621" s="81">
        <v>0</v>
      </c>
      <c r="Y621" s="81">
        <v>0</v>
      </c>
      <c r="Z621" s="81">
        <v>1</v>
      </c>
      <c r="AA621" s="81">
        <v>0</v>
      </c>
      <c r="AB621" s="81">
        <v>0</v>
      </c>
      <c r="AC621" s="81">
        <v>0</v>
      </c>
      <c r="AD621" s="81">
        <v>0</v>
      </c>
      <c r="AE621" s="81">
        <v>0</v>
      </c>
      <c r="AF621" s="230">
        <f t="shared" si="251"/>
        <v>1</v>
      </c>
      <c r="AG621" s="93" t="str">
        <f t="shared" si="250"/>
        <v>ok</v>
      </c>
    </row>
    <row r="622" spans="1:34" s="60" customFormat="1">
      <c r="A622" s="60" t="s">
        <v>848</v>
      </c>
      <c r="C622" s="60" t="s">
        <v>875</v>
      </c>
      <c r="F622" s="81">
        <v>1</v>
      </c>
      <c r="G622" s="81"/>
      <c r="H622" s="230">
        <v>0</v>
      </c>
      <c r="I622" s="230">
        <v>0</v>
      </c>
      <c r="J622" s="230">
        <v>0</v>
      </c>
      <c r="K622" s="230">
        <v>0</v>
      </c>
      <c r="L622" s="230">
        <v>0</v>
      </c>
      <c r="M622" s="230">
        <v>0</v>
      </c>
      <c r="N622" s="230">
        <v>0</v>
      </c>
      <c r="O622" s="230">
        <v>0</v>
      </c>
      <c r="P622" s="230">
        <v>0</v>
      </c>
      <c r="Q622" s="230">
        <v>0</v>
      </c>
      <c r="R622" s="230">
        <v>0</v>
      </c>
      <c r="S622" s="230">
        <v>0</v>
      </c>
      <c r="T622" s="230">
        <v>0</v>
      </c>
      <c r="U622" s="230">
        <v>0</v>
      </c>
      <c r="V622" s="230">
        <v>0</v>
      </c>
      <c r="W622" s="230">
        <v>0</v>
      </c>
      <c r="X622" s="81">
        <v>0</v>
      </c>
      <c r="Y622" s="81">
        <v>0</v>
      </c>
      <c r="Z622" s="81">
        <v>0</v>
      </c>
      <c r="AA622" s="81">
        <v>1</v>
      </c>
      <c r="AB622" s="81">
        <v>0</v>
      </c>
      <c r="AC622" s="81">
        <v>0</v>
      </c>
      <c r="AD622" s="81">
        <v>0</v>
      </c>
      <c r="AE622" s="81">
        <v>0</v>
      </c>
      <c r="AF622" s="230">
        <f t="shared" si="251"/>
        <v>1</v>
      </c>
      <c r="AG622" s="93" t="str">
        <f t="shared" si="250"/>
        <v>ok</v>
      </c>
    </row>
    <row r="623" spans="1:34" s="60" customFormat="1">
      <c r="A623" s="60" t="s">
        <v>1010</v>
      </c>
      <c r="C623" s="60" t="s">
        <v>878</v>
      </c>
      <c r="F623" s="81">
        <v>1</v>
      </c>
      <c r="G623" s="81"/>
      <c r="H623" s="230">
        <v>0</v>
      </c>
      <c r="I623" s="230">
        <v>0</v>
      </c>
      <c r="J623" s="230">
        <v>0</v>
      </c>
      <c r="K623" s="230">
        <v>0</v>
      </c>
      <c r="L623" s="230">
        <v>0</v>
      </c>
      <c r="M623" s="230">
        <v>0</v>
      </c>
      <c r="N623" s="230">
        <v>0</v>
      </c>
      <c r="O623" s="230">
        <v>0</v>
      </c>
      <c r="P623" s="230">
        <v>0</v>
      </c>
      <c r="Q623" s="230">
        <v>0</v>
      </c>
      <c r="R623" s="230">
        <v>0</v>
      </c>
      <c r="S623" s="230">
        <v>0</v>
      </c>
      <c r="T623" s="230">
        <v>0</v>
      </c>
      <c r="U623" s="230">
        <v>0</v>
      </c>
      <c r="V623" s="230">
        <v>0</v>
      </c>
      <c r="W623" s="230">
        <v>0</v>
      </c>
      <c r="X623" s="81">
        <v>0</v>
      </c>
      <c r="Y623" s="81">
        <v>0</v>
      </c>
      <c r="Z623" s="81">
        <v>0</v>
      </c>
      <c r="AA623" s="81">
        <v>0</v>
      </c>
      <c r="AB623" s="81">
        <v>1</v>
      </c>
      <c r="AC623" s="81">
        <v>0</v>
      </c>
      <c r="AD623" s="81">
        <v>0</v>
      </c>
      <c r="AE623" s="81">
        <v>0</v>
      </c>
      <c r="AF623" s="230">
        <f t="shared" si="251"/>
        <v>1</v>
      </c>
      <c r="AG623" s="93" t="str">
        <f t="shared" si="250"/>
        <v>ok</v>
      </c>
    </row>
    <row r="624" spans="1:34" s="60" customFormat="1">
      <c r="A624" s="60" t="s">
        <v>1011</v>
      </c>
      <c r="C624" s="60" t="s">
        <v>952</v>
      </c>
      <c r="F624" s="81">
        <v>1</v>
      </c>
      <c r="G624" s="81"/>
      <c r="H624" s="230">
        <v>0</v>
      </c>
      <c r="I624" s="230">
        <v>0</v>
      </c>
      <c r="J624" s="230">
        <v>0</v>
      </c>
      <c r="K624" s="230">
        <v>0</v>
      </c>
      <c r="L624" s="230">
        <v>0</v>
      </c>
      <c r="M624" s="230">
        <v>0</v>
      </c>
      <c r="N624" s="230">
        <v>0</v>
      </c>
      <c r="O624" s="230">
        <v>0</v>
      </c>
      <c r="P624" s="230">
        <v>0</v>
      </c>
      <c r="Q624" s="230">
        <v>0</v>
      </c>
      <c r="R624" s="230">
        <v>0</v>
      </c>
      <c r="S624" s="230">
        <v>0</v>
      </c>
      <c r="T624" s="230">
        <v>0</v>
      </c>
      <c r="U624" s="230">
        <v>0</v>
      </c>
      <c r="V624" s="230">
        <v>0</v>
      </c>
      <c r="W624" s="230">
        <v>0</v>
      </c>
      <c r="X624" s="81">
        <v>0</v>
      </c>
      <c r="Y624" s="81">
        <v>0</v>
      </c>
      <c r="Z624" s="81">
        <v>0</v>
      </c>
      <c r="AA624" s="81">
        <v>0</v>
      </c>
      <c r="AB624" s="81">
        <v>0</v>
      </c>
      <c r="AC624" s="81">
        <v>0</v>
      </c>
      <c r="AD624" s="81">
        <v>1</v>
      </c>
      <c r="AE624" s="81">
        <v>0</v>
      </c>
      <c r="AF624" s="230">
        <f t="shared" si="251"/>
        <v>1</v>
      </c>
      <c r="AG624" s="93" t="str">
        <f t="shared" si="250"/>
        <v>ok</v>
      </c>
    </row>
    <row r="625" spans="1:33" s="60" customFormat="1">
      <c r="A625" s="60" t="s">
        <v>1012</v>
      </c>
      <c r="C625" s="60" t="s">
        <v>962</v>
      </c>
      <c r="F625" s="81">
        <v>1</v>
      </c>
      <c r="G625" s="81"/>
      <c r="H625" s="230">
        <v>0</v>
      </c>
      <c r="I625" s="230">
        <v>0</v>
      </c>
      <c r="J625" s="230">
        <v>0</v>
      </c>
      <c r="K625" s="230">
        <v>0</v>
      </c>
      <c r="L625" s="230">
        <v>0</v>
      </c>
      <c r="M625" s="230">
        <v>0</v>
      </c>
      <c r="N625" s="230">
        <v>0</v>
      </c>
      <c r="O625" s="230">
        <v>0</v>
      </c>
      <c r="P625" s="230">
        <v>0</v>
      </c>
      <c r="Q625" s="230">
        <v>0</v>
      </c>
      <c r="R625" s="230">
        <v>0</v>
      </c>
      <c r="S625" s="230">
        <v>0</v>
      </c>
      <c r="T625" s="230">
        <v>0</v>
      </c>
      <c r="U625" s="230">
        <v>0</v>
      </c>
      <c r="V625" s="230">
        <v>0</v>
      </c>
      <c r="W625" s="230">
        <v>0</v>
      </c>
      <c r="X625" s="81">
        <v>0</v>
      </c>
      <c r="Y625" s="81">
        <v>0</v>
      </c>
      <c r="Z625" s="81">
        <v>0</v>
      </c>
      <c r="AA625" s="81">
        <v>0</v>
      </c>
      <c r="AB625" s="81">
        <v>0</v>
      </c>
      <c r="AC625" s="81">
        <v>0</v>
      </c>
      <c r="AD625" s="81">
        <v>1</v>
      </c>
      <c r="AE625" s="81">
        <v>0</v>
      </c>
      <c r="AF625" s="230">
        <f t="shared" si="251"/>
        <v>1</v>
      </c>
      <c r="AG625" s="93" t="str">
        <f t="shared" si="250"/>
        <v>ok</v>
      </c>
    </row>
    <row r="626" spans="1:33" s="60" customFormat="1" ht="14.1">
      <c r="A626" s="60" t="s">
        <v>1054</v>
      </c>
      <c r="C626" s="60" t="s">
        <v>1086</v>
      </c>
      <c r="F626" s="81">
        <v>1</v>
      </c>
      <c r="G626" s="81"/>
      <c r="H626" s="230">
        <v>0</v>
      </c>
      <c r="I626" s="230">
        <v>0</v>
      </c>
      <c r="J626" s="230">
        <v>0</v>
      </c>
      <c r="K626" s="230">
        <v>0</v>
      </c>
      <c r="L626" s="230">
        <v>0</v>
      </c>
      <c r="M626" s="230">
        <v>0</v>
      </c>
      <c r="N626" s="230">
        <v>1</v>
      </c>
      <c r="O626" s="231">
        <v>0</v>
      </c>
      <c r="P626" s="231">
        <v>0</v>
      </c>
      <c r="Q626" s="230">
        <v>0</v>
      </c>
      <c r="R626" s="230">
        <v>0</v>
      </c>
      <c r="S626" s="230">
        <v>0</v>
      </c>
      <c r="T626" s="230">
        <v>0</v>
      </c>
      <c r="U626" s="230">
        <v>0</v>
      </c>
      <c r="V626" s="230">
        <v>0</v>
      </c>
      <c r="W626" s="230">
        <v>0</v>
      </c>
      <c r="X626" s="81">
        <v>0</v>
      </c>
      <c r="Y626" s="81">
        <v>0</v>
      </c>
      <c r="Z626" s="81">
        <v>0</v>
      </c>
      <c r="AA626" s="81">
        <v>0</v>
      </c>
      <c r="AB626" s="81">
        <v>0</v>
      </c>
      <c r="AC626" s="81">
        <v>0</v>
      </c>
      <c r="AD626" s="81">
        <v>0</v>
      </c>
      <c r="AE626" s="81">
        <v>0</v>
      </c>
      <c r="AF626" s="230">
        <f t="shared" ref="AF626:AF639" si="252">SUM(H626:AE626)</f>
        <v>1</v>
      </c>
      <c r="AG626" s="93" t="str">
        <f t="shared" si="250"/>
        <v>ok</v>
      </c>
    </row>
    <row r="627" spans="1:33" s="60" customFormat="1">
      <c r="A627" s="60" t="s">
        <v>40</v>
      </c>
      <c r="C627" s="60" t="s">
        <v>41</v>
      </c>
      <c r="F627" s="81">
        <v>1</v>
      </c>
      <c r="G627" s="81"/>
      <c r="H627" s="230">
        <v>0</v>
      </c>
      <c r="I627" s="230">
        <v>0</v>
      </c>
      <c r="J627" s="230">
        <v>0</v>
      </c>
      <c r="K627" s="230">
        <v>0</v>
      </c>
      <c r="L627" s="230">
        <v>0</v>
      </c>
      <c r="M627" s="230">
        <v>0</v>
      </c>
      <c r="N627" s="230">
        <v>0</v>
      </c>
      <c r="O627" s="230">
        <v>0</v>
      </c>
      <c r="P627" s="230">
        <v>0</v>
      </c>
      <c r="Q627" s="230">
        <v>0</v>
      </c>
      <c r="R627" s="230">
        <v>0</v>
      </c>
      <c r="S627" s="230">
        <v>0</v>
      </c>
      <c r="T627" s="230">
        <v>0</v>
      </c>
      <c r="U627" s="230">
        <v>0</v>
      </c>
      <c r="V627" s="230">
        <v>0</v>
      </c>
      <c r="W627" s="230">
        <v>0</v>
      </c>
      <c r="X627" s="81">
        <v>0</v>
      </c>
      <c r="Y627" s="81">
        <v>0</v>
      </c>
      <c r="Z627" s="81">
        <v>0</v>
      </c>
      <c r="AA627" s="81">
        <v>0</v>
      </c>
      <c r="AB627" s="81">
        <v>0</v>
      </c>
      <c r="AC627" s="81">
        <v>0</v>
      </c>
      <c r="AD627" s="81">
        <v>0</v>
      </c>
      <c r="AE627" s="81">
        <v>1</v>
      </c>
      <c r="AF627" s="230">
        <f t="shared" si="252"/>
        <v>1</v>
      </c>
      <c r="AG627" s="93" t="str">
        <f t="shared" si="250"/>
        <v>ok</v>
      </c>
    </row>
    <row r="628" spans="1:33" s="60" customFormat="1">
      <c r="A628" s="60" t="s">
        <v>617</v>
      </c>
      <c r="C628" s="60" t="s">
        <v>616</v>
      </c>
      <c r="F628" s="81">
        <v>1</v>
      </c>
      <c r="G628" s="81"/>
      <c r="H628" s="230">
        <v>1</v>
      </c>
      <c r="I628" s="230">
        <v>0</v>
      </c>
      <c r="J628" s="230">
        <v>0</v>
      </c>
      <c r="K628" s="230">
        <v>0</v>
      </c>
      <c r="L628" s="230">
        <v>0</v>
      </c>
      <c r="M628" s="230">
        <v>0</v>
      </c>
      <c r="N628" s="230">
        <v>0</v>
      </c>
      <c r="O628" s="230">
        <v>0</v>
      </c>
      <c r="P628" s="230">
        <v>0</v>
      </c>
      <c r="Q628" s="230">
        <v>0</v>
      </c>
      <c r="R628" s="230">
        <v>0</v>
      </c>
      <c r="S628" s="230">
        <v>0</v>
      </c>
      <c r="T628" s="230">
        <v>0</v>
      </c>
      <c r="U628" s="230">
        <v>0</v>
      </c>
      <c r="V628" s="230">
        <v>0</v>
      </c>
      <c r="W628" s="230">
        <v>0</v>
      </c>
      <c r="X628" s="81">
        <v>0</v>
      </c>
      <c r="Y628" s="81">
        <v>0</v>
      </c>
      <c r="Z628" s="81">
        <v>0</v>
      </c>
      <c r="AA628" s="81">
        <v>0</v>
      </c>
      <c r="AB628" s="81">
        <v>0</v>
      </c>
      <c r="AC628" s="81">
        <v>0</v>
      </c>
      <c r="AD628" s="81">
        <v>0</v>
      </c>
      <c r="AE628" s="81">
        <v>0</v>
      </c>
      <c r="AF628" s="230">
        <f t="shared" si="252"/>
        <v>1</v>
      </c>
      <c r="AG628" s="93" t="str">
        <f t="shared" si="250"/>
        <v>ok</v>
      </c>
    </row>
    <row r="629" spans="1:33" s="60" customFormat="1">
      <c r="A629" s="60" t="s">
        <v>622</v>
      </c>
      <c r="C629" s="60" t="s">
        <v>623</v>
      </c>
      <c r="F629" s="81">
        <v>1</v>
      </c>
      <c r="G629" s="81"/>
      <c r="H629" s="230">
        <v>0</v>
      </c>
      <c r="I629" s="230">
        <v>0</v>
      </c>
      <c r="J629" s="230">
        <v>0</v>
      </c>
      <c r="K629" s="230">
        <v>1</v>
      </c>
      <c r="L629" s="230">
        <v>0</v>
      </c>
      <c r="M629" s="230">
        <v>0</v>
      </c>
      <c r="N629" s="230">
        <v>0</v>
      </c>
      <c r="O629" s="230">
        <v>0</v>
      </c>
      <c r="P629" s="230">
        <v>0</v>
      </c>
      <c r="Q629" s="230">
        <v>0</v>
      </c>
      <c r="R629" s="230">
        <v>0</v>
      </c>
      <c r="S629" s="230">
        <v>0</v>
      </c>
      <c r="T629" s="230">
        <v>0</v>
      </c>
      <c r="U629" s="230">
        <v>0</v>
      </c>
      <c r="V629" s="230">
        <v>0</v>
      </c>
      <c r="W629" s="230">
        <v>0</v>
      </c>
      <c r="X629" s="81">
        <v>0</v>
      </c>
      <c r="Y629" s="81">
        <v>0</v>
      </c>
      <c r="Z629" s="81">
        <v>0</v>
      </c>
      <c r="AA629" s="81">
        <v>0</v>
      </c>
      <c r="AB629" s="81">
        <v>0</v>
      </c>
      <c r="AC629" s="81">
        <v>0</v>
      </c>
      <c r="AD629" s="81">
        <v>0</v>
      </c>
      <c r="AE629" s="81">
        <v>0</v>
      </c>
      <c r="AF629" s="230">
        <f t="shared" si="252"/>
        <v>1</v>
      </c>
      <c r="AG629" s="93" t="str">
        <f t="shared" si="250"/>
        <v>ok</v>
      </c>
    </row>
    <row r="630" spans="1:33" s="60" customFormat="1">
      <c r="A630" s="60" t="s">
        <v>618</v>
      </c>
      <c r="C630" s="60" t="s">
        <v>619</v>
      </c>
      <c r="F630" s="81">
        <v>1</v>
      </c>
      <c r="G630" s="81"/>
      <c r="H630" s="230">
        <v>0</v>
      </c>
      <c r="I630" s="230">
        <v>0</v>
      </c>
      <c r="J630" s="230">
        <v>0</v>
      </c>
      <c r="K630" s="230">
        <v>1</v>
      </c>
      <c r="L630" s="230">
        <v>0</v>
      </c>
      <c r="M630" s="230">
        <v>0</v>
      </c>
      <c r="N630" s="230">
        <v>0</v>
      </c>
      <c r="O630" s="230">
        <v>0</v>
      </c>
      <c r="P630" s="230">
        <v>0</v>
      </c>
      <c r="Q630" s="230">
        <v>0</v>
      </c>
      <c r="R630" s="230">
        <v>0</v>
      </c>
      <c r="S630" s="230">
        <v>0</v>
      </c>
      <c r="T630" s="230">
        <v>0</v>
      </c>
      <c r="U630" s="230">
        <v>0</v>
      </c>
      <c r="V630" s="230">
        <v>0</v>
      </c>
      <c r="W630" s="230">
        <v>0</v>
      </c>
      <c r="X630" s="81">
        <v>0</v>
      </c>
      <c r="Y630" s="81">
        <v>0</v>
      </c>
      <c r="Z630" s="81">
        <v>0</v>
      </c>
      <c r="AA630" s="81">
        <v>0</v>
      </c>
      <c r="AB630" s="81">
        <v>0</v>
      </c>
      <c r="AC630" s="81">
        <v>0</v>
      </c>
      <c r="AD630" s="81">
        <v>0</v>
      </c>
      <c r="AE630" s="81">
        <v>0</v>
      </c>
      <c r="AF630" s="230">
        <f t="shared" si="252"/>
        <v>1</v>
      </c>
      <c r="AG630" s="93" t="str">
        <f t="shared" si="250"/>
        <v>ok</v>
      </c>
    </row>
    <row r="631" spans="1:33" s="60" customFormat="1">
      <c r="A631" s="60" t="s">
        <v>620</v>
      </c>
      <c r="C631" s="60" t="s">
        <v>621</v>
      </c>
      <c r="F631" s="79">
        <f>F365+F366+F368+F369+F370</f>
        <v>12601985</v>
      </c>
      <c r="G631" s="112"/>
      <c r="H631" s="79">
        <f>H365+H366+H368+H369+H370</f>
        <v>11007917</v>
      </c>
      <c r="I631" s="79">
        <f t="shared" ref="I631:AE631" si="253">I365+I366+I368+I369+I370</f>
        <v>0</v>
      </c>
      <c r="J631" s="79">
        <f t="shared" si="253"/>
        <v>0</v>
      </c>
      <c r="K631" s="79">
        <f t="shared" si="253"/>
        <v>1594068</v>
      </c>
      <c r="L631" s="82">
        <f t="shared" si="253"/>
        <v>0</v>
      </c>
      <c r="M631" s="82">
        <f t="shared" si="253"/>
        <v>0</v>
      </c>
      <c r="N631" s="82">
        <f t="shared" si="253"/>
        <v>0</v>
      </c>
      <c r="O631" s="82">
        <f t="shared" si="253"/>
        <v>0</v>
      </c>
      <c r="P631" s="82">
        <f t="shared" si="253"/>
        <v>0</v>
      </c>
      <c r="Q631" s="82">
        <f t="shared" si="253"/>
        <v>0</v>
      </c>
      <c r="R631" s="82">
        <f t="shared" si="253"/>
        <v>0</v>
      </c>
      <c r="S631" s="82">
        <f t="shared" si="253"/>
        <v>0</v>
      </c>
      <c r="T631" s="82">
        <f t="shared" si="253"/>
        <v>0</v>
      </c>
      <c r="U631" s="82">
        <f t="shared" si="253"/>
        <v>0</v>
      </c>
      <c r="V631" s="82">
        <f t="shared" si="253"/>
        <v>0</v>
      </c>
      <c r="W631" s="82">
        <f t="shared" si="253"/>
        <v>0</v>
      </c>
      <c r="X631" s="82">
        <f t="shared" si="253"/>
        <v>0</v>
      </c>
      <c r="Y631" s="82">
        <f t="shared" si="253"/>
        <v>0</v>
      </c>
      <c r="Z631" s="82">
        <f t="shared" si="253"/>
        <v>0</v>
      </c>
      <c r="AA631" s="82">
        <f t="shared" si="253"/>
        <v>0</v>
      </c>
      <c r="AB631" s="82">
        <f t="shared" si="253"/>
        <v>0</v>
      </c>
      <c r="AC631" s="82">
        <f t="shared" si="253"/>
        <v>0</v>
      </c>
      <c r="AD631" s="82">
        <f t="shared" si="253"/>
        <v>0</v>
      </c>
      <c r="AE631" s="82">
        <f t="shared" si="253"/>
        <v>0</v>
      </c>
      <c r="AF631" s="398">
        <f t="shared" si="252"/>
        <v>12601985</v>
      </c>
      <c r="AG631" s="93" t="str">
        <f t="shared" si="250"/>
        <v>ok</v>
      </c>
    </row>
    <row r="632" spans="1:33" s="60" customFormat="1" ht="14.1">
      <c r="A632" s="60" t="s">
        <v>624</v>
      </c>
      <c r="C632" s="60" t="s">
        <v>624</v>
      </c>
      <c r="F632" s="81">
        <v>1</v>
      </c>
      <c r="G632" s="81"/>
      <c r="H632" s="230">
        <f>H628</f>
        <v>1</v>
      </c>
      <c r="I632" s="231">
        <f>I628</f>
        <v>0</v>
      </c>
      <c r="J632" s="231">
        <f>J628</f>
        <v>0</v>
      </c>
      <c r="K632" s="230">
        <v>0</v>
      </c>
      <c r="L632" s="230">
        <v>0</v>
      </c>
      <c r="M632" s="230">
        <v>0</v>
      </c>
      <c r="N632" s="230">
        <v>0</v>
      </c>
      <c r="O632" s="230">
        <v>0</v>
      </c>
      <c r="P632" s="230">
        <v>0</v>
      </c>
      <c r="Q632" s="230">
        <v>0</v>
      </c>
      <c r="R632" s="230">
        <v>0</v>
      </c>
      <c r="S632" s="230">
        <v>0</v>
      </c>
      <c r="T632" s="230">
        <v>0</v>
      </c>
      <c r="U632" s="230">
        <v>0</v>
      </c>
      <c r="V632" s="230">
        <v>0</v>
      </c>
      <c r="W632" s="230">
        <v>0</v>
      </c>
      <c r="X632" s="81">
        <v>0</v>
      </c>
      <c r="Y632" s="81">
        <v>0</v>
      </c>
      <c r="Z632" s="81">
        <v>0</v>
      </c>
      <c r="AA632" s="81">
        <v>0</v>
      </c>
      <c r="AB632" s="81">
        <v>0</v>
      </c>
      <c r="AC632" s="81">
        <v>0</v>
      </c>
      <c r="AD632" s="81">
        <v>0</v>
      </c>
      <c r="AE632" s="81">
        <v>0</v>
      </c>
      <c r="AF632" s="230">
        <f t="shared" si="252"/>
        <v>1</v>
      </c>
      <c r="AG632" s="93" t="str">
        <f t="shared" si="250"/>
        <v>ok</v>
      </c>
    </row>
    <row r="633" spans="1:33" s="60" customFormat="1">
      <c r="A633" s="60" t="s">
        <v>625</v>
      </c>
      <c r="C633" s="60" t="s">
        <v>626</v>
      </c>
      <c r="F633" s="79">
        <f>F376+F377+F378+F379</f>
        <v>7744702</v>
      </c>
      <c r="G633" s="112"/>
      <c r="H633" s="79">
        <f>H376+H377+H378+H379</f>
        <v>30396</v>
      </c>
      <c r="I633" s="79">
        <f t="shared" ref="I633:AE633" si="254">I376+I377+I378+I379</f>
        <v>0</v>
      </c>
      <c r="J633" s="79">
        <f t="shared" si="254"/>
        <v>0</v>
      </c>
      <c r="K633" s="79">
        <f t="shared" si="254"/>
        <v>7714306</v>
      </c>
      <c r="L633" s="82">
        <f t="shared" si="254"/>
        <v>0</v>
      </c>
      <c r="M633" s="82">
        <f t="shared" si="254"/>
        <v>0</v>
      </c>
      <c r="N633" s="82">
        <f t="shared" si="254"/>
        <v>0</v>
      </c>
      <c r="O633" s="82">
        <f t="shared" si="254"/>
        <v>0</v>
      </c>
      <c r="P633" s="82">
        <f t="shared" si="254"/>
        <v>0</v>
      </c>
      <c r="Q633" s="82">
        <f t="shared" si="254"/>
        <v>0</v>
      </c>
      <c r="R633" s="82">
        <f t="shared" si="254"/>
        <v>0</v>
      </c>
      <c r="S633" s="82">
        <f t="shared" si="254"/>
        <v>0</v>
      </c>
      <c r="T633" s="82">
        <f t="shared" si="254"/>
        <v>0</v>
      </c>
      <c r="U633" s="82">
        <f t="shared" si="254"/>
        <v>0</v>
      </c>
      <c r="V633" s="82">
        <f t="shared" si="254"/>
        <v>0</v>
      </c>
      <c r="W633" s="82">
        <f t="shared" si="254"/>
        <v>0</v>
      </c>
      <c r="X633" s="82">
        <f t="shared" si="254"/>
        <v>0</v>
      </c>
      <c r="Y633" s="82">
        <f t="shared" si="254"/>
        <v>0</v>
      </c>
      <c r="Z633" s="82">
        <f t="shared" si="254"/>
        <v>0</v>
      </c>
      <c r="AA633" s="82">
        <f t="shared" si="254"/>
        <v>0</v>
      </c>
      <c r="AB633" s="82">
        <f t="shared" si="254"/>
        <v>0</v>
      </c>
      <c r="AC633" s="82">
        <f t="shared" si="254"/>
        <v>0</v>
      </c>
      <c r="AD633" s="82">
        <f t="shared" si="254"/>
        <v>0</v>
      </c>
      <c r="AE633" s="82">
        <f t="shared" si="254"/>
        <v>0</v>
      </c>
      <c r="AF633" s="79">
        <f t="shared" si="252"/>
        <v>7744702</v>
      </c>
      <c r="AG633" s="93" t="str">
        <f t="shared" si="250"/>
        <v>ok</v>
      </c>
    </row>
    <row r="634" spans="1:33" s="60" customFormat="1">
      <c r="A634" s="60" t="s">
        <v>627</v>
      </c>
      <c r="C634" s="60" t="s">
        <v>628</v>
      </c>
      <c r="F634" s="79">
        <f>F387+F388+F389+F390+F391</f>
        <v>262377</v>
      </c>
      <c r="G634" s="112"/>
      <c r="H634" s="79">
        <f t="shared" ref="H634:M634" si="255">H387+H388+H389+H390+H391</f>
        <v>262377</v>
      </c>
      <c r="I634" s="79">
        <f t="shared" si="255"/>
        <v>0</v>
      </c>
      <c r="J634" s="79">
        <f t="shared" si="255"/>
        <v>0</v>
      </c>
      <c r="K634" s="79">
        <f t="shared" si="255"/>
        <v>0</v>
      </c>
      <c r="L634" s="82">
        <f t="shared" si="255"/>
        <v>0</v>
      </c>
      <c r="M634" s="82">
        <f t="shared" si="255"/>
        <v>0</v>
      </c>
      <c r="N634" s="82">
        <f>N387+N388+N389+N390+N391</f>
        <v>0</v>
      </c>
      <c r="O634" s="82">
        <f>O387+O388+O389+O390+O391</f>
        <v>0</v>
      </c>
      <c r="P634" s="82">
        <f>P387+P388+P389+P390+P391</f>
        <v>0</v>
      </c>
      <c r="Q634" s="82">
        <f t="shared" ref="Q634:AB634" si="256">Q387+Q388+Q389+Q390+Q391</f>
        <v>0</v>
      </c>
      <c r="R634" s="82">
        <f t="shared" si="256"/>
        <v>0</v>
      </c>
      <c r="S634" s="82">
        <f t="shared" si="256"/>
        <v>0</v>
      </c>
      <c r="T634" s="82">
        <f t="shared" si="256"/>
        <v>0</v>
      </c>
      <c r="U634" s="82">
        <f t="shared" si="256"/>
        <v>0</v>
      </c>
      <c r="V634" s="82">
        <f t="shared" si="256"/>
        <v>0</v>
      </c>
      <c r="W634" s="82">
        <f t="shared" si="256"/>
        <v>0</v>
      </c>
      <c r="X634" s="82">
        <f t="shared" si="256"/>
        <v>0</v>
      </c>
      <c r="Y634" s="82">
        <f t="shared" si="256"/>
        <v>0</v>
      </c>
      <c r="Z634" s="82">
        <f t="shared" si="256"/>
        <v>0</v>
      </c>
      <c r="AA634" s="82">
        <f t="shared" si="256"/>
        <v>0</v>
      </c>
      <c r="AB634" s="82">
        <f t="shared" si="256"/>
        <v>0</v>
      </c>
      <c r="AC634" s="82">
        <f>AC387+AC388+AC389+AC390+AC391</f>
        <v>0</v>
      </c>
      <c r="AD634" s="82">
        <f>AD387+AD388+AD389+AD390+AD391</f>
        <v>0</v>
      </c>
      <c r="AE634" s="82">
        <f>AE387+AE388+AE389+AE390+AE391</f>
        <v>0</v>
      </c>
      <c r="AF634" s="79">
        <f t="shared" si="252"/>
        <v>262377</v>
      </c>
      <c r="AG634" s="93" t="str">
        <f t="shared" si="250"/>
        <v>ok</v>
      </c>
    </row>
    <row r="635" spans="1:33" s="60" customFormat="1">
      <c r="A635" s="60" t="s">
        <v>634</v>
      </c>
      <c r="C635" s="60" t="s">
        <v>635</v>
      </c>
      <c r="F635" s="79">
        <f>F397+F398+F399+F400</f>
        <v>158283</v>
      </c>
      <c r="G635" s="112"/>
      <c r="H635" s="79">
        <f>H397+H398+H399+H400</f>
        <v>86045</v>
      </c>
      <c r="I635" s="79">
        <f t="shared" ref="I635:AE635" si="257">I397+I398+I399+I400</f>
        <v>0</v>
      </c>
      <c r="J635" s="79">
        <f t="shared" si="257"/>
        <v>0</v>
      </c>
      <c r="K635" s="79">
        <f t="shared" si="257"/>
        <v>72238</v>
      </c>
      <c r="L635" s="82">
        <f t="shared" si="257"/>
        <v>0</v>
      </c>
      <c r="M635" s="82">
        <f t="shared" si="257"/>
        <v>0</v>
      </c>
      <c r="N635" s="82">
        <f t="shared" si="257"/>
        <v>0</v>
      </c>
      <c r="O635" s="82">
        <f t="shared" si="257"/>
        <v>0</v>
      </c>
      <c r="P635" s="82">
        <f t="shared" si="257"/>
        <v>0</v>
      </c>
      <c r="Q635" s="82">
        <f t="shared" si="257"/>
        <v>0</v>
      </c>
      <c r="R635" s="82">
        <f t="shared" si="257"/>
        <v>0</v>
      </c>
      <c r="S635" s="82">
        <f t="shared" si="257"/>
        <v>0</v>
      </c>
      <c r="T635" s="82">
        <f t="shared" si="257"/>
        <v>0</v>
      </c>
      <c r="U635" s="82">
        <f t="shared" si="257"/>
        <v>0</v>
      </c>
      <c r="V635" s="82">
        <f t="shared" si="257"/>
        <v>0</v>
      </c>
      <c r="W635" s="82">
        <f t="shared" si="257"/>
        <v>0</v>
      </c>
      <c r="X635" s="82">
        <f t="shared" si="257"/>
        <v>0</v>
      </c>
      <c r="Y635" s="82">
        <f t="shared" si="257"/>
        <v>0</v>
      </c>
      <c r="Z635" s="82">
        <f t="shared" si="257"/>
        <v>0</v>
      </c>
      <c r="AA635" s="82">
        <f t="shared" si="257"/>
        <v>0</v>
      </c>
      <c r="AB635" s="82">
        <f t="shared" si="257"/>
        <v>0</v>
      </c>
      <c r="AC635" s="82">
        <f t="shared" si="257"/>
        <v>0</v>
      </c>
      <c r="AD635" s="82">
        <f t="shared" si="257"/>
        <v>0</v>
      </c>
      <c r="AE635" s="82">
        <f t="shared" si="257"/>
        <v>0</v>
      </c>
      <c r="AF635" s="79">
        <f t="shared" si="252"/>
        <v>158283</v>
      </c>
      <c r="AG635" s="93" t="str">
        <f t="shared" si="250"/>
        <v>ok</v>
      </c>
    </row>
    <row r="636" spans="1:33" s="60" customFormat="1">
      <c r="A636" s="60" t="s">
        <v>637</v>
      </c>
      <c r="C636" s="60" t="s">
        <v>636</v>
      </c>
      <c r="F636" s="79">
        <f>F454+F455+F456+F457+F458+F459+F460+F461+F462+F463</f>
        <v>8228555</v>
      </c>
      <c r="G636" s="112"/>
      <c r="H636" s="79">
        <f>H454+H455+H456+H457+H458+H459+H460+H461+H462+H463</f>
        <v>0</v>
      </c>
      <c r="I636" s="79">
        <f t="shared" ref="I636:AE636" si="258">I454+I455+I456+I457+I458+I459+I460+I461+I462+I463</f>
        <v>0</v>
      </c>
      <c r="J636" s="79">
        <f t="shared" si="258"/>
        <v>0</v>
      </c>
      <c r="K636" s="79">
        <f t="shared" si="258"/>
        <v>0</v>
      </c>
      <c r="L636" s="82">
        <f t="shared" si="258"/>
        <v>0</v>
      </c>
      <c r="M636" s="82">
        <f t="shared" si="258"/>
        <v>0</v>
      </c>
      <c r="N636" s="82">
        <f t="shared" si="258"/>
        <v>0</v>
      </c>
      <c r="O636" s="82">
        <f t="shared" si="258"/>
        <v>0</v>
      </c>
      <c r="P636" s="82">
        <f t="shared" si="258"/>
        <v>0</v>
      </c>
      <c r="Q636" s="82">
        <f t="shared" si="258"/>
        <v>0</v>
      </c>
      <c r="R636" s="82">
        <f t="shared" si="258"/>
        <v>1220520.9680450442</v>
      </c>
      <c r="S636" s="82">
        <f t="shared" si="258"/>
        <v>0</v>
      </c>
      <c r="T636" s="82">
        <f t="shared" si="258"/>
        <v>973421.84185554693</v>
      </c>
      <c r="U636" s="82">
        <f t="shared" si="258"/>
        <v>1651299.6766921924</v>
      </c>
      <c r="V636" s="82">
        <f t="shared" si="258"/>
        <v>329314.48042335309</v>
      </c>
      <c r="W636" s="82">
        <f t="shared" si="258"/>
        <v>574563.38616658899</v>
      </c>
      <c r="X636" s="82">
        <f t="shared" si="258"/>
        <v>98167.480594296954</v>
      </c>
      <c r="Y636" s="82">
        <f t="shared" si="258"/>
        <v>54719.329799131789</v>
      </c>
      <c r="Z636" s="82">
        <f t="shared" si="258"/>
        <v>34985.951050711454</v>
      </c>
      <c r="AA636" s="82">
        <f t="shared" si="258"/>
        <v>3176211.634135488</v>
      </c>
      <c r="AB636" s="82">
        <f t="shared" si="258"/>
        <v>115350.25123764618</v>
      </c>
      <c r="AC636" s="82">
        <f t="shared" si="258"/>
        <v>0</v>
      </c>
      <c r="AD636" s="82">
        <f t="shared" si="258"/>
        <v>0</v>
      </c>
      <c r="AE636" s="82">
        <f t="shared" si="258"/>
        <v>0</v>
      </c>
      <c r="AF636" s="79">
        <f t="shared" si="252"/>
        <v>8228555</v>
      </c>
      <c r="AG636" s="93" t="str">
        <f t="shared" si="250"/>
        <v>ok</v>
      </c>
    </row>
    <row r="637" spans="1:33" s="60" customFormat="1">
      <c r="A637" s="60" t="s">
        <v>638</v>
      </c>
      <c r="C637" s="60" t="s">
        <v>639</v>
      </c>
      <c r="F637" s="79">
        <f>F475+F476+F477+F478+F479+F480+F481+F482</f>
        <v>2715913</v>
      </c>
      <c r="G637" s="112"/>
      <c r="H637" s="79">
        <f>H475+H476+H477+H478+H479+H480+H481+H482</f>
        <v>0</v>
      </c>
      <c r="I637" s="79">
        <f t="shared" ref="I637:AE637" si="259">I475+I476+I477+I478+I479+I480+I481+I482</f>
        <v>0</v>
      </c>
      <c r="J637" s="79">
        <f t="shared" si="259"/>
        <v>0</v>
      </c>
      <c r="K637" s="79">
        <f t="shared" si="259"/>
        <v>0</v>
      </c>
      <c r="L637" s="82">
        <f t="shared" si="259"/>
        <v>0</v>
      </c>
      <c r="M637" s="82">
        <f t="shared" si="259"/>
        <v>0</v>
      </c>
      <c r="N637" s="82">
        <f t="shared" si="259"/>
        <v>0</v>
      </c>
      <c r="O637" s="82">
        <f t="shared" si="259"/>
        <v>0</v>
      </c>
      <c r="P637" s="82">
        <f t="shared" si="259"/>
        <v>0</v>
      </c>
      <c r="Q637" s="82">
        <f t="shared" si="259"/>
        <v>0</v>
      </c>
      <c r="R637" s="82">
        <f t="shared" si="259"/>
        <v>374744</v>
      </c>
      <c r="S637" s="82">
        <f t="shared" si="259"/>
        <v>0</v>
      </c>
      <c r="T637" s="82">
        <f t="shared" si="259"/>
        <v>636274.68161274004</v>
      </c>
      <c r="U637" s="82">
        <f t="shared" si="259"/>
        <v>1068062.6678872602</v>
      </c>
      <c r="V637" s="82">
        <f t="shared" si="259"/>
        <v>204075.03558726</v>
      </c>
      <c r="W637" s="82">
        <f t="shared" si="259"/>
        <v>354162.61491273995</v>
      </c>
      <c r="X637" s="82">
        <f t="shared" si="259"/>
        <v>46627.476153450174</v>
      </c>
      <c r="Y637" s="82">
        <f t="shared" si="259"/>
        <v>25990.52384654983</v>
      </c>
      <c r="Z637" s="82">
        <f t="shared" si="259"/>
        <v>0</v>
      </c>
      <c r="AA637" s="82">
        <f t="shared" si="259"/>
        <v>0</v>
      </c>
      <c r="AB637" s="82">
        <f t="shared" si="259"/>
        <v>5976</v>
      </c>
      <c r="AC637" s="82">
        <f t="shared" si="259"/>
        <v>0</v>
      </c>
      <c r="AD637" s="82">
        <f t="shared" si="259"/>
        <v>0</v>
      </c>
      <c r="AE637" s="82">
        <f t="shared" si="259"/>
        <v>0</v>
      </c>
      <c r="AF637" s="79">
        <f t="shared" si="252"/>
        <v>2715913</v>
      </c>
      <c r="AG637" s="93" t="str">
        <f t="shared" si="250"/>
        <v>ok</v>
      </c>
    </row>
    <row r="638" spans="1:33" s="60" customFormat="1">
      <c r="A638" s="60" t="s">
        <v>949</v>
      </c>
      <c r="C638" s="60" t="s">
        <v>640</v>
      </c>
      <c r="F638" s="81">
        <v>1</v>
      </c>
      <c r="G638" s="81"/>
      <c r="H638" s="230">
        <v>0</v>
      </c>
      <c r="I638" s="230">
        <v>0</v>
      </c>
      <c r="J638" s="230">
        <v>0</v>
      </c>
      <c r="K638" s="230">
        <v>0</v>
      </c>
      <c r="L638" s="230">
        <v>0</v>
      </c>
      <c r="M638" s="230">
        <v>0</v>
      </c>
      <c r="N638" s="230">
        <v>0</v>
      </c>
      <c r="O638" s="230">
        <v>0</v>
      </c>
      <c r="P638" s="230">
        <v>0</v>
      </c>
      <c r="Q638" s="230">
        <v>0</v>
      </c>
      <c r="R638" s="230">
        <v>0</v>
      </c>
      <c r="S638" s="230">
        <v>0</v>
      </c>
      <c r="T638" s="230">
        <v>0</v>
      </c>
      <c r="U638" s="230">
        <v>0</v>
      </c>
      <c r="V638" s="230">
        <v>0</v>
      </c>
      <c r="W638" s="230">
        <v>0</v>
      </c>
      <c r="X638" s="81">
        <v>0</v>
      </c>
      <c r="Y638" s="81">
        <v>0</v>
      </c>
      <c r="Z638" s="81">
        <v>0</v>
      </c>
      <c r="AA638" s="81">
        <v>0</v>
      </c>
      <c r="AB638" s="81">
        <v>0</v>
      </c>
      <c r="AC638" s="81">
        <v>1</v>
      </c>
      <c r="AD638" s="81">
        <v>0</v>
      </c>
      <c r="AE638" s="81">
        <v>0</v>
      </c>
      <c r="AF638" s="230">
        <f t="shared" si="252"/>
        <v>1</v>
      </c>
      <c r="AG638" s="93" t="str">
        <f t="shared" si="250"/>
        <v>ok</v>
      </c>
    </row>
    <row r="639" spans="1:33" s="60" customFormat="1">
      <c r="A639" s="60" t="s">
        <v>960</v>
      </c>
      <c r="C639" s="60" t="s">
        <v>641</v>
      </c>
      <c r="F639" s="81">
        <v>1</v>
      </c>
      <c r="G639" s="81"/>
      <c r="H639" s="230">
        <v>0</v>
      </c>
      <c r="I639" s="230">
        <v>0</v>
      </c>
      <c r="J639" s="230">
        <v>0</v>
      </c>
      <c r="K639" s="230">
        <v>0</v>
      </c>
      <c r="L639" s="230">
        <v>0</v>
      </c>
      <c r="M639" s="230">
        <v>0</v>
      </c>
      <c r="N639" s="230">
        <v>0</v>
      </c>
      <c r="O639" s="230">
        <v>0</v>
      </c>
      <c r="P639" s="230">
        <v>0</v>
      </c>
      <c r="Q639" s="230">
        <v>0</v>
      </c>
      <c r="R639" s="230">
        <v>0</v>
      </c>
      <c r="S639" s="230">
        <v>0</v>
      </c>
      <c r="T639" s="230">
        <v>0</v>
      </c>
      <c r="U639" s="230">
        <v>0</v>
      </c>
      <c r="V639" s="230">
        <v>0</v>
      </c>
      <c r="W639" s="230">
        <v>0</v>
      </c>
      <c r="X639" s="81">
        <v>0</v>
      </c>
      <c r="Y639" s="81">
        <v>0</v>
      </c>
      <c r="Z639" s="81">
        <v>0</v>
      </c>
      <c r="AA639" s="81">
        <v>0</v>
      </c>
      <c r="AB639" s="81">
        <v>0</v>
      </c>
      <c r="AC639" s="81">
        <v>0</v>
      </c>
      <c r="AD639" s="81">
        <v>1</v>
      </c>
      <c r="AE639" s="81">
        <v>0</v>
      </c>
      <c r="AF639" s="230">
        <f t="shared" si="252"/>
        <v>1</v>
      </c>
      <c r="AG639" s="93" t="str">
        <f t="shared" si="250"/>
        <v>ok</v>
      </c>
    </row>
    <row r="640" spans="1:33" s="60" customFormat="1">
      <c r="A640" s="60" t="s">
        <v>818</v>
      </c>
      <c r="C640" s="60" t="s">
        <v>817</v>
      </c>
      <c r="F640" s="79">
        <f t="shared" ref="F640:AE640" si="260">F39+F40</f>
        <v>1160271504.5446146</v>
      </c>
      <c r="G640" s="79">
        <f t="shared" si="260"/>
        <v>0</v>
      </c>
      <c r="H640" s="79">
        <f t="shared" si="260"/>
        <v>0</v>
      </c>
      <c r="I640" s="79">
        <f t="shared" si="260"/>
        <v>0</v>
      </c>
      <c r="J640" s="79">
        <f t="shared" si="260"/>
        <v>0</v>
      </c>
      <c r="K640" s="79">
        <f t="shared" si="260"/>
        <v>0</v>
      </c>
      <c r="L640" s="79">
        <f t="shared" si="260"/>
        <v>0</v>
      </c>
      <c r="M640" s="79">
        <f t="shared" si="260"/>
        <v>0</v>
      </c>
      <c r="N640" s="79">
        <f t="shared" si="260"/>
        <v>0</v>
      </c>
      <c r="O640" s="79">
        <f t="shared" si="260"/>
        <v>0</v>
      </c>
      <c r="P640" s="79">
        <f t="shared" si="260"/>
        <v>0</v>
      </c>
      <c r="Q640" s="79">
        <f t="shared" si="260"/>
        <v>0</v>
      </c>
      <c r="R640" s="79">
        <f t="shared" si="260"/>
        <v>0</v>
      </c>
      <c r="S640" s="79">
        <f t="shared" si="260"/>
        <v>0</v>
      </c>
      <c r="T640" s="79">
        <f t="shared" si="260"/>
        <v>342041384.40241784</v>
      </c>
      <c r="U640" s="79">
        <f t="shared" si="260"/>
        <v>559726383.01709938</v>
      </c>
      <c r="V640" s="79">
        <f t="shared" si="260"/>
        <v>95432667.516435459</v>
      </c>
      <c r="W640" s="79">
        <f t="shared" si="260"/>
        <v>163071069.60866195</v>
      </c>
      <c r="X640" s="79">
        <f t="shared" si="260"/>
        <v>0</v>
      </c>
      <c r="Y640" s="79">
        <f t="shared" si="260"/>
        <v>0</v>
      </c>
      <c r="Z640" s="79">
        <f t="shared" si="260"/>
        <v>0</v>
      </c>
      <c r="AA640" s="79">
        <f t="shared" si="260"/>
        <v>0</v>
      </c>
      <c r="AB640" s="79">
        <f t="shared" si="260"/>
        <v>0</v>
      </c>
      <c r="AC640" s="79">
        <f t="shared" si="260"/>
        <v>0</v>
      </c>
      <c r="AD640" s="79">
        <f t="shared" si="260"/>
        <v>0</v>
      </c>
      <c r="AE640" s="79">
        <f t="shared" si="260"/>
        <v>0</v>
      </c>
      <c r="AF640" s="79">
        <f t="shared" ref="AF640:AF648" si="261">SUM(H640:AE640)</f>
        <v>1160271504.5446148</v>
      </c>
      <c r="AG640" s="93" t="str">
        <f t="shared" si="250"/>
        <v>err</v>
      </c>
    </row>
    <row r="641" spans="1:33" s="60" customFormat="1">
      <c r="A641" s="60" t="s">
        <v>837</v>
      </c>
      <c r="D641" s="60" t="s">
        <v>616</v>
      </c>
      <c r="F641" s="79">
        <v>27272357.152828299</v>
      </c>
      <c r="G641" s="79"/>
      <c r="H641" s="79">
        <f t="shared" ref="H641:Q642" si="262">IF(VLOOKUP($D641,$C$6:$AE$653,H$2,)=0,0,((VLOOKUP($D641,$C$6:$AE$653,H$2,)/VLOOKUP($D641,$C$6:$AE$653,4,))*$F641))</f>
        <v>27272357.152828299</v>
      </c>
      <c r="I641" s="79">
        <f t="shared" si="262"/>
        <v>0</v>
      </c>
      <c r="J641" s="79">
        <f t="shared" si="262"/>
        <v>0</v>
      </c>
      <c r="K641" s="79">
        <f t="shared" si="262"/>
        <v>0</v>
      </c>
      <c r="L641" s="79">
        <f t="shared" si="262"/>
        <v>0</v>
      </c>
      <c r="M641" s="79">
        <f t="shared" si="262"/>
        <v>0</v>
      </c>
      <c r="N641" s="79">
        <f t="shared" si="262"/>
        <v>0</v>
      </c>
      <c r="O641" s="79">
        <f t="shared" si="262"/>
        <v>0</v>
      </c>
      <c r="P641" s="79">
        <f t="shared" si="262"/>
        <v>0</v>
      </c>
      <c r="Q641" s="79">
        <f t="shared" si="262"/>
        <v>0</v>
      </c>
      <c r="R641" s="79">
        <f t="shared" ref="R641:AE642" si="263">IF(VLOOKUP($D641,$C$6:$AE$653,R$2,)=0,0,((VLOOKUP($D641,$C$6:$AE$653,R$2,)/VLOOKUP($D641,$C$6:$AE$653,4,))*$F641))</f>
        <v>0</v>
      </c>
      <c r="S641" s="79">
        <f t="shared" si="263"/>
        <v>0</v>
      </c>
      <c r="T641" s="79">
        <f t="shared" si="263"/>
        <v>0</v>
      </c>
      <c r="U641" s="79">
        <f t="shared" si="263"/>
        <v>0</v>
      </c>
      <c r="V641" s="79">
        <f t="shared" si="263"/>
        <v>0</v>
      </c>
      <c r="W641" s="79">
        <f t="shared" si="263"/>
        <v>0</v>
      </c>
      <c r="X641" s="79">
        <f t="shared" si="263"/>
        <v>0</v>
      </c>
      <c r="Y641" s="79">
        <f t="shared" si="263"/>
        <v>0</v>
      </c>
      <c r="Z641" s="79">
        <f t="shared" si="263"/>
        <v>0</v>
      </c>
      <c r="AA641" s="79">
        <f t="shared" si="263"/>
        <v>0</v>
      </c>
      <c r="AB641" s="79">
        <f t="shared" si="263"/>
        <v>0</v>
      </c>
      <c r="AC641" s="79">
        <f t="shared" si="263"/>
        <v>0</v>
      </c>
      <c r="AD641" s="79">
        <f t="shared" si="263"/>
        <v>0</v>
      </c>
      <c r="AE641" s="79">
        <f t="shared" si="263"/>
        <v>0</v>
      </c>
      <c r="AF641" s="79">
        <f t="shared" si="261"/>
        <v>27272357.152828299</v>
      </c>
      <c r="AG641" s="93" t="str">
        <f>IF(ABS(AF641-F641)&lt;1,"ok","err")</f>
        <v>ok</v>
      </c>
    </row>
    <row r="642" spans="1:33" s="60" customFormat="1">
      <c r="A642" s="60" t="s">
        <v>838</v>
      </c>
      <c r="D642" s="60" t="s">
        <v>619</v>
      </c>
      <c r="F642" s="79">
        <v>22555449.143752601</v>
      </c>
      <c r="G642" s="81"/>
      <c r="H642" s="79">
        <f t="shared" si="262"/>
        <v>0</v>
      </c>
      <c r="I642" s="79">
        <f t="shared" si="262"/>
        <v>0</v>
      </c>
      <c r="J642" s="79">
        <f t="shared" si="262"/>
        <v>0</v>
      </c>
      <c r="K642" s="79">
        <f t="shared" si="262"/>
        <v>22555449.143752601</v>
      </c>
      <c r="L642" s="79">
        <f t="shared" si="262"/>
        <v>0</v>
      </c>
      <c r="M642" s="79">
        <f t="shared" si="262"/>
        <v>0</v>
      </c>
      <c r="N642" s="79">
        <f t="shared" si="262"/>
        <v>0</v>
      </c>
      <c r="O642" s="79">
        <f t="shared" si="262"/>
        <v>0</v>
      </c>
      <c r="P642" s="79">
        <f t="shared" si="262"/>
        <v>0</v>
      </c>
      <c r="Q642" s="79">
        <f t="shared" si="262"/>
        <v>0</v>
      </c>
      <c r="R642" s="79">
        <f t="shared" si="263"/>
        <v>0</v>
      </c>
      <c r="S642" s="79">
        <f t="shared" si="263"/>
        <v>0</v>
      </c>
      <c r="T642" s="79">
        <f t="shared" si="263"/>
        <v>0</v>
      </c>
      <c r="U642" s="79">
        <f t="shared" si="263"/>
        <v>0</v>
      </c>
      <c r="V642" s="79">
        <f t="shared" si="263"/>
        <v>0</v>
      </c>
      <c r="W642" s="79">
        <f t="shared" si="263"/>
        <v>0</v>
      </c>
      <c r="X642" s="79">
        <f t="shared" si="263"/>
        <v>0</v>
      </c>
      <c r="Y642" s="79">
        <f t="shared" si="263"/>
        <v>0</v>
      </c>
      <c r="Z642" s="79">
        <f t="shared" si="263"/>
        <v>0</v>
      </c>
      <c r="AA642" s="79">
        <f t="shared" si="263"/>
        <v>0</v>
      </c>
      <c r="AB642" s="79">
        <f t="shared" si="263"/>
        <v>0</v>
      </c>
      <c r="AC642" s="79">
        <f t="shared" si="263"/>
        <v>0</v>
      </c>
      <c r="AD642" s="79">
        <f t="shared" si="263"/>
        <v>0</v>
      </c>
      <c r="AE642" s="79">
        <f t="shared" si="263"/>
        <v>0</v>
      </c>
      <c r="AF642" s="79">
        <f t="shared" si="261"/>
        <v>22555449.143752601</v>
      </c>
      <c r="AG642" s="93" t="str">
        <f>IF(ABS(AF642-F642)&lt;1,"ok","err")</f>
        <v>ok</v>
      </c>
    </row>
    <row r="643" spans="1:33" s="60" customFormat="1">
      <c r="A643" s="60" t="s">
        <v>10</v>
      </c>
      <c r="C643" s="60" t="s">
        <v>910</v>
      </c>
      <c r="F643" s="79">
        <f>F641+F642</f>
        <v>49827806.296580896</v>
      </c>
      <c r="G643" s="79"/>
      <c r="H643" s="79">
        <f>H641+H642</f>
        <v>27272357.152828299</v>
      </c>
      <c r="I643" s="79">
        <f t="shared" ref="I643:AE643" si="264">I641+I642</f>
        <v>0</v>
      </c>
      <c r="J643" s="79">
        <f t="shared" si="264"/>
        <v>0</v>
      </c>
      <c r="K643" s="79">
        <f t="shared" si="264"/>
        <v>22555449.143752601</v>
      </c>
      <c r="L643" s="79">
        <f t="shared" si="264"/>
        <v>0</v>
      </c>
      <c r="M643" s="79">
        <f t="shared" si="264"/>
        <v>0</v>
      </c>
      <c r="N643" s="79">
        <f t="shared" si="264"/>
        <v>0</v>
      </c>
      <c r="O643" s="79">
        <f t="shared" si="264"/>
        <v>0</v>
      </c>
      <c r="P643" s="79">
        <f t="shared" si="264"/>
        <v>0</v>
      </c>
      <c r="Q643" s="79">
        <f t="shared" si="264"/>
        <v>0</v>
      </c>
      <c r="R643" s="79">
        <f t="shared" si="264"/>
        <v>0</v>
      </c>
      <c r="S643" s="79">
        <f t="shared" si="264"/>
        <v>0</v>
      </c>
      <c r="T643" s="79">
        <f t="shared" si="264"/>
        <v>0</v>
      </c>
      <c r="U643" s="79">
        <f t="shared" si="264"/>
        <v>0</v>
      </c>
      <c r="V643" s="79">
        <f t="shared" si="264"/>
        <v>0</v>
      </c>
      <c r="W643" s="79">
        <f t="shared" si="264"/>
        <v>0</v>
      </c>
      <c r="X643" s="79">
        <f t="shared" si="264"/>
        <v>0</v>
      </c>
      <c r="Y643" s="79">
        <f t="shared" si="264"/>
        <v>0</v>
      </c>
      <c r="Z643" s="79">
        <f t="shared" si="264"/>
        <v>0</v>
      </c>
      <c r="AA643" s="79">
        <f t="shared" si="264"/>
        <v>0</v>
      </c>
      <c r="AB643" s="79">
        <f t="shared" si="264"/>
        <v>0</v>
      </c>
      <c r="AC643" s="79">
        <f t="shared" si="264"/>
        <v>0</v>
      </c>
      <c r="AD643" s="79">
        <f t="shared" si="264"/>
        <v>0</v>
      </c>
      <c r="AE643" s="79">
        <f t="shared" si="264"/>
        <v>0</v>
      </c>
      <c r="AF643" s="79">
        <f t="shared" si="261"/>
        <v>49827806.296580896</v>
      </c>
      <c r="AG643" s="93" t="str">
        <f>IF(ABS(AF643-F643)&lt;1,"ok","err")</f>
        <v>ok</v>
      </c>
    </row>
    <row r="644" spans="1:33" s="60" customFormat="1">
      <c r="A644" s="60" t="s">
        <v>115</v>
      </c>
      <c r="C644" s="60" t="s">
        <v>113</v>
      </c>
      <c r="F644" s="83">
        <v>1</v>
      </c>
      <c r="H644" s="79">
        <v>0</v>
      </c>
      <c r="I644" s="79">
        <v>0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0</v>
      </c>
      <c r="Q644" s="79">
        <v>0</v>
      </c>
      <c r="R644" s="79">
        <v>0</v>
      </c>
      <c r="S644" s="79">
        <v>0</v>
      </c>
      <c r="T644" s="79">
        <v>0</v>
      </c>
      <c r="U644" s="79">
        <v>0</v>
      </c>
      <c r="V644" s="79">
        <v>0</v>
      </c>
      <c r="W644" s="79">
        <v>0</v>
      </c>
      <c r="X644" s="79">
        <v>0</v>
      </c>
      <c r="Y644" s="79">
        <v>0</v>
      </c>
      <c r="Z644" s="79">
        <v>0</v>
      </c>
      <c r="AA644" s="79">
        <v>0</v>
      </c>
      <c r="AB644" s="79">
        <v>0</v>
      </c>
      <c r="AC644" s="83">
        <v>1</v>
      </c>
      <c r="AD644" s="79">
        <v>0</v>
      </c>
      <c r="AE644" s="79">
        <v>0</v>
      </c>
      <c r="AF644" s="230">
        <f t="shared" si="261"/>
        <v>1</v>
      </c>
      <c r="AG644" s="93" t="str">
        <f>IF(ABS(AF644-F644)&lt;1,"ok","err")</f>
        <v>ok</v>
      </c>
    </row>
    <row r="645" spans="1:33" s="60" customFormat="1">
      <c r="A645" s="60" t="s">
        <v>116</v>
      </c>
      <c r="C645" s="60" t="s">
        <v>114</v>
      </c>
      <c r="F645" s="83">
        <v>1</v>
      </c>
      <c r="H645" s="79">
        <v>0</v>
      </c>
      <c r="I645" s="79">
        <v>0</v>
      </c>
      <c r="J645" s="79">
        <v>0</v>
      </c>
      <c r="K645" s="79">
        <v>0</v>
      </c>
      <c r="L645" s="79">
        <v>0</v>
      </c>
      <c r="M645" s="79">
        <v>0</v>
      </c>
      <c r="N645" s="79">
        <v>0</v>
      </c>
      <c r="O645" s="79">
        <v>0</v>
      </c>
      <c r="P645" s="79">
        <v>0</v>
      </c>
      <c r="Q645" s="79">
        <v>0</v>
      </c>
      <c r="R645" s="79">
        <v>0</v>
      </c>
      <c r="S645" s="79">
        <v>0</v>
      </c>
      <c r="T645" s="79">
        <v>0</v>
      </c>
      <c r="U645" s="79">
        <v>0</v>
      </c>
      <c r="V645" s="79">
        <v>0</v>
      </c>
      <c r="W645" s="79">
        <v>0</v>
      </c>
      <c r="X645" s="79">
        <v>0</v>
      </c>
      <c r="Y645" s="79">
        <v>0</v>
      </c>
      <c r="Z645" s="79">
        <v>0</v>
      </c>
      <c r="AA645" s="79">
        <v>0</v>
      </c>
      <c r="AB645" s="79">
        <v>0</v>
      </c>
      <c r="AC645" s="83">
        <v>1</v>
      </c>
      <c r="AD645" s="79">
        <v>0</v>
      </c>
      <c r="AE645" s="79">
        <v>0</v>
      </c>
      <c r="AF645" s="230">
        <f t="shared" si="261"/>
        <v>1</v>
      </c>
      <c r="AG645" s="93" t="str">
        <f>IF(ABS(AF645-F645)&lt;1,"ok","err")</f>
        <v>ok</v>
      </c>
    </row>
    <row r="646" spans="1:33" s="60" customFormat="1">
      <c r="A646" s="60" t="s">
        <v>121</v>
      </c>
      <c r="C646" s="60" t="s">
        <v>118</v>
      </c>
      <c r="F646" s="81">
        <v>1</v>
      </c>
      <c r="G646" s="81"/>
      <c r="H646" s="230">
        <v>0</v>
      </c>
      <c r="I646" s="230">
        <v>0</v>
      </c>
      <c r="J646" s="230">
        <v>0</v>
      </c>
      <c r="K646" s="230">
        <v>0</v>
      </c>
      <c r="L646" s="230">
        <v>0</v>
      </c>
      <c r="M646" s="230">
        <v>1</v>
      </c>
      <c r="N646" s="230">
        <v>0</v>
      </c>
      <c r="O646" s="230">
        <v>0</v>
      </c>
      <c r="P646" s="230">
        <v>0</v>
      </c>
      <c r="Q646" s="230">
        <v>0</v>
      </c>
      <c r="R646" s="230">
        <v>0</v>
      </c>
      <c r="S646" s="230">
        <v>0</v>
      </c>
      <c r="T646" s="230">
        <v>0</v>
      </c>
      <c r="U646" s="230">
        <v>0</v>
      </c>
      <c r="V646" s="230">
        <v>0</v>
      </c>
      <c r="W646" s="230">
        <v>0</v>
      </c>
      <c r="X646" s="81">
        <v>0</v>
      </c>
      <c r="Y646" s="81">
        <v>0</v>
      </c>
      <c r="Z646" s="81">
        <v>0</v>
      </c>
      <c r="AA646" s="81">
        <v>0</v>
      </c>
      <c r="AB646" s="81">
        <v>0</v>
      </c>
      <c r="AC646" s="81">
        <v>0</v>
      </c>
      <c r="AD646" s="81">
        <v>0</v>
      </c>
      <c r="AE646" s="81">
        <v>0</v>
      </c>
      <c r="AF646" s="230">
        <f t="shared" si="261"/>
        <v>1</v>
      </c>
      <c r="AG646" s="93" t="str">
        <f>IF(ABS(AF646-F646)&lt;0.0000001,"ok","err")</f>
        <v>ok</v>
      </c>
    </row>
    <row r="647" spans="1:33" s="60" customFormat="1">
      <c r="A647" s="60" t="s">
        <v>120</v>
      </c>
      <c r="C647" s="60" t="s">
        <v>119</v>
      </c>
      <c r="F647" s="81">
        <v>1</v>
      </c>
      <c r="G647" s="81"/>
      <c r="H647" s="230">
        <v>1</v>
      </c>
      <c r="I647" s="230">
        <v>0</v>
      </c>
      <c r="J647" s="230">
        <v>0</v>
      </c>
      <c r="K647" s="230">
        <v>0</v>
      </c>
      <c r="L647" s="230">
        <v>0</v>
      </c>
      <c r="M647" s="230">
        <v>0</v>
      </c>
      <c r="N647" s="230">
        <v>0</v>
      </c>
      <c r="O647" s="230">
        <v>0</v>
      </c>
      <c r="P647" s="230">
        <v>0</v>
      </c>
      <c r="Q647" s="230">
        <v>0</v>
      </c>
      <c r="R647" s="230">
        <v>0</v>
      </c>
      <c r="S647" s="230">
        <v>0</v>
      </c>
      <c r="T647" s="230">
        <v>0</v>
      </c>
      <c r="U647" s="230">
        <v>0</v>
      </c>
      <c r="V647" s="230">
        <v>0</v>
      </c>
      <c r="W647" s="230">
        <v>0</v>
      </c>
      <c r="X647" s="81">
        <v>0</v>
      </c>
      <c r="Y647" s="81">
        <v>0</v>
      </c>
      <c r="Z647" s="81">
        <v>0</v>
      </c>
      <c r="AA647" s="81">
        <v>0</v>
      </c>
      <c r="AB647" s="81">
        <v>0</v>
      </c>
      <c r="AC647" s="81">
        <v>0</v>
      </c>
      <c r="AD647" s="81">
        <v>0</v>
      </c>
      <c r="AE647" s="81">
        <v>0</v>
      </c>
      <c r="AF647" s="230">
        <f t="shared" si="261"/>
        <v>1</v>
      </c>
      <c r="AG647" s="93" t="str">
        <f>IF(ABS(AF647-F647)&lt;0.0000001,"ok","err")</f>
        <v>ok</v>
      </c>
    </row>
    <row r="648" spans="1:33" s="60" customFormat="1">
      <c r="C648" s="60" t="s">
        <v>854</v>
      </c>
      <c r="F648" s="81">
        <v>1</v>
      </c>
      <c r="G648" s="81"/>
      <c r="H648" s="230">
        <v>0</v>
      </c>
      <c r="I648" s="230">
        <v>0</v>
      </c>
      <c r="J648" s="230">
        <v>0</v>
      </c>
      <c r="K648" s="230">
        <v>1</v>
      </c>
      <c r="L648" s="230">
        <v>0</v>
      </c>
      <c r="M648" s="230">
        <v>0</v>
      </c>
      <c r="N648" s="230">
        <v>0</v>
      </c>
      <c r="O648" s="230">
        <v>0</v>
      </c>
      <c r="P648" s="230">
        <v>0</v>
      </c>
      <c r="Q648" s="230">
        <v>0</v>
      </c>
      <c r="R648" s="230">
        <v>0</v>
      </c>
      <c r="S648" s="230">
        <v>0</v>
      </c>
      <c r="T648" s="230">
        <v>0</v>
      </c>
      <c r="U648" s="230">
        <v>0</v>
      </c>
      <c r="V648" s="230">
        <v>0</v>
      </c>
      <c r="W648" s="230">
        <v>0</v>
      </c>
      <c r="X648" s="81">
        <v>0</v>
      </c>
      <c r="Y648" s="81">
        <v>0</v>
      </c>
      <c r="Z648" s="81">
        <v>0</v>
      </c>
      <c r="AA648" s="81">
        <v>0</v>
      </c>
      <c r="AB648" s="81">
        <v>0</v>
      </c>
      <c r="AC648" s="81">
        <v>0</v>
      </c>
      <c r="AD648" s="81">
        <v>0</v>
      </c>
      <c r="AE648" s="81">
        <v>0</v>
      </c>
      <c r="AF648" s="230">
        <f t="shared" si="261"/>
        <v>1</v>
      </c>
      <c r="AG648" s="93" t="str">
        <f>IF(ABS(AF648-F648)&lt;0.0000001,"ok","err")</f>
        <v>ok</v>
      </c>
    </row>
    <row r="649" spans="1:33" s="60" customFormat="1">
      <c r="W649" s="77"/>
      <c r="AG649" s="93"/>
    </row>
    <row r="650" spans="1:33" s="60" customFormat="1" ht="14.1">
      <c r="A650" s="65" t="s">
        <v>829</v>
      </c>
      <c r="W650" s="77"/>
      <c r="AG650" s="93"/>
    </row>
    <row r="651" spans="1:33" s="60" customFormat="1">
      <c r="A651" s="60" t="s">
        <v>816</v>
      </c>
      <c r="D651" s="60" t="s">
        <v>1087</v>
      </c>
      <c r="F651" s="81">
        <v>1</v>
      </c>
      <c r="H651" s="110">
        <f t="shared" ref="H651:AE651" si="265">H50/$F$50</f>
        <v>0.61043730772305094</v>
      </c>
      <c r="I651" s="110">
        <f t="shared" si="265"/>
        <v>0</v>
      </c>
      <c r="J651" s="110">
        <f t="shared" si="265"/>
        <v>0</v>
      </c>
      <c r="K651" s="110">
        <f t="shared" si="265"/>
        <v>0</v>
      </c>
      <c r="L651" s="110">
        <f t="shared" si="265"/>
        <v>0</v>
      </c>
      <c r="M651" s="110">
        <f t="shared" si="265"/>
        <v>0</v>
      </c>
      <c r="N651" s="110">
        <f t="shared" si="265"/>
        <v>9.3756900804937926E-2</v>
      </c>
      <c r="O651" s="110">
        <f t="shared" si="265"/>
        <v>0</v>
      </c>
      <c r="P651" s="110">
        <f t="shared" si="265"/>
        <v>0</v>
      </c>
      <c r="Q651" s="110">
        <f t="shared" si="265"/>
        <v>0</v>
      </c>
      <c r="R651" s="110">
        <f t="shared" si="265"/>
        <v>3.6887483258388143E-2</v>
      </c>
      <c r="S651" s="110">
        <f t="shared" si="265"/>
        <v>0</v>
      </c>
      <c r="T651" s="110">
        <f t="shared" si="265"/>
        <v>5.6628877819627173E-2</v>
      </c>
      <c r="U651" s="110">
        <f t="shared" si="265"/>
        <v>9.2669128361980463E-2</v>
      </c>
      <c r="V651" s="110">
        <f t="shared" si="265"/>
        <v>1.5799973673452143E-2</v>
      </c>
      <c r="W651" s="110">
        <f t="shared" si="265"/>
        <v>2.6998287628026446E-2</v>
      </c>
      <c r="X651" s="110">
        <f t="shared" si="265"/>
        <v>1.9355857643162909E-2</v>
      </c>
      <c r="Y651" s="110">
        <f t="shared" si="265"/>
        <v>1.0789108078452689E-2</v>
      </c>
      <c r="Z651" s="110">
        <f t="shared" si="265"/>
        <v>6.8982425131890145E-3</v>
      </c>
      <c r="AA651" s="110">
        <f t="shared" si="265"/>
        <v>7.0350172471143795E-3</v>
      </c>
      <c r="AB651" s="110">
        <f t="shared" si="265"/>
        <v>2.2743815248617724E-2</v>
      </c>
      <c r="AC651" s="110">
        <f t="shared" si="265"/>
        <v>0</v>
      </c>
      <c r="AD651" s="110">
        <f t="shared" si="265"/>
        <v>0</v>
      </c>
      <c r="AE651" s="110">
        <f t="shared" si="265"/>
        <v>0</v>
      </c>
      <c r="AF651" s="230">
        <f t="shared" ref="AF651:AF669" si="266">SUM(H651:AE651)</f>
        <v>1</v>
      </c>
      <c r="AG651" s="93" t="str">
        <f t="shared" ref="AG651:AG669" si="267">IF(ABS(AF651-F651)&lt;0.0000001,"ok","err")</f>
        <v>ok</v>
      </c>
    </row>
    <row r="652" spans="1:33" s="60" customFormat="1">
      <c r="A652" s="60" t="s">
        <v>879</v>
      </c>
      <c r="D652" s="60" t="s">
        <v>859</v>
      </c>
      <c r="F652" s="81">
        <v>1</v>
      </c>
      <c r="H652" s="110">
        <f t="shared" ref="H652:AE652" si="268">H48/$F$48</f>
        <v>0</v>
      </c>
      <c r="I652" s="110">
        <f t="shared" si="268"/>
        <v>0</v>
      </c>
      <c r="J652" s="110">
        <f t="shared" si="268"/>
        <v>0</v>
      </c>
      <c r="K652" s="110">
        <f t="shared" si="268"/>
        <v>0</v>
      </c>
      <c r="L652" s="110">
        <f t="shared" si="268"/>
        <v>0</v>
      </c>
      <c r="M652" s="110">
        <f t="shared" si="268"/>
        <v>0</v>
      </c>
      <c r="N652" s="110">
        <f t="shared" si="268"/>
        <v>0</v>
      </c>
      <c r="O652" s="110">
        <f t="shared" si="268"/>
        <v>0</v>
      </c>
      <c r="P652" s="110">
        <f t="shared" si="268"/>
        <v>0</v>
      </c>
      <c r="Q652" s="110">
        <f t="shared" si="268"/>
        <v>0</v>
      </c>
      <c r="R652" s="110">
        <f t="shared" si="268"/>
        <v>0.12470169388782373</v>
      </c>
      <c r="S652" s="110">
        <f t="shared" si="268"/>
        <v>0</v>
      </c>
      <c r="T652" s="110">
        <f t="shared" si="268"/>
        <v>0.19143938168967647</v>
      </c>
      <c r="U652" s="110">
        <f t="shared" si="268"/>
        <v>0.31327692368980803</v>
      </c>
      <c r="V652" s="110">
        <f t="shared" si="268"/>
        <v>5.3413334454430812E-2</v>
      </c>
      <c r="W652" s="110">
        <f t="shared" si="268"/>
        <v>9.1270314531962118E-2</v>
      </c>
      <c r="X652" s="110">
        <f t="shared" si="268"/>
        <v>6.5434343076390872E-2</v>
      </c>
      <c r="Y652" s="110">
        <f t="shared" si="268"/>
        <v>3.6473620157208952E-2</v>
      </c>
      <c r="Z652" s="110">
        <f t="shared" si="268"/>
        <v>2.3320173952178083E-2</v>
      </c>
      <c r="AA652" s="110">
        <f t="shared" si="268"/>
        <v>2.3782554128187271E-2</v>
      </c>
      <c r="AB652" s="110">
        <f t="shared" si="268"/>
        <v>7.688766043233379E-2</v>
      </c>
      <c r="AC652" s="110">
        <f t="shared" si="268"/>
        <v>0</v>
      </c>
      <c r="AD652" s="110">
        <f t="shared" si="268"/>
        <v>0</v>
      </c>
      <c r="AE652" s="110">
        <f t="shared" si="268"/>
        <v>0</v>
      </c>
      <c r="AF652" s="230">
        <f t="shared" si="266"/>
        <v>1.0000000000000002</v>
      </c>
      <c r="AG652" s="93" t="str">
        <f t="shared" si="267"/>
        <v>ok</v>
      </c>
    </row>
    <row r="653" spans="1:33" s="60" customFormat="1">
      <c r="A653" s="60" t="s">
        <v>1057</v>
      </c>
      <c r="D653" s="60" t="s">
        <v>1085</v>
      </c>
      <c r="F653" s="81">
        <v>1</v>
      </c>
      <c r="H653" s="110">
        <f t="shared" ref="H653:AE653" si="269">H33/$F$33</f>
        <v>0</v>
      </c>
      <c r="I653" s="110">
        <f t="shared" si="269"/>
        <v>0</v>
      </c>
      <c r="J653" s="110">
        <f t="shared" si="269"/>
        <v>0</v>
      </c>
      <c r="K653" s="110">
        <f t="shared" si="269"/>
        <v>0</v>
      </c>
      <c r="L653" s="110">
        <f t="shared" si="269"/>
        <v>0</v>
      </c>
      <c r="M653" s="110">
        <f t="shared" si="269"/>
        <v>0</v>
      </c>
      <c r="N653" s="110">
        <f t="shared" si="269"/>
        <v>1</v>
      </c>
      <c r="O653" s="110">
        <f t="shared" si="269"/>
        <v>0</v>
      </c>
      <c r="P653" s="110">
        <f t="shared" si="269"/>
        <v>0</v>
      </c>
      <c r="Q653" s="110">
        <f t="shared" si="269"/>
        <v>0</v>
      </c>
      <c r="R653" s="110">
        <f t="shared" si="269"/>
        <v>0</v>
      </c>
      <c r="S653" s="110">
        <f t="shared" si="269"/>
        <v>0</v>
      </c>
      <c r="T653" s="110">
        <f t="shared" si="269"/>
        <v>0</v>
      </c>
      <c r="U653" s="110">
        <f t="shared" si="269"/>
        <v>0</v>
      </c>
      <c r="V653" s="110">
        <f t="shared" si="269"/>
        <v>0</v>
      </c>
      <c r="W653" s="110">
        <f t="shared" si="269"/>
        <v>0</v>
      </c>
      <c r="X653" s="110">
        <f t="shared" si="269"/>
        <v>0</v>
      </c>
      <c r="Y653" s="110">
        <f t="shared" si="269"/>
        <v>0</v>
      </c>
      <c r="Z653" s="110">
        <f t="shared" si="269"/>
        <v>0</v>
      </c>
      <c r="AA653" s="110">
        <f t="shared" si="269"/>
        <v>0</v>
      </c>
      <c r="AB653" s="110">
        <f t="shared" si="269"/>
        <v>0</v>
      </c>
      <c r="AC653" s="110">
        <f t="shared" si="269"/>
        <v>0</v>
      </c>
      <c r="AD653" s="110">
        <f t="shared" si="269"/>
        <v>0</v>
      </c>
      <c r="AE653" s="110">
        <f t="shared" si="269"/>
        <v>0</v>
      </c>
      <c r="AF653" s="230">
        <f t="shared" si="266"/>
        <v>1</v>
      </c>
      <c r="AG653" s="93" t="str">
        <f t="shared" si="267"/>
        <v>ok</v>
      </c>
    </row>
    <row r="654" spans="1:33" s="60" customFormat="1">
      <c r="A654" s="60" t="s">
        <v>19</v>
      </c>
      <c r="D654" s="60" t="s">
        <v>901</v>
      </c>
      <c r="F654" s="81">
        <v>1</v>
      </c>
      <c r="H654" s="110">
        <f>H335/$F$335</f>
        <v>0.14707976030885322</v>
      </c>
      <c r="I654" s="110">
        <f t="shared" ref="I654:AE654" si="270">I335/$F$335</f>
        <v>0</v>
      </c>
      <c r="J654" s="110">
        <f t="shared" si="270"/>
        <v>0</v>
      </c>
      <c r="K654" s="110">
        <f t="shared" si="270"/>
        <v>0.62967469397489018</v>
      </c>
      <c r="L654" s="110">
        <f t="shared" si="270"/>
        <v>0</v>
      </c>
      <c r="M654" s="110">
        <f t="shared" si="270"/>
        <v>0</v>
      </c>
      <c r="N654" s="110">
        <f t="shared" si="270"/>
        <v>5.742800867517929E-2</v>
      </c>
      <c r="O654" s="110">
        <f t="shared" si="270"/>
        <v>0</v>
      </c>
      <c r="P654" s="110">
        <f t="shared" si="270"/>
        <v>0</v>
      </c>
      <c r="Q654" s="110">
        <f t="shared" si="270"/>
        <v>0</v>
      </c>
      <c r="R654" s="110">
        <f t="shared" si="270"/>
        <v>1.3453710321706785E-2</v>
      </c>
      <c r="S654" s="110">
        <f t="shared" si="270"/>
        <v>0</v>
      </c>
      <c r="T654" s="110">
        <f t="shared" si="270"/>
        <v>2.1994426520371639E-2</v>
      </c>
      <c r="U654" s="110">
        <f t="shared" si="270"/>
        <v>3.6811390350483197E-2</v>
      </c>
      <c r="V654" s="110">
        <f t="shared" si="270"/>
        <v>6.9466956749761133E-3</v>
      </c>
      <c r="W654" s="110">
        <f t="shared" si="270"/>
        <v>1.2036441881359385E-2</v>
      </c>
      <c r="X654" s="110">
        <f t="shared" si="270"/>
        <v>1.8612190697030284E-3</v>
      </c>
      <c r="Y654" s="110">
        <f t="shared" si="270"/>
        <v>1.0374582243218935E-3</v>
      </c>
      <c r="Z654" s="110">
        <f t="shared" si="270"/>
        <v>5.5470638504062674E-4</v>
      </c>
      <c r="AA654" s="110">
        <f t="shared" si="270"/>
        <v>2.3191008213927566E-2</v>
      </c>
      <c r="AB654" s="110">
        <f t="shared" si="270"/>
        <v>2.7891487265620258E-3</v>
      </c>
      <c r="AC654" s="110">
        <f t="shared" si="270"/>
        <v>3.6995681594351341E-2</v>
      </c>
      <c r="AD654" s="110">
        <f t="shared" si="270"/>
        <v>8.1456500782737997E-3</v>
      </c>
      <c r="AE654" s="110">
        <f t="shared" si="270"/>
        <v>0</v>
      </c>
      <c r="AF654" s="230">
        <f t="shared" si="266"/>
        <v>1.0000000000000002</v>
      </c>
      <c r="AG654" s="93" t="str">
        <f t="shared" si="267"/>
        <v>ok</v>
      </c>
    </row>
    <row r="655" spans="1:33" s="60" customFormat="1">
      <c r="A655" s="60" t="s">
        <v>883</v>
      </c>
      <c r="D655" s="60" t="s">
        <v>884</v>
      </c>
      <c r="F655" s="81">
        <v>1</v>
      </c>
      <c r="H655" s="110">
        <f t="shared" ref="H655:AE655" si="271">H69/$F$69</f>
        <v>0.61016834105937556</v>
      </c>
      <c r="I655" s="110">
        <f t="shared" si="271"/>
        <v>0</v>
      </c>
      <c r="J655" s="110">
        <f t="shared" si="271"/>
        <v>0</v>
      </c>
      <c r="K655" s="110">
        <f t="shared" si="271"/>
        <v>0</v>
      </c>
      <c r="L655" s="110">
        <f t="shared" si="271"/>
        <v>0</v>
      </c>
      <c r="M655" s="110">
        <f t="shared" si="271"/>
        <v>0</v>
      </c>
      <c r="N655" s="110">
        <f t="shared" si="271"/>
        <v>9.3710432468776958E-2</v>
      </c>
      <c r="O655" s="110">
        <f t="shared" si="271"/>
        <v>0</v>
      </c>
      <c r="P655" s="110">
        <f t="shared" si="271"/>
        <v>0</v>
      </c>
      <c r="Q655" s="110">
        <f t="shared" si="271"/>
        <v>0</v>
      </c>
      <c r="R655" s="110">
        <f t="shared" si="271"/>
        <v>3.692681853717926E-2</v>
      </c>
      <c r="S655" s="110">
        <f t="shared" si="271"/>
        <v>0</v>
      </c>
      <c r="T655" s="110">
        <f t="shared" si="271"/>
        <v>5.6689264500959152E-2</v>
      </c>
      <c r="U655" s="110">
        <f t="shared" si="271"/>
        <v>9.2767946868353338E-2</v>
      </c>
      <c r="V655" s="110">
        <f t="shared" si="271"/>
        <v>1.5816822108597042E-2</v>
      </c>
      <c r="W655" s="110">
        <f t="shared" si="271"/>
        <v>2.7027077479675917E-2</v>
      </c>
      <c r="X655" s="110">
        <f t="shared" si="271"/>
        <v>1.9376497925160514E-2</v>
      </c>
      <c r="Y655" s="110">
        <f t="shared" si="271"/>
        <v>1.0800613134821014E-2</v>
      </c>
      <c r="Z655" s="110">
        <f t="shared" si="271"/>
        <v>6.905598512255807E-3</v>
      </c>
      <c r="AA655" s="110">
        <f t="shared" si="271"/>
        <v>7.042519097071917E-3</v>
      </c>
      <c r="AB655" s="110">
        <f t="shared" si="271"/>
        <v>2.2768068307773625E-2</v>
      </c>
      <c r="AC655" s="110">
        <f t="shared" si="271"/>
        <v>0</v>
      </c>
      <c r="AD655" s="110">
        <f t="shared" si="271"/>
        <v>0</v>
      </c>
      <c r="AE655" s="110">
        <f t="shared" si="271"/>
        <v>0</v>
      </c>
      <c r="AF655" s="230">
        <f t="shared" si="266"/>
        <v>1</v>
      </c>
      <c r="AG655" s="93" t="str">
        <f t="shared" si="267"/>
        <v>ok</v>
      </c>
    </row>
    <row r="656" spans="1:33" s="60" customFormat="1">
      <c r="A656" s="60" t="s">
        <v>830</v>
      </c>
      <c r="D656" s="60" t="s">
        <v>98</v>
      </c>
      <c r="F656" s="81">
        <v>1</v>
      </c>
      <c r="H656" s="110">
        <f>H540/$F$540</f>
        <v>0.32759067247532991</v>
      </c>
      <c r="I656" s="110">
        <f t="shared" ref="I656:AE656" si="272">I540/$F$540</f>
        <v>0</v>
      </c>
      <c r="J656" s="110">
        <f t="shared" si="272"/>
        <v>0</v>
      </c>
      <c r="K656" s="110">
        <f t="shared" si="272"/>
        <v>0.27428769468084513</v>
      </c>
      <c r="L656" s="110">
        <f t="shared" si="272"/>
        <v>0</v>
      </c>
      <c r="M656" s="110">
        <f t="shared" si="272"/>
        <v>0</v>
      </c>
      <c r="N656" s="110">
        <f t="shared" si="272"/>
        <v>7.5175474667182329E-2</v>
      </c>
      <c r="O656" s="110">
        <f t="shared" si="272"/>
        <v>0</v>
      </c>
      <c r="P656" s="110">
        <f t="shared" si="272"/>
        <v>0</v>
      </c>
      <c r="Q656" s="110">
        <f t="shared" si="272"/>
        <v>0</v>
      </c>
      <c r="R656" s="110">
        <f t="shared" si="272"/>
        <v>3.1273194604270249E-2</v>
      </c>
      <c r="S656" s="110">
        <f t="shared" si="272"/>
        <v>0</v>
      </c>
      <c r="T656" s="110">
        <f t="shared" si="272"/>
        <v>3.1155594605110429E-2</v>
      </c>
      <c r="U656" s="110">
        <f t="shared" si="272"/>
        <v>5.2626725400509965E-2</v>
      </c>
      <c r="V656" s="110">
        <f t="shared" si="272"/>
        <v>1.0317402601213667E-2</v>
      </c>
      <c r="W656" s="110">
        <f t="shared" si="272"/>
        <v>1.7963339839116417E-2</v>
      </c>
      <c r="X656" s="110">
        <f t="shared" si="272"/>
        <v>2.9220455672678758E-3</v>
      </c>
      <c r="Y656" s="110">
        <f t="shared" si="272"/>
        <v>1.6287713009995593E-3</v>
      </c>
      <c r="Z656" s="110">
        <f t="shared" si="272"/>
        <v>7.4452181002548207E-4</v>
      </c>
      <c r="AA656" s="110">
        <f t="shared" si="272"/>
        <v>6.3352731025251741E-2</v>
      </c>
      <c r="AB656" s="110">
        <f t="shared" si="272"/>
        <v>2.5614809484403706E-3</v>
      </c>
      <c r="AC656" s="110">
        <f t="shared" si="272"/>
        <v>8.900913753754669E-2</v>
      </c>
      <c r="AD656" s="110">
        <f t="shared" si="272"/>
        <v>1.9391212936890254E-2</v>
      </c>
      <c r="AE656" s="110">
        <f t="shared" si="272"/>
        <v>0</v>
      </c>
      <c r="AF656" s="230">
        <f t="shared" si="266"/>
        <v>1</v>
      </c>
      <c r="AG656" s="93" t="str">
        <f t="shared" si="267"/>
        <v>ok</v>
      </c>
    </row>
    <row r="657" spans="1:33" s="60" customFormat="1">
      <c r="A657" s="60" t="s">
        <v>267</v>
      </c>
      <c r="D657" s="60" t="s">
        <v>18</v>
      </c>
      <c r="F657" s="81">
        <v>1</v>
      </c>
      <c r="H657" s="110">
        <f>H308/$F$308</f>
        <v>0.14494815376761611</v>
      </c>
      <c r="I657" s="110">
        <f t="shared" ref="I657:AE657" si="273">I308/$F$308</f>
        <v>0</v>
      </c>
      <c r="J657" s="110">
        <f t="shared" si="273"/>
        <v>0</v>
      </c>
      <c r="K657" s="110">
        <f t="shared" si="273"/>
        <v>0.67605346010541334</v>
      </c>
      <c r="L657" s="110">
        <f t="shared" si="273"/>
        <v>0</v>
      </c>
      <c r="M657" s="110">
        <f t="shared" si="273"/>
        <v>0</v>
      </c>
      <c r="N657" s="110">
        <f t="shared" si="273"/>
        <v>4.9836348953259751E-2</v>
      </c>
      <c r="O657" s="110">
        <f t="shared" si="273"/>
        <v>0</v>
      </c>
      <c r="P657" s="110">
        <f t="shared" si="273"/>
        <v>0</v>
      </c>
      <c r="Q657" s="110">
        <f t="shared" si="273"/>
        <v>0</v>
      </c>
      <c r="R657" s="110">
        <f t="shared" si="273"/>
        <v>9.5476673787142832E-3</v>
      </c>
      <c r="S657" s="110">
        <f t="shared" si="273"/>
        <v>0</v>
      </c>
      <c r="T657" s="110">
        <f t="shared" si="273"/>
        <v>1.838720165655813E-2</v>
      </c>
      <c r="U657" s="110">
        <f t="shared" si="273"/>
        <v>3.0748590560060303E-2</v>
      </c>
      <c r="V657" s="110">
        <f t="shared" si="273"/>
        <v>5.7821754501481016E-3</v>
      </c>
      <c r="W657" s="110">
        <f t="shared" si="273"/>
        <v>1.0014122240769734E-2</v>
      </c>
      <c r="X657" s="110">
        <f t="shared" si="273"/>
        <v>1.2412870339670221E-3</v>
      </c>
      <c r="Y657" s="110">
        <f t="shared" si="273"/>
        <v>6.919032063961672E-4</v>
      </c>
      <c r="Z657" s="110">
        <f t="shared" si="273"/>
        <v>3.6568178365626436E-4</v>
      </c>
      <c r="AA657" s="110">
        <f t="shared" si="273"/>
        <v>1.6248235878006216E-2</v>
      </c>
      <c r="AB657" s="110">
        <f t="shared" si="273"/>
        <v>2.2253035721858236E-3</v>
      </c>
      <c r="AC657" s="110">
        <f t="shared" si="273"/>
        <v>2.7767935017802878E-2</v>
      </c>
      <c r="AD657" s="110">
        <f t="shared" si="273"/>
        <v>6.1419333954456957E-3</v>
      </c>
      <c r="AE657" s="110">
        <f t="shared" si="273"/>
        <v>0</v>
      </c>
      <c r="AF657" s="230">
        <f t="shared" si="266"/>
        <v>0.99999999999999956</v>
      </c>
      <c r="AG657" s="93" t="str">
        <f t="shared" si="267"/>
        <v>ok</v>
      </c>
    </row>
    <row r="658" spans="1:33" s="60" customFormat="1">
      <c r="A658" s="60" t="s">
        <v>831</v>
      </c>
      <c r="D658" s="60" t="s">
        <v>629</v>
      </c>
      <c r="F658" s="81">
        <v>1</v>
      </c>
      <c r="H658" s="110">
        <f>H372/$F$372</f>
        <v>0.87350659439762857</v>
      </c>
      <c r="I658" s="110">
        <f t="shared" ref="I658:AE658" si="274">I372/$F$372</f>
        <v>0</v>
      </c>
      <c r="J658" s="110">
        <f t="shared" si="274"/>
        <v>0</v>
      </c>
      <c r="K658" s="110">
        <f t="shared" si="274"/>
        <v>0.12649340560237138</v>
      </c>
      <c r="L658" s="110">
        <f t="shared" si="274"/>
        <v>0</v>
      </c>
      <c r="M658" s="110">
        <f t="shared" si="274"/>
        <v>0</v>
      </c>
      <c r="N658" s="110">
        <f t="shared" si="274"/>
        <v>0</v>
      </c>
      <c r="O658" s="110">
        <f t="shared" si="274"/>
        <v>0</v>
      </c>
      <c r="P658" s="110">
        <f t="shared" si="274"/>
        <v>0</v>
      </c>
      <c r="Q658" s="110">
        <f t="shared" si="274"/>
        <v>0</v>
      </c>
      <c r="R658" s="110">
        <f t="shared" si="274"/>
        <v>0</v>
      </c>
      <c r="S658" s="110">
        <f t="shared" si="274"/>
        <v>0</v>
      </c>
      <c r="T658" s="110">
        <f t="shared" si="274"/>
        <v>0</v>
      </c>
      <c r="U658" s="110">
        <f t="shared" si="274"/>
        <v>0</v>
      </c>
      <c r="V658" s="110">
        <f t="shared" si="274"/>
        <v>0</v>
      </c>
      <c r="W658" s="110">
        <f t="shared" si="274"/>
        <v>0</v>
      </c>
      <c r="X658" s="110">
        <f t="shared" si="274"/>
        <v>0</v>
      </c>
      <c r="Y658" s="110">
        <f t="shared" si="274"/>
        <v>0</v>
      </c>
      <c r="Z658" s="110">
        <f t="shared" si="274"/>
        <v>0</v>
      </c>
      <c r="AA658" s="110">
        <f t="shared" si="274"/>
        <v>0</v>
      </c>
      <c r="AB658" s="110">
        <f t="shared" si="274"/>
        <v>0</v>
      </c>
      <c r="AC658" s="110">
        <f t="shared" si="274"/>
        <v>0</v>
      </c>
      <c r="AD658" s="110">
        <f t="shared" si="274"/>
        <v>0</v>
      </c>
      <c r="AE658" s="110">
        <f t="shared" si="274"/>
        <v>0</v>
      </c>
      <c r="AF658" s="230">
        <f t="shared" si="266"/>
        <v>1</v>
      </c>
      <c r="AG658" s="93" t="str">
        <f t="shared" si="267"/>
        <v>ok</v>
      </c>
    </row>
    <row r="659" spans="1:33" s="60" customFormat="1">
      <c r="A659" s="60" t="s">
        <v>832</v>
      </c>
      <c r="D659" s="60" t="s">
        <v>86</v>
      </c>
      <c r="F659" s="81">
        <v>1</v>
      </c>
      <c r="H659" s="110">
        <f>H381/$F$381</f>
        <v>3.9247475241784638E-3</v>
      </c>
      <c r="I659" s="110">
        <f t="shared" ref="I659:AE659" si="275">I381/$F$381</f>
        <v>0</v>
      </c>
      <c r="J659" s="110">
        <f t="shared" si="275"/>
        <v>0</v>
      </c>
      <c r="K659" s="110">
        <f t="shared" si="275"/>
        <v>0.99607525247582152</v>
      </c>
      <c r="L659" s="110">
        <f t="shared" si="275"/>
        <v>0</v>
      </c>
      <c r="M659" s="110">
        <f t="shared" si="275"/>
        <v>0</v>
      </c>
      <c r="N659" s="110">
        <f t="shared" si="275"/>
        <v>0</v>
      </c>
      <c r="O659" s="110">
        <f t="shared" si="275"/>
        <v>0</v>
      </c>
      <c r="P659" s="110">
        <f t="shared" si="275"/>
        <v>0</v>
      </c>
      <c r="Q659" s="110">
        <f t="shared" si="275"/>
        <v>0</v>
      </c>
      <c r="R659" s="110">
        <f t="shared" si="275"/>
        <v>0</v>
      </c>
      <c r="S659" s="110">
        <f t="shared" si="275"/>
        <v>0</v>
      </c>
      <c r="T659" s="110">
        <f t="shared" si="275"/>
        <v>0</v>
      </c>
      <c r="U659" s="110">
        <f t="shared" si="275"/>
        <v>0</v>
      </c>
      <c r="V659" s="110">
        <f t="shared" si="275"/>
        <v>0</v>
      </c>
      <c r="W659" s="110">
        <f t="shared" si="275"/>
        <v>0</v>
      </c>
      <c r="X659" s="110">
        <f t="shared" si="275"/>
        <v>0</v>
      </c>
      <c r="Y659" s="110">
        <f t="shared" si="275"/>
        <v>0</v>
      </c>
      <c r="Z659" s="110">
        <f t="shared" si="275"/>
        <v>0</v>
      </c>
      <c r="AA659" s="110">
        <f t="shared" si="275"/>
        <v>0</v>
      </c>
      <c r="AB659" s="110">
        <f t="shared" si="275"/>
        <v>0</v>
      </c>
      <c r="AC659" s="110">
        <f t="shared" si="275"/>
        <v>0</v>
      </c>
      <c r="AD659" s="110">
        <f t="shared" si="275"/>
        <v>0</v>
      </c>
      <c r="AE659" s="110">
        <f t="shared" si="275"/>
        <v>0</v>
      </c>
      <c r="AF659" s="230">
        <f t="shared" si="266"/>
        <v>1</v>
      </c>
      <c r="AG659" s="93" t="str">
        <f t="shared" si="267"/>
        <v>ok</v>
      </c>
    </row>
    <row r="660" spans="1:33" s="60" customFormat="1">
      <c r="A660" s="60" t="s">
        <v>833</v>
      </c>
      <c r="D660" s="60" t="s">
        <v>630</v>
      </c>
      <c r="F660" s="81">
        <v>1</v>
      </c>
      <c r="H660" s="110">
        <f>H393/$F$393</f>
        <v>1</v>
      </c>
      <c r="I660" s="110">
        <f t="shared" ref="I660:AE660" si="276">I393/$F$393</f>
        <v>0</v>
      </c>
      <c r="J660" s="110">
        <f t="shared" si="276"/>
        <v>0</v>
      </c>
      <c r="K660" s="110">
        <f t="shared" si="276"/>
        <v>0</v>
      </c>
      <c r="L660" s="110">
        <f t="shared" si="276"/>
        <v>0</v>
      </c>
      <c r="M660" s="110">
        <f t="shared" si="276"/>
        <v>0</v>
      </c>
      <c r="N660" s="110">
        <f t="shared" si="276"/>
        <v>0</v>
      </c>
      <c r="O660" s="110">
        <f t="shared" si="276"/>
        <v>0</v>
      </c>
      <c r="P660" s="110">
        <f t="shared" si="276"/>
        <v>0</v>
      </c>
      <c r="Q660" s="110">
        <f t="shared" si="276"/>
        <v>0</v>
      </c>
      <c r="R660" s="110">
        <f t="shared" si="276"/>
        <v>0</v>
      </c>
      <c r="S660" s="110">
        <f t="shared" si="276"/>
        <v>0</v>
      </c>
      <c r="T660" s="110">
        <f t="shared" si="276"/>
        <v>0</v>
      </c>
      <c r="U660" s="110">
        <f t="shared" si="276"/>
        <v>0</v>
      </c>
      <c r="V660" s="110">
        <f t="shared" si="276"/>
        <v>0</v>
      </c>
      <c r="W660" s="110">
        <f t="shared" si="276"/>
        <v>0</v>
      </c>
      <c r="X660" s="110">
        <f t="shared" si="276"/>
        <v>0</v>
      </c>
      <c r="Y660" s="110">
        <f t="shared" si="276"/>
        <v>0</v>
      </c>
      <c r="Z660" s="110">
        <f t="shared" si="276"/>
        <v>0</v>
      </c>
      <c r="AA660" s="110">
        <f t="shared" si="276"/>
        <v>0</v>
      </c>
      <c r="AB660" s="110">
        <f t="shared" si="276"/>
        <v>0</v>
      </c>
      <c r="AC660" s="110">
        <f t="shared" si="276"/>
        <v>0</v>
      </c>
      <c r="AD660" s="110">
        <f t="shared" si="276"/>
        <v>0</v>
      </c>
      <c r="AE660" s="110">
        <f t="shared" si="276"/>
        <v>0</v>
      </c>
      <c r="AF660" s="230">
        <f t="shared" si="266"/>
        <v>1</v>
      </c>
      <c r="AG660" s="93" t="str">
        <f t="shared" si="267"/>
        <v>ok</v>
      </c>
    </row>
    <row r="661" spans="1:33" s="60" customFormat="1">
      <c r="A661" s="60" t="s">
        <v>834</v>
      </c>
      <c r="D661" s="60" t="s">
        <v>631</v>
      </c>
      <c r="F661" s="81">
        <v>1</v>
      </c>
      <c r="H661" s="110">
        <f>H402/$F$402</f>
        <v>0.54361491758432678</v>
      </c>
      <c r="I661" s="110">
        <f t="shared" ref="I661:AE661" si="277">I402/$F$402</f>
        <v>0</v>
      </c>
      <c r="J661" s="110">
        <f t="shared" si="277"/>
        <v>0</v>
      </c>
      <c r="K661" s="110">
        <f t="shared" si="277"/>
        <v>0.45638508241567322</v>
      </c>
      <c r="L661" s="110">
        <f t="shared" si="277"/>
        <v>0</v>
      </c>
      <c r="M661" s="110">
        <f t="shared" si="277"/>
        <v>0</v>
      </c>
      <c r="N661" s="110">
        <f t="shared" si="277"/>
        <v>0</v>
      </c>
      <c r="O661" s="110">
        <f t="shared" si="277"/>
        <v>0</v>
      </c>
      <c r="P661" s="110">
        <f t="shared" si="277"/>
        <v>0</v>
      </c>
      <c r="Q661" s="110">
        <f t="shared" si="277"/>
        <v>0</v>
      </c>
      <c r="R661" s="110">
        <f t="shared" si="277"/>
        <v>0</v>
      </c>
      <c r="S661" s="110">
        <f t="shared" si="277"/>
        <v>0</v>
      </c>
      <c r="T661" s="110">
        <f t="shared" si="277"/>
        <v>0</v>
      </c>
      <c r="U661" s="110">
        <f t="shared" si="277"/>
        <v>0</v>
      </c>
      <c r="V661" s="110">
        <f t="shared" si="277"/>
        <v>0</v>
      </c>
      <c r="W661" s="110">
        <f t="shared" si="277"/>
        <v>0</v>
      </c>
      <c r="X661" s="110">
        <f t="shared" si="277"/>
        <v>0</v>
      </c>
      <c r="Y661" s="110">
        <f t="shared" si="277"/>
        <v>0</v>
      </c>
      <c r="Z661" s="110">
        <f t="shared" si="277"/>
        <v>0</v>
      </c>
      <c r="AA661" s="110">
        <f t="shared" si="277"/>
        <v>0</v>
      </c>
      <c r="AB661" s="110">
        <f t="shared" si="277"/>
        <v>0</v>
      </c>
      <c r="AC661" s="110">
        <f t="shared" si="277"/>
        <v>0</v>
      </c>
      <c r="AD661" s="110">
        <f t="shared" si="277"/>
        <v>0</v>
      </c>
      <c r="AE661" s="110">
        <f t="shared" si="277"/>
        <v>0</v>
      </c>
      <c r="AF661" s="230">
        <f t="shared" si="266"/>
        <v>1</v>
      </c>
      <c r="AG661" s="93" t="str">
        <f t="shared" si="267"/>
        <v>ok</v>
      </c>
    </row>
    <row r="662" spans="1:33" s="60" customFormat="1">
      <c r="A662" s="60" t="s">
        <v>835</v>
      </c>
      <c r="D662" s="60" t="s">
        <v>632</v>
      </c>
      <c r="F662" s="81">
        <v>1</v>
      </c>
      <c r="H662" s="110">
        <f>H415/$F$415</f>
        <v>1</v>
      </c>
      <c r="I662" s="110">
        <f t="shared" ref="I662:AE662" si="278">I415/$F$415</f>
        <v>0</v>
      </c>
      <c r="J662" s="110">
        <f t="shared" si="278"/>
        <v>0</v>
      </c>
      <c r="K662" s="110">
        <f t="shared" si="278"/>
        <v>0</v>
      </c>
      <c r="L662" s="110">
        <f t="shared" si="278"/>
        <v>0</v>
      </c>
      <c r="M662" s="110">
        <f t="shared" si="278"/>
        <v>0</v>
      </c>
      <c r="N662" s="110">
        <f t="shared" si="278"/>
        <v>0</v>
      </c>
      <c r="O662" s="110">
        <f t="shared" si="278"/>
        <v>0</v>
      </c>
      <c r="P662" s="110">
        <f t="shared" si="278"/>
        <v>0</v>
      </c>
      <c r="Q662" s="110">
        <f t="shared" si="278"/>
        <v>0</v>
      </c>
      <c r="R662" s="110">
        <f t="shared" si="278"/>
        <v>0</v>
      </c>
      <c r="S662" s="110">
        <f t="shared" si="278"/>
        <v>0</v>
      </c>
      <c r="T662" s="110">
        <f t="shared" si="278"/>
        <v>0</v>
      </c>
      <c r="U662" s="110">
        <f t="shared" si="278"/>
        <v>0</v>
      </c>
      <c r="V662" s="110">
        <f t="shared" si="278"/>
        <v>0</v>
      </c>
      <c r="W662" s="110">
        <f t="shared" si="278"/>
        <v>0</v>
      </c>
      <c r="X662" s="110">
        <f t="shared" si="278"/>
        <v>0</v>
      </c>
      <c r="Y662" s="110">
        <f t="shared" si="278"/>
        <v>0</v>
      </c>
      <c r="Z662" s="110">
        <f t="shared" si="278"/>
        <v>0</v>
      </c>
      <c r="AA662" s="110">
        <f t="shared" si="278"/>
        <v>0</v>
      </c>
      <c r="AB662" s="110">
        <f t="shared" si="278"/>
        <v>0</v>
      </c>
      <c r="AC662" s="110">
        <f t="shared" si="278"/>
        <v>0</v>
      </c>
      <c r="AD662" s="110">
        <f t="shared" si="278"/>
        <v>0</v>
      </c>
      <c r="AE662" s="110">
        <f t="shared" si="278"/>
        <v>0</v>
      </c>
      <c r="AF662" s="230">
        <f t="shared" si="266"/>
        <v>1</v>
      </c>
      <c r="AG662" s="93" t="str">
        <f t="shared" si="267"/>
        <v>ok</v>
      </c>
    </row>
    <row r="663" spans="1:33" s="60" customFormat="1">
      <c r="A663" s="60" t="s">
        <v>103</v>
      </c>
      <c r="D663" s="60" t="s">
        <v>644</v>
      </c>
      <c r="F663" s="81">
        <v>1</v>
      </c>
      <c r="H663" s="284">
        <f>H450/$F$450</f>
        <v>0</v>
      </c>
      <c r="I663" s="284">
        <f t="shared" ref="I663:AE663" si="279">I450/$F$450</f>
        <v>0</v>
      </c>
      <c r="J663" s="284">
        <f t="shared" si="279"/>
        <v>0</v>
      </c>
      <c r="K663" s="284">
        <f t="shared" si="279"/>
        <v>0</v>
      </c>
      <c r="L663" s="284">
        <f t="shared" si="279"/>
        <v>0</v>
      </c>
      <c r="M663" s="284">
        <f t="shared" si="279"/>
        <v>0</v>
      </c>
      <c r="N663" s="284">
        <f t="shared" si="279"/>
        <v>1</v>
      </c>
      <c r="O663" s="284">
        <f t="shared" si="279"/>
        <v>0</v>
      </c>
      <c r="P663" s="284">
        <f t="shared" si="279"/>
        <v>0</v>
      </c>
      <c r="Q663" s="284">
        <f t="shared" si="279"/>
        <v>0</v>
      </c>
      <c r="R663" s="284">
        <f t="shared" si="279"/>
        <v>0</v>
      </c>
      <c r="S663" s="284">
        <f t="shared" si="279"/>
        <v>0</v>
      </c>
      <c r="T663" s="284">
        <f t="shared" si="279"/>
        <v>0</v>
      </c>
      <c r="U663" s="284">
        <f t="shared" si="279"/>
        <v>0</v>
      </c>
      <c r="V663" s="284">
        <f t="shared" si="279"/>
        <v>0</v>
      </c>
      <c r="W663" s="284">
        <f t="shared" si="279"/>
        <v>0</v>
      </c>
      <c r="X663" s="284">
        <f t="shared" si="279"/>
        <v>0</v>
      </c>
      <c r="Y663" s="284">
        <f t="shared" si="279"/>
        <v>0</v>
      </c>
      <c r="Z663" s="284">
        <f t="shared" si="279"/>
        <v>0</v>
      </c>
      <c r="AA663" s="284">
        <f t="shared" si="279"/>
        <v>0</v>
      </c>
      <c r="AB663" s="284">
        <f t="shared" si="279"/>
        <v>0</v>
      </c>
      <c r="AC663" s="284">
        <f t="shared" si="279"/>
        <v>0</v>
      </c>
      <c r="AD663" s="284">
        <f t="shared" si="279"/>
        <v>0</v>
      </c>
      <c r="AE663" s="284">
        <f t="shared" si="279"/>
        <v>0</v>
      </c>
      <c r="AF663" s="230">
        <f t="shared" si="266"/>
        <v>1</v>
      </c>
      <c r="AG663" s="93" t="str">
        <f t="shared" si="267"/>
        <v>ok</v>
      </c>
    </row>
    <row r="664" spans="1:33" s="60" customFormat="1">
      <c r="A664" s="60" t="s">
        <v>106</v>
      </c>
      <c r="D664" s="60" t="s">
        <v>63</v>
      </c>
      <c r="F664" s="81">
        <v>1</v>
      </c>
      <c r="H664" s="110">
        <f>H465/$F$465</f>
        <v>0</v>
      </c>
      <c r="I664" s="110">
        <f t="shared" ref="I664:AE664" si="280">I465/$F$465</f>
        <v>0</v>
      </c>
      <c r="J664" s="110">
        <f t="shared" si="280"/>
        <v>0</v>
      </c>
      <c r="K664" s="110">
        <f t="shared" si="280"/>
        <v>0</v>
      </c>
      <c r="L664" s="110">
        <f t="shared" si="280"/>
        <v>0</v>
      </c>
      <c r="M664" s="110">
        <f t="shared" si="280"/>
        <v>0</v>
      </c>
      <c r="N664" s="110">
        <f t="shared" si="280"/>
        <v>0</v>
      </c>
      <c r="O664" s="110">
        <f t="shared" si="280"/>
        <v>0</v>
      </c>
      <c r="P664" s="110">
        <f t="shared" si="280"/>
        <v>0</v>
      </c>
      <c r="Q664" s="110">
        <f t="shared" si="280"/>
        <v>0</v>
      </c>
      <c r="R664" s="110">
        <f t="shared" si="280"/>
        <v>0.14832749711766455</v>
      </c>
      <c r="S664" s="110">
        <f t="shared" si="280"/>
        <v>0</v>
      </c>
      <c r="T664" s="110">
        <f t="shared" si="280"/>
        <v>0.11829802946635795</v>
      </c>
      <c r="U664" s="110">
        <f t="shared" si="280"/>
        <v>0.20067918081512398</v>
      </c>
      <c r="V664" s="110">
        <f t="shared" si="280"/>
        <v>4.0020936898805808E-2</v>
      </c>
      <c r="W664" s="110">
        <f t="shared" si="280"/>
        <v>6.9825550921952764E-2</v>
      </c>
      <c r="X664" s="110">
        <f t="shared" si="280"/>
        <v>1.1930099585443247E-2</v>
      </c>
      <c r="Y664" s="110">
        <f t="shared" si="280"/>
        <v>6.6499318287514386E-3</v>
      </c>
      <c r="Z664" s="110">
        <f t="shared" si="280"/>
        <v>4.2517733734187173E-3</v>
      </c>
      <c r="AA664" s="110">
        <f t="shared" si="280"/>
        <v>0.38599871230556126</v>
      </c>
      <c r="AB664" s="110">
        <f t="shared" si="280"/>
        <v>1.4018287686920266E-2</v>
      </c>
      <c r="AC664" s="110">
        <f t="shared" si="280"/>
        <v>0</v>
      </c>
      <c r="AD664" s="110">
        <f t="shared" si="280"/>
        <v>0</v>
      </c>
      <c r="AE664" s="110">
        <f t="shared" si="280"/>
        <v>0</v>
      </c>
      <c r="AF664" s="230">
        <f t="shared" si="266"/>
        <v>0.99999999999999989</v>
      </c>
      <c r="AG664" s="93" t="str">
        <f t="shared" si="267"/>
        <v>ok</v>
      </c>
    </row>
    <row r="665" spans="1:33" s="60" customFormat="1">
      <c r="A665" s="60" t="s">
        <v>108</v>
      </c>
      <c r="D665" s="60" t="s">
        <v>72</v>
      </c>
      <c r="F665" s="81">
        <v>1</v>
      </c>
      <c r="H665" s="110">
        <f>H484/$F$484</f>
        <v>0</v>
      </c>
      <c r="I665" s="110">
        <f t="shared" ref="I665:AE665" si="281">I484/$F$484</f>
        <v>0</v>
      </c>
      <c r="J665" s="110">
        <f t="shared" si="281"/>
        <v>0</v>
      </c>
      <c r="K665" s="110">
        <f t="shared" si="281"/>
        <v>0</v>
      </c>
      <c r="L665" s="110">
        <f t="shared" si="281"/>
        <v>0</v>
      </c>
      <c r="M665" s="110">
        <f t="shared" si="281"/>
        <v>0</v>
      </c>
      <c r="N665" s="110">
        <f t="shared" si="281"/>
        <v>0</v>
      </c>
      <c r="O665" s="110">
        <f t="shared" si="281"/>
        <v>0</v>
      </c>
      <c r="P665" s="110">
        <f t="shared" si="281"/>
        <v>0</v>
      </c>
      <c r="Q665" s="110">
        <f t="shared" si="281"/>
        <v>0</v>
      </c>
      <c r="R665" s="110">
        <f t="shared" si="281"/>
        <v>0.13798085579324521</v>
      </c>
      <c r="S665" s="110">
        <f t="shared" si="281"/>
        <v>0</v>
      </c>
      <c r="T665" s="110">
        <f t="shared" si="281"/>
        <v>0.23427653301587351</v>
      </c>
      <c r="U665" s="110">
        <f t="shared" si="281"/>
        <v>0.39326100205980835</v>
      </c>
      <c r="V665" s="110">
        <f t="shared" si="281"/>
        <v>7.5140490725314105E-2</v>
      </c>
      <c r="W665" s="110">
        <f t="shared" si="281"/>
        <v>0.13040278348855061</v>
      </c>
      <c r="X665" s="110">
        <f t="shared" si="281"/>
        <v>1.7168251027720762E-2</v>
      </c>
      <c r="Y665" s="110">
        <f t="shared" si="281"/>
        <v>9.5697188557033411E-3</v>
      </c>
      <c r="Z665" s="110">
        <f t="shared" si="281"/>
        <v>0</v>
      </c>
      <c r="AA665" s="110">
        <f t="shared" si="281"/>
        <v>0</v>
      </c>
      <c r="AB665" s="110">
        <f t="shared" si="281"/>
        <v>2.200365033784219E-3</v>
      </c>
      <c r="AC665" s="110">
        <f t="shared" si="281"/>
        <v>0</v>
      </c>
      <c r="AD665" s="110">
        <f t="shared" si="281"/>
        <v>0</v>
      </c>
      <c r="AE665" s="110">
        <f t="shared" si="281"/>
        <v>0</v>
      </c>
      <c r="AF665" s="230">
        <f t="shared" si="266"/>
        <v>1.0000000000000002</v>
      </c>
      <c r="AG665" s="93" t="str">
        <f t="shared" si="267"/>
        <v>ok</v>
      </c>
    </row>
    <row r="666" spans="1:33" s="60" customFormat="1">
      <c r="A666" s="60" t="s">
        <v>802</v>
      </c>
      <c r="D666" s="60" t="s">
        <v>642</v>
      </c>
      <c r="F666" s="81">
        <v>1</v>
      </c>
      <c r="H666" s="110">
        <f>H516/$F$516</f>
        <v>0.32564108229618471</v>
      </c>
      <c r="I666" s="110">
        <f t="shared" ref="I666:AE666" si="282">I516/$F$516</f>
        <v>0</v>
      </c>
      <c r="J666" s="110">
        <f t="shared" si="282"/>
        <v>0</v>
      </c>
      <c r="K666" s="110">
        <f t="shared" si="282"/>
        <v>0.27617829025162782</v>
      </c>
      <c r="L666" s="110">
        <f t="shared" si="282"/>
        <v>0</v>
      </c>
      <c r="M666" s="110">
        <f t="shared" si="282"/>
        <v>0</v>
      </c>
      <c r="N666" s="110">
        <f t="shared" si="282"/>
        <v>7.5047397605629312E-2</v>
      </c>
      <c r="O666" s="110">
        <f t="shared" si="282"/>
        <v>0</v>
      </c>
      <c r="P666" s="110">
        <f t="shared" si="282"/>
        <v>0</v>
      </c>
      <c r="Q666" s="110">
        <f t="shared" si="282"/>
        <v>0</v>
      </c>
      <c r="R666" s="110">
        <f t="shared" si="282"/>
        <v>3.1234496735323112E-2</v>
      </c>
      <c r="S666" s="110">
        <f t="shared" si="282"/>
        <v>0</v>
      </c>
      <c r="T666" s="110">
        <f t="shared" si="282"/>
        <v>3.0980013719228185E-2</v>
      </c>
      <c r="U666" s="110">
        <f t="shared" si="282"/>
        <v>5.2350723264247369E-2</v>
      </c>
      <c r="V666" s="110">
        <f t="shared" si="282"/>
        <v>1.0279612628179198E-2</v>
      </c>
      <c r="W666" s="110">
        <f t="shared" si="282"/>
        <v>1.7901064233599946E-2</v>
      </c>
      <c r="X666" s="110">
        <f t="shared" si="282"/>
        <v>2.8087714652053858E-3</v>
      </c>
      <c r="Y666" s="110">
        <f t="shared" si="282"/>
        <v>1.5656314209605271E-3</v>
      </c>
      <c r="Z666" s="110">
        <f t="shared" si="282"/>
        <v>7.0210577266451946E-4</v>
      </c>
      <c r="AA666" s="110">
        <f t="shared" si="282"/>
        <v>6.3740914754563574E-2</v>
      </c>
      <c r="AB666" s="110">
        <f t="shared" si="282"/>
        <v>2.4223692326181567E-3</v>
      </c>
      <c r="AC666" s="110">
        <f t="shared" si="282"/>
        <v>8.9622654966330664E-2</v>
      </c>
      <c r="AD666" s="110">
        <f t="shared" si="282"/>
        <v>1.9524871653637452E-2</v>
      </c>
      <c r="AE666" s="110">
        <f t="shared" si="282"/>
        <v>0</v>
      </c>
      <c r="AF666" s="230">
        <f t="shared" si="266"/>
        <v>1</v>
      </c>
      <c r="AG666" s="93" t="str">
        <f t="shared" si="267"/>
        <v>ok</v>
      </c>
    </row>
    <row r="667" spans="1:33" s="60" customFormat="1">
      <c r="A667" s="60" t="s">
        <v>881</v>
      </c>
      <c r="D667" s="60" t="s">
        <v>882</v>
      </c>
      <c r="F667" s="81">
        <v>1</v>
      </c>
      <c r="H667" s="110">
        <f>H60/$F$60</f>
        <v>0.61043730772305094</v>
      </c>
      <c r="I667" s="110">
        <f t="shared" ref="I667:AE667" si="283">I60/$F$60</f>
        <v>0</v>
      </c>
      <c r="J667" s="110">
        <f t="shared" si="283"/>
        <v>0</v>
      </c>
      <c r="K667" s="110">
        <f t="shared" si="283"/>
        <v>0</v>
      </c>
      <c r="L667" s="110">
        <f t="shared" si="283"/>
        <v>0</v>
      </c>
      <c r="M667" s="110">
        <f t="shared" si="283"/>
        <v>0</v>
      </c>
      <c r="N667" s="110">
        <f t="shared" si="283"/>
        <v>9.3756900804937926E-2</v>
      </c>
      <c r="O667" s="110">
        <f t="shared" si="283"/>
        <v>0</v>
      </c>
      <c r="P667" s="110">
        <f t="shared" si="283"/>
        <v>0</v>
      </c>
      <c r="Q667" s="110">
        <f t="shared" si="283"/>
        <v>0</v>
      </c>
      <c r="R667" s="110">
        <f t="shared" si="283"/>
        <v>3.6887483258388143E-2</v>
      </c>
      <c r="S667" s="110">
        <f t="shared" si="283"/>
        <v>0</v>
      </c>
      <c r="T667" s="110">
        <f t="shared" si="283"/>
        <v>5.6628877819627173E-2</v>
      </c>
      <c r="U667" s="110">
        <f t="shared" si="283"/>
        <v>9.2669128361980463E-2</v>
      </c>
      <c r="V667" s="110">
        <f t="shared" si="283"/>
        <v>1.5799973673452143E-2</v>
      </c>
      <c r="W667" s="110">
        <f t="shared" si="283"/>
        <v>2.6998287628026446E-2</v>
      </c>
      <c r="X667" s="110">
        <f t="shared" si="283"/>
        <v>1.9355857643162909E-2</v>
      </c>
      <c r="Y667" s="110">
        <f t="shared" si="283"/>
        <v>1.0789108078452689E-2</v>
      </c>
      <c r="Z667" s="110">
        <f t="shared" si="283"/>
        <v>6.8982425131890145E-3</v>
      </c>
      <c r="AA667" s="110">
        <f t="shared" si="283"/>
        <v>7.0350172471143795E-3</v>
      </c>
      <c r="AB667" s="110">
        <f t="shared" si="283"/>
        <v>2.2743815248617724E-2</v>
      </c>
      <c r="AC667" s="110">
        <f t="shared" si="283"/>
        <v>0</v>
      </c>
      <c r="AD667" s="110">
        <f t="shared" si="283"/>
        <v>0</v>
      </c>
      <c r="AE667" s="110">
        <f t="shared" si="283"/>
        <v>0</v>
      </c>
      <c r="AF667" s="230">
        <f t="shared" si="266"/>
        <v>1</v>
      </c>
      <c r="AG667" s="93" t="str">
        <f t="shared" si="267"/>
        <v>ok</v>
      </c>
    </row>
    <row r="668" spans="1:33" s="60" customFormat="1">
      <c r="A668" s="60" t="s">
        <v>190</v>
      </c>
      <c r="D668" s="60" t="s">
        <v>191</v>
      </c>
      <c r="F668" s="81">
        <v>1</v>
      </c>
      <c r="H668" s="110">
        <f>H29/$F$29</f>
        <v>1</v>
      </c>
      <c r="I668" s="110">
        <f t="shared" ref="I668:AE668" si="284">I29/$F$29</f>
        <v>0</v>
      </c>
      <c r="J668" s="110">
        <f t="shared" si="284"/>
        <v>0</v>
      </c>
      <c r="K668" s="110">
        <f t="shared" si="284"/>
        <v>0</v>
      </c>
      <c r="L668" s="110">
        <f t="shared" si="284"/>
        <v>0</v>
      </c>
      <c r="M668" s="110">
        <f t="shared" si="284"/>
        <v>0</v>
      </c>
      <c r="N668" s="110">
        <f t="shared" si="284"/>
        <v>0</v>
      </c>
      <c r="O668" s="110">
        <f t="shared" si="284"/>
        <v>0</v>
      </c>
      <c r="P668" s="110">
        <f t="shared" si="284"/>
        <v>0</v>
      </c>
      <c r="Q668" s="110">
        <f t="shared" si="284"/>
        <v>0</v>
      </c>
      <c r="R668" s="110">
        <f t="shared" si="284"/>
        <v>0</v>
      </c>
      <c r="S668" s="110">
        <f t="shared" si="284"/>
        <v>0</v>
      </c>
      <c r="T668" s="110">
        <f t="shared" si="284"/>
        <v>0</v>
      </c>
      <c r="U668" s="110">
        <f t="shared" si="284"/>
        <v>0</v>
      </c>
      <c r="V668" s="110">
        <f t="shared" si="284"/>
        <v>0</v>
      </c>
      <c r="W668" s="110">
        <f t="shared" si="284"/>
        <v>0</v>
      </c>
      <c r="X668" s="110">
        <f t="shared" si="284"/>
        <v>0</v>
      </c>
      <c r="Y668" s="110">
        <f t="shared" si="284"/>
        <v>0</v>
      </c>
      <c r="Z668" s="110">
        <f t="shared" si="284"/>
        <v>0</v>
      </c>
      <c r="AA668" s="110">
        <f t="shared" si="284"/>
        <v>0</v>
      </c>
      <c r="AB668" s="110">
        <f t="shared" si="284"/>
        <v>0</v>
      </c>
      <c r="AC668" s="110">
        <f t="shared" si="284"/>
        <v>0</v>
      </c>
      <c r="AD668" s="110">
        <f t="shared" si="284"/>
        <v>0</v>
      </c>
      <c r="AE668" s="110">
        <f t="shared" si="284"/>
        <v>0</v>
      </c>
      <c r="AF668" s="230">
        <f t="shared" si="266"/>
        <v>1</v>
      </c>
      <c r="AG668" s="93" t="str">
        <f t="shared" si="267"/>
        <v>ok</v>
      </c>
    </row>
    <row r="669" spans="1:33" s="60" customFormat="1">
      <c r="A669" s="60" t="s">
        <v>860</v>
      </c>
      <c r="D669" s="60" t="s">
        <v>861</v>
      </c>
      <c r="F669" s="81">
        <v>1</v>
      </c>
      <c r="H669" s="110">
        <f>H15/$F$15</f>
        <v>0.61043730772305094</v>
      </c>
      <c r="I669" s="110">
        <f t="shared" ref="I669:AE669" si="285">I15/$F$15</f>
        <v>0</v>
      </c>
      <c r="J669" s="110">
        <f t="shared" si="285"/>
        <v>0</v>
      </c>
      <c r="K669" s="110">
        <f t="shared" si="285"/>
        <v>0</v>
      </c>
      <c r="L669" s="110">
        <f t="shared" si="285"/>
        <v>0</v>
      </c>
      <c r="M669" s="110">
        <f t="shared" si="285"/>
        <v>0</v>
      </c>
      <c r="N669" s="110">
        <f t="shared" si="285"/>
        <v>9.3756900804937926E-2</v>
      </c>
      <c r="O669" s="110">
        <f t="shared" si="285"/>
        <v>0</v>
      </c>
      <c r="P669" s="110">
        <f t="shared" si="285"/>
        <v>0</v>
      </c>
      <c r="Q669" s="110">
        <f t="shared" si="285"/>
        <v>0</v>
      </c>
      <c r="R669" s="110">
        <f t="shared" si="285"/>
        <v>3.6887483258388143E-2</v>
      </c>
      <c r="S669" s="110">
        <f t="shared" si="285"/>
        <v>0</v>
      </c>
      <c r="T669" s="110">
        <f t="shared" si="285"/>
        <v>5.6628877819627173E-2</v>
      </c>
      <c r="U669" s="110">
        <f t="shared" si="285"/>
        <v>9.2669128361980463E-2</v>
      </c>
      <c r="V669" s="110">
        <f t="shared" si="285"/>
        <v>1.5799973673452143E-2</v>
      </c>
      <c r="W669" s="110">
        <f t="shared" si="285"/>
        <v>2.6998287628026446E-2</v>
      </c>
      <c r="X669" s="110">
        <f t="shared" si="285"/>
        <v>1.9355857643162909E-2</v>
      </c>
      <c r="Y669" s="110">
        <f t="shared" si="285"/>
        <v>1.0789108078452689E-2</v>
      </c>
      <c r="Z669" s="110">
        <f t="shared" si="285"/>
        <v>6.8982425131890145E-3</v>
      </c>
      <c r="AA669" s="110">
        <f t="shared" si="285"/>
        <v>7.0350172471143795E-3</v>
      </c>
      <c r="AB669" s="110">
        <f t="shared" si="285"/>
        <v>2.2743815248617724E-2</v>
      </c>
      <c r="AC669" s="110">
        <f t="shared" si="285"/>
        <v>0</v>
      </c>
      <c r="AD669" s="110">
        <f t="shared" si="285"/>
        <v>0</v>
      </c>
      <c r="AE669" s="110">
        <f t="shared" si="285"/>
        <v>0</v>
      </c>
      <c r="AF669" s="230">
        <f t="shared" si="266"/>
        <v>1</v>
      </c>
      <c r="AG669" s="93" t="str">
        <f t="shared" si="267"/>
        <v>ok</v>
      </c>
    </row>
    <row r="670" spans="1:33" s="60" customFormat="1">
      <c r="W670" s="77"/>
    </row>
  </sheetData>
  <autoFilter ref="C2:D669" xr:uid="{00000000-0009-0000-0000-000000000000}"/>
  <mergeCells count="4">
    <mergeCell ref="V3:W3"/>
    <mergeCell ref="X3:Y3"/>
    <mergeCell ref="H3:J3"/>
    <mergeCell ref="S3:U3"/>
  </mergeCells>
  <phoneticPr fontId="0" type="noConversion"/>
  <pageMargins left="0.25" right="0.25" top="1.25" bottom="0.5" header="0.5" footer="0.3"/>
  <pageSetup scale="50" fitToWidth="2" pageOrder="overThenDown" orientation="landscape" horizontalDpi="300" verticalDpi="300" r:id="rId1"/>
  <headerFooter alignWithMargins="0">
    <oddHeader>&amp;C&amp;"Times New Roman,Bold"&amp;12LOUISVILLE GAS AND ELECTRIC COMPANY
Cost of Service Study
Functional Assignment and Classification
12 Months Ended 
June 30, 2022
&amp;R&amp;"Times New Roman,Bold"&amp;12Exhibit WSS-27
Page &amp;P of &amp;N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N64"/>
  <sheetViews>
    <sheetView view="pageBreakPreview" topLeftCell="D13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1216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Proforma'!K176</f>
        <v>389970355.05789894</v>
      </c>
      <c r="E14" s="333">
        <f>'Allocation Proforma'!K125+'Allocation Proforma'!K126+'Allocation Proforma'!K127</f>
        <v>273795525.39964962</v>
      </c>
      <c r="F14" s="333">
        <f>'Allocation Proforma'!K128</f>
        <v>10496680.563933097</v>
      </c>
      <c r="G14" s="333">
        <f>'Allocation Proforma'!K137</f>
        <v>44545994.970586218</v>
      </c>
      <c r="H14" s="333">
        <f>'Allocation Proforma'!K147+'Allocation Proforma'!K149+'Allocation Proforma'!K154+'Allocation Proforma'!K143</f>
        <v>56841962.846820109</v>
      </c>
      <c r="I14" s="333">
        <f>'Allocation Proforma'!K148+'Allocation Proforma'!K150+'Allocation Proforma'!K155+'Allocation Proforma'!K159+'Allocation Proforma'!K162+'Allocation Proforma'!K165</f>
        <v>4157592.8819970265</v>
      </c>
      <c r="J14" s="333">
        <f>'Allocation Proforma'!K168+'Allocation Proforma'!K171</f>
        <v>132598.39491293303</v>
      </c>
      <c r="K14" s="269">
        <f>SUM(E14:J14)</f>
        <v>389970355.05789906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389970355.05789894</v>
      </c>
      <c r="E16" s="333">
        <f t="shared" ref="E16:K16" si="1">E14+E15</f>
        <v>273795525.39964962</v>
      </c>
      <c r="F16" s="333">
        <f t="shared" si="1"/>
        <v>10496680.563933097</v>
      </c>
      <c r="G16" s="333">
        <f t="shared" si="1"/>
        <v>44545994.970586218</v>
      </c>
      <c r="H16" s="333">
        <f t="shared" si="1"/>
        <v>56841962.846820109</v>
      </c>
      <c r="I16" s="333">
        <f t="shared" si="1"/>
        <v>4157592.8819970265</v>
      </c>
      <c r="J16" s="333">
        <f t="shared" si="1"/>
        <v>132598.39491293303</v>
      </c>
      <c r="K16" s="269">
        <f t="shared" si="1"/>
        <v>389970355.05789906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Proforma'!K946</f>
        <v>0.12382816077096466</v>
      </c>
      <c r="E18" s="335">
        <f t="shared" ref="E18:J18" si="2">D18</f>
        <v>0.12382816077096466</v>
      </c>
      <c r="F18" s="335">
        <f t="shared" si="2"/>
        <v>0.12382816077096466</v>
      </c>
      <c r="G18" s="335">
        <f t="shared" si="2"/>
        <v>0.12382816077096466</v>
      </c>
      <c r="H18" s="335">
        <f t="shared" si="2"/>
        <v>0.12382816077096466</v>
      </c>
      <c r="I18" s="335">
        <f t="shared" si="2"/>
        <v>0.12382816077096466</v>
      </c>
      <c r="J18" s="335">
        <f t="shared" si="2"/>
        <v>0.12382816077096466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48289311.822019681</v>
      </c>
      <c r="E20" s="352">
        <f t="shared" ref="E20:J20" si="3">E18*E16</f>
        <v>33903596.337558553</v>
      </c>
      <c r="F20" s="352">
        <f t="shared" si="3"/>
        <v>1299784.6484321675</v>
      </c>
      <c r="G20" s="352">
        <f t="shared" si="3"/>
        <v>5516048.6269203331</v>
      </c>
      <c r="H20" s="352">
        <f t="shared" si="3"/>
        <v>7038635.7139332406</v>
      </c>
      <c r="I20" s="352">
        <f t="shared" si="3"/>
        <v>514827.07981214608</v>
      </c>
      <c r="J20" s="352">
        <f t="shared" si="3"/>
        <v>16419.415363250533</v>
      </c>
      <c r="K20" s="269">
        <f>SUM(E20:J20)</f>
        <v>48289311.822019689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Proforma'!K738</f>
        <v>8519752.6151262634</v>
      </c>
      <c r="E22" s="352">
        <f t="shared" ref="E22:J22" si="4">(E14/$D$14)*$D$22</f>
        <v>5981660.1782132955</v>
      </c>
      <c r="F22" s="352">
        <f t="shared" si="4"/>
        <v>229322.87166145354</v>
      </c>
      <c r="G22" s="352">
        <f t="shared" si="4"/>
        <v>973204.37879875721</v>
      </c>
      <c r="H22" s="352">
        <f t="shared" si="4"/>
        <v>1241836.6045829419</v>
      </c>
      <c r="I22" s="352">
        <f t="shared" si="4"/>
        <v>90831.680843446287</v>
      </c>
      <c r="J22" s="352">
        <f t="shared" si="4"/>
        <v>2896.9010263697573</v>
      </c>
      <c r="K22" s="269">
        <f>SUM(E22:J22)</f>
        <v>8519752.6151262634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39769559.206893414</v>
      </c>
      <c r="E24" s="352">
        <f t="shared" ref="E24:J24" si="5">E20-E22</f>
        <v>27921936.159345258</v>
      </c>
      <c r="F24" s="352">
        <f t="shared" si="5"/>
        <v>1070461.776770714</v>
      </c>
      <c r="G24" s="352">
        <f t="shared" si="5"/>
        <v>4542844.2481215764</v>
      </c>
      <c r="H24" s="352">
        <f t="shared" si="5"/>
        <v>5796799.1093502985</v>
      </c>
      <c r="I24" s="352">
        <f t="shared" si="5"/>
        <v>423995.3989686998</v>
      </c>
      <c r="J24" s="352">
        <f t="shared" si="5"/>
        <v>13522.514336880777</v>
      </c>
      <c r="K24" s="269">
        <f>SUM(E24:J24)</f>
        <v>39769559.206893429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Proforma'!K767+'Allocation Proforma'!K937</f>
        <v>7213104.2156341821</v>
      </c>
      <c r="E26" s="352">
        <f t="shared" ref="E26:J26" si="6">$D$26*(E24/$K$24)</f>
        <v>5064271.2525898851</v>
      </c>
      <c r="F26" s="352">
        <f t="shared" si="6"/>
        <v>194152.32425713478</v>
      </c>
      <c r="G26" s="352">
        <f t="shared" si="6"/>
        <v>823946.99993092753</v>
      </c>
      <c r="H26" s="352">
        <f t="shared" si="6"/>
        <v>1051379.9229032316</v>
      </c>
      <c r="I26" s="352">
        <f t="shared" si="6"/>
        <v>76901.103776390693</v>
      </c>
      <c r="J26" s="352">
        <f t="shared" si="6"/>
        <v>2452.6121766122437</v>
      </c>
      <c r="K26" s="269">
        <f>SUM(E26:J26)</f>
        <v>7213104.2156341812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Proforma'!K758</f>
        <v>78024032.461141974</v>
      </c>
      <c r="E28" s="352">
        <f>'Allocation Proforma'!K182+'Allocation Proforma'!K183+'Allocation Proforma'!K184</f>
        <v>15261928.825871319</v>
      </c>
      <c r="F28" s="352">
        <f>'Allocation Proforma'!K185</f>
        <v>53242471.460308753</v>
      </c>
      <c r="G28" s="352">
        <f>'Allocation Proforma'!K194</f>
        <v>4426114.6280127959</v>
      </c>
      <c r="H28" s="352">
        <f>'Allocation Proforma'!K200+'Allocation Proforma'!K204+'Allocation Proforma'!K206+'Allocation Proforma'!K211</f>
        <v>3480276.8618204943</v>
      </c>
      <c r="I28" s="352">
        <f>'Allocation Proforma'!K205+'Allocation Proforma'!K207+'Allocation Proforma'!K212+'Allocation Proforma'!K216+'Allocation Proforma'!K219</f>
        <v>975563.03551976394</v>
      </c>
      <c r="J28" s="352">
        <f>'Allocation Proforma'!K225+'Allocation Proforma'!K228</f>
        <v>637677.6496088542</v>
      </c>
      <c r="K28" s="269">
        <f t="shared" ref="K28:K39" si="7">SUM(E28:J28)</f>
        <v>78024032.461141974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Proforma'!K759</f>
        <v>33854774.261061154</v>
      </c>
      <c r="E29" s="348">
        <f>'Allocation Proforma'!K302</f>
        <v>29006159.751298692</v>
      </c>
      <c r="F29" s="348">
        <v>0</v>
      </c>
      <c r="G29" s="348">
        <f>'Allocation Proforma'!K308</f>
        <v>1871563.2657848955</v>
      </c>
      <c r="H29" s="348">
        <f>'Allocation Proforma'!K314+'Allocation Proforma'!K318+'Allocation Proforma'!K320+'Allocation Proforma'!K325</f>
        <v>2782102.2403099476</v>
      </c>
      <c r="I29" s="348">
        <f>'Allocation Proforma'!K319+'Allocation Proforma'!K321+'Allocation Proforma'!K326+'Allocation Proforma'!K330+'Allocation Proforma'!K333</f>
        <v>194949.00366761966</v>
      </c>
      <c r="J29" s="348">
        <v>0</v>
      </c>
      <c r="K29" s="269">
        <f t="shared" si="7"/>
        <v>33854774.261061162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Proforma'!K764+'Allocation Proforma'!K765</f>
        <v>4679409.0476116138</v>
      </c>
      <c r="E30" s="348">
        <f>'Allocation Proforma'!K417+'Allocation Proforma'!K474+'Allocation Proforma'!K359+'Allocation Proforma'!K531+'Allocation Proforma'!K589</f>
        <v>3434073.2401572177</v>
      </c>
      <c r="F30" s="348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348">
        <f>'Allocation Proforma'!K365+'Allocation Proforma'!K423+'Allocation Proforma'!K480+'Allocation Proforma'!K537+'Allocation Proforma'!K595</f>
        <v>512125.21988321218</v>
      </c>
      <c r="H30" s="348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685095.70565659308</v>
      </c>
      <c r="I30" s="348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48114.881914591504</v>
      </c>
      <c r="J30" s="348">
        <v>0</v>
      </c>
      <c r="K30" s="269">
        <f t="shared" si="7"/>
        <v>4679409.0476116147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Proforma'!K771</f>
        <v>-54572.293271885013</v>
      </c>
      <c r="E31" s="348">
        <f t="shared" ref="E31:J31" si="8">$D$31*(E14/$K$14)</f>
        <v>-38314.834742813022</v>
      </c>
      <c r="F31" s="348">
        <f t="shared" si="8"/>
        <v>-1468.9012195073246</v>
      </c>
      <c r="G31" s="348">
        <f t="shared" si="8"/>
        <v>-6233.7484634231178</v>
      </c>
      <c r="H31" s="348">
        <f t="shared" si="8"/>
        <v>-7954.4412194247534</v>
      </c>
      <c r="I31" s="348">
        <f t="shared" si="8"/>
        <v>-581.81186112917987</v>
      </c>
      <c r="J31" s="348">
        <f t="shared" si="8"/>
        <v>-18.555765587605872</v>
      </c>
      <c r="K31" s="269">
        <f t="shared" si="7"/>
        <v>-54572.293271884999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Proforma'!K934+'Allocation Proforma'!K935</f>
        <v>68448.730820455356</v>
      </c>
      <c r="E36" s="348">
        <f t="shared" ref="E36:J36" si="10">(E14/($D$14)*$D$36)</f>
        <v>48057.386862504696</v>
      </c>
      <c r="F36" s="348">
        <f t="shared" si="10"/>
        <v>1842.4078987293499</v>
      </c>
      <c r="G36" s="348">
        <f t="shared" si="10"/>
        <v>7818.8425846326481</v>
      </c>
      <c r="H36" s="348">
        <f t="shared" si="10"/>
        <v>9977.0666250532104</v>
      </c>
      <c r="I36" s="348">
        <f t="shared" si="10"/>
        <v>729.75279364146479</v>
      </c>
      <c r="J36" s="348">
        <f t="shared" si="10"/>
        <v>23.27405589399801</v>
      </c>
      <c r="K36" s="269">
        <f t="shared" si="7"/>
        <v>68448.73082045537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 t="e">
        <f>'Allocation Proforma'!#REF!</f>
        <v>#REF!</v>
      </c>
      <c r="E37" s="348" t="e">
        <f>D37</f>
        <v>#REF!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 t="e">
        <f t="shared" si="7"/>
        <v>#REF!</v>
      </c>
      <c r="L37" s="200" t="e">
        <f t="shared" si="9"/>
        <v>#REF!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 t="e">
        <f t="shared" ref="D39:J39" si="11">SUM(D32:D37)</f>
        <v>#REF!</v>
      </c>
      <c r="E39" s="333" t="e">
        <f t="shared" si="11"/>
        <v>#REF!</v>
      </c>
      <c r="F39" s="333">
        <f t="shared" si="11"/>
        <v>1842.4078987293499</v>
      </c>
      <c r="G39" s="333">
        <f t="shared" si="11"/>
        <v>7818.8425846326481</v>
      </c>
      <c r="H39" s="333">
        <f t="shared" si="11"/>
        <v>9977.0666250532104</v>
      </c>
      <c r="I39" s="333">
        <f t="shared" si="11"/>
        <v>729.75279364146479</v>
      </c>
      <c r="J39" s="333">
        <f t="shared" si="11"/>
        <v>23.27405589399801</v>
      </c>
      <c r="K39" s="269" t="e">
        <f t="shared" si="7"/>
        <v>#REF!</v>
      </c>
      <c r="L39" s="200" t="e">
        <f t="shared" si="9"/>
        <v>#REF!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 t="e">
        <f t="shared" ref="D41:J41" si="12">SUM(D28:D31)+D22+D26+D39+D24</f>
        <v>#REF!</v>
      </c>
      <c r="E41" s="352" t="e">
        <f t="shared" si="12"/>
        <v>#REF!</v>
      </c>
      <c r="F41" s="352">
        <f t="shared" si="12"/>
        <v>54736781.939677276</v>
      </c>
      <c r="G41" s="352">
        <f t="shared" si="12"/>
        <v>13151383.834653374</v>
      </c>
      <c r="H41" s="352">
        <f t="shared" si="12"/>
        <v>15039513.070029136</v>
      </c>
      <c r="I41" s="352">
        <f t="shared" si="12"/>
        <v>1810503.0456230242</v>
      </c>
      <c r="J41" s="352">
        <f t="shared" si="12"/>
        <v>656554.39543902338</v>
      </c>
      <c r="K41" s="269" t="e">
        <f>SUM(E41:J41)</f>
        <v>#REF!</v>
      </c>
      <c r="L41" s="200" t="e">
        <f>IF(ABS(K41-D41)&lt;0.01,"ok","err")</f>
        <v>#REF!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Proforma'!K700</f>
        <v>-90786.210068454224</v>
      </c>
      <c r="E43" s="294">
        <f>D43</f>
        <v>-90786.210068454224</v>
      </c>
      <c r="F43" s="294"/>
      <c r="G43" s="294"/>
      <c r="H43" s="294"/>
      <c r="I43" s="294"/>
      <c r="J43" s="294"/>
      <c r="K43" s="269">
        <f>SUM(E43:J43)</f>
        <v>-90786.210068454224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Proforma'!K698</f>
        <v>-4608468.4725286756</v>
      </c>
      <c r="E44" s="348">
        <v>0</v>
      </c>
      <c r="F44" s="348">
        <f>D44</f>
        <v>-4608468.4725286756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-4608468.4725286756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Proforma'!K699</f>
        <v>-1553176.5390647913</v>
      </c>
      <c r="E45" s="348">
        <v>0</v>
      </c>
      <c r="F45" s="348">
        <v>0</v>
      </c>
      <c r="G45" s="348">
        <f>D45</f>
        <v>-1553176.5390647913</v>
      </c>
      <c r="H45" s="348">
        <v>0</v>
      </c>
      <c r="I45" s="348">
        <v>0</v>
      </c>
      <c r="J45" s="348">
        <v>0</v>
      </c>
      <c r="K45" s="269">
        <f>SUM(E45:J45)</f>
        <v>-1553176.5390647913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Proforma'!K702-'Allocation Proforma'!K703-'Allocation Proforma'!K704-'Allocation Proforma'!K705</f>
        <v>-791382.17633996473</v>
      </c>
      <c r="E46" s="348">
        <f>-(E14/($D$14)*('Allocation Proforma'!K702+'Allocation Proforma'!K703+'Allocation Proforma'!K704+'Allocation Proforma'!K705))</f>
        <v>-555624.02616667817</v>
      </c>
      <c r="F46" s="348">
        <f>(F14/($D$14)*-('Allocation Proforma'!K702+'Allocation Proforma'!K703+'Allocation Proforma'!K704+'Allocation Proforma'!K705))</f>
        <v>-21301.326629808715</v>
      </c>
      <c r="G46" s="348">
        <f>(G14/($D$14)*-('Allocation Proforma'!K702+'Allocation Proforma'!K703+'Allocation Proforma'!K704+'Allocation Proforma'!K705))</f>
        <v>-90398.939277878293</v>
      </c>
      <c r="H46" s="348">
        <f>(H14/($D$14)*-('Allocation Proforma'!K702+'Allocation Proforma'!K703+'Allocation Proforma'!K704+'Allocation Proforma'!K705))</f>
        <v>-115351.63040399103</v>
      </c>
      <c r="I46" s="348">
        <f>(I14/($D$14)*-('Allocation Proforma'!K702+'Allocation Proforma'!K703+'Allocation Proforma'!K704+'Allocation Proforma'!K705))</f>
        <v>-8437.1667246394918</v>
      </c>
      <c r="J46" s="348">
        <f>(J14/($D$14)*-('Allocation Proforma'!K702+'Allocation Proforma'!K703+'Allocation Proforma'!K704+'Allocation Proforma'!K705))</f>
        <v>-269.08713696917602</v>
      </c>
      <c r="K46" s="269">
        <f>SUM(E46:J46)</f>
        <v>-791382.17633996485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-7043813.398001885</v>
      </c>
      <c r="E47" s="142">
        <f>SUM(E43:E46)</f>
        <v>-646410.23623513244</v>
      </c>
      <c r="F47" s="142">
        <f t="shared" ref="F47:I47" si="13">SUM(F43:F46)</f>
        <v>-4629769.7991584847</v>
      </c>
      <c r="G47" s="142">
        <f t="shared" si="13"/>
        <v>-1643575.4783426696</v>
      </c>
      <c r="H47" s="142">
        <f t="shared" si="13"/>
        <v>-115351.63040399103</v>
      </c>
      <c r="I47" s="142">
        <f t="shared" si="13"/>
        <v>-8437.1667246394918</v>
      </c>
      <c r="J47" s="142">
        <f>SUM(J43:J46)</f>
        <v>-269.08713696917602</v>
      </c>
      <c r="K47" s="269">
        <f>SUM(E47:J47)</f>
        <v>-7043813.3980018869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59" t="e">
        <f t="shared" ref="D49:J49" si="14">D41+D47</f>
        <v>#REF!</v>
      </c>
      <c r="E49" s="333" t="e">
        <f t="shared" si="14"/>
        <v>#REF!</v>
      </c>
      <c r="F49" s="333">
        <f t="shared" si="14"/>
        <v>50107012.140518792</v>
      </c>
      <c r="G49" s="333">
        <f t="shared" si="14"/>
        <v>11507808.356310705</v>
      </c>
      <c r="H49" s="333">
        <f t="shared" si="14"/>
        <v>14924161.439625144</v>
      </c>
      <c r="I49" s="333">
        <f t="shared" si="14"/>
        <v>1802065.8788983847</v>
      </c>
      <c r="J49" s="333">
        <f t="shared" si="14"/>
        <v>656285.30830205418</v>
      </c>
      <c r="K49" s="269" t="e">
        <f>SUM(E49:J49)</f>
        <v>#REF!</v>
      </c>
      <c r="L49" s="200" t="e">
        <f>IF(ABS(K49-D49)&lt;0.01,"ok","err")</f>
        <v>#REF!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4306226</v>
      </c>
      <c r="F51" s="349">
        <f>'Allocation Proforma'!K964</f>
        <v>1508873858</v>
      </c>
      <c r="G51" s="349">
        <v>5354606</v>
      </c>
      <c r="H51" s="349">
        <f>G51</f>
        <v>5354606</v>
      </c>
      <c r="I51" s="349">
        <f>'Allocation Proforma'!$K$980*12</f>
        <v>33396</v>
      </c>
      <c r="J51" s="349">
        <f>'Allocation Proforma'!$K$980*12</f>
        <v>33396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 t="e">
        <f t="shared" ref="E53:J53" si="15">E49/E51</f>
        <v>#REF!</v>
      </c>
      <c r="F53" s="430">
        <f t="shared" si="15"/>
        <v>3.3208218085861219E-2</v>
      </c>
      <c r="G53" s="351">
        <f t="shared" si="15"/>
        <v>2.149141945515824</v>
      </c>
      <c r="H53" s="351">
        <f t="shared" si="15"/>
        <v>2.7871633206299666</v>
      </c>
      <c r="I53" s="351">
        <f t="shared" si="15"/>
        <v>53.960530569480916</v>
      </c>
      <c r="J53" s="351">
        <f t="shared" si="15"/>
        <v>19.651614214338668</v>
      </c>
      <c r="K53" s="362">
        <f>I53+J53</f>
        <v>73.612144783819588</v>
      </c>
      <c r="L53" s="212"/>
    </row>
    <row r="55" spans="1:12">
      <c r="D55" s="246"/>
      <c r="F55" s="291"/>
      <c r="J55" s="345" t="s">
        <v>1224</v>
      </c>
      <c r="K55" s="214">
        <f>I53+J53</f>
        <v>73.612144783819588</v>
      </c>
      <c r="L55">
        <f>ROUND(K55/30.5,2)</f>
        <v>2.41</v>
      </c>
    </row>
    <row r="56" spans="1:12">
      <c r="D56" s="246"/>
      <c r="I56" s="19"/>
      <c r="J56" s="345" t="s">
        <v>1242</v>
      </c>
      <c r="K56" s="3" t="e">
        <f>E53+G53+H53</f>
        <v>#REF!</v>
      </c>
    </row>
    <row r="57" spans="1:12">
      <c r="J57" s="345" t="s">
        <v>1243</v>
      </c>
      <c r="K57" s="8">
        <f>F53</f>
        <v>3.3208218085861219E-2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12"/>
    </row>
    <row r="61" spans="1:12">
      <c r="J61" s="338"/>
      <c r="K61" s="3"/>
    </row>
    <row r="64" spans="1:12">
      <c r="E64" s="264"/>
      <c r="F64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N65"/>
  <sheetViews>
    <sheetView view="pageBreakPreview" topLeftCell="B10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1095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Proforma'!M176</f>
        <v>295971692.74197924</v>
      </c>
      <c r="E14" s="333">
        <f>'Allocation Proforma'!M125+'Allocation Proforma'!M126+'Allocation Proforma'!M127</f>
        <v>210269253.16116762</v>
      </c>
      <c r="F14" s="333">
        <f>'Allocation Proforma'!M128</f>
        <v>8961060.6950090025</v>
      </c>
      <c r="G14" s="333">
        <f>'Allocation Proforma'!M137</f>
        <v>35367677.970093146</v>
      </c>
      <c r="H14" s="333">
        <f>'Allocation Proforma'!M147+'Allocation Proforma'!M149+'Allocation Proforma'!M154+'Allocation Proforma'!M143</f>
        <v>40452145.906334251</v>
      </c>
      <c r="I14" s="333">
        <f>'Allocation Proforma'!M148+'Allocation Proforma'!M150+'Allocation Proforma'!M155+'Allocation Proforma'!M159+'Allocation Proforma'!M162+'Allocation Proforma'!M165</f>
        <v>805950.10073138378</v>
      </c>
      <c r="J14" s="333">
        <f>'Allocation Proforma'!M168+'Allocation Proforma'!M171</f>
        <v>115604.90864384332</v>
      </c>
      <c r="K14" s="269">
        <f>SUM(E14:J14)</f>
        <v>295971692.74197924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295971692.74197924</v>
      </c>
      <c r="E16" s="333">
        <f t="shared" ref="E16:K16" si="1">E14+E15</f>
        <v>210269253.16116762</v>
      </c>
      <c r="F16" s="333">
        <f t="shared" si="1"/>
        <v>8961060.6950090025</v>
      </c>
      <c r="G16" s="333">
        <f t="shared" si="1"/>
        <v>35367677.970093146</v>
      </c>
      <c r="H16" s="333">
        <f t="shared" si="1"/>
        <v>40452145.906334251</v>
      </c>
      <c r="I16" s="333">
        <f t="shared" si="1"/>
        <v>805950.10073138378</v>
      </c>
      <c r="J16" s="333">
        <f t="shared" si="1"/>
        <v>115604.90864384332</v>
      </c>
      <c r="K16" s="269">
        <f t="shared" si="1"/>
        <v>295971692.74197924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Proforma'!M946</f>
        <v>7.5520552113257769E-2</v>
      </c>
      <c r="E18" s="335">
        <f t="shared" ref="E18:J18" si="2">D18</f>
        <v>7.5520552113257769E-2</v>
      </c>
      <c r="F18" s="335">
        <f t="shared" si="2"/>
        <v>7.5520552113257769E-2</v>
      </c>
      <c r="G18" s="335">
        <f t="shared" si="2"/>
        <v>7.5520552113257769E-2</v>
      </c>
      <c r="H18" s="335">
        <f t="shared" si="2"/>
        <v>7.5520552113257769E-2</v>
      </c>
      <c r="I18" s="335">
        <f t="shared" si="2"/>
        <v>7.5520552113257769E-2</v>
      </c>
      <c r="J18" s="335">
        <f t="shared" si="2"/>
        <v>7.5520552113257769E-2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22351945.64576976</v>
      </c>
      <c r="E20" s="352">
        <f t="shared" ref="E20:J20" si="3">E18*E16</f>
        <v>15879650.091173749</v>
      </c>
      <c r="F20" s="352">
        <f t="shared" si="3"/>
        <v>676744.25120749325</v>
      </c>
      <c r="G20" s="352">
        <f t="shared" si="3"/>
        <v>2670986.5672653383</v>
      </c>
      <c r="H20" s="352">
        <f t="shared" si="3"/>
        <v>3054968.3930124226</v>
      </c>
      <c r="I20" s="352">
        <f t="shared" si="3"/>
        <v>60865.796582969815</v>
      </c>
      <c r="J20" s="352">
        <f t="shared" si="3"/>
        <v>8730.5465277857729</v>
      </c>
      <c r="K20" s="269">
        <f>SUM(E20:J20)</f>
        <v>22351945.64576976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Proforma'!M738</f>
        <v>6446698.4476342313</v>
      </c>
      <c r="E22" s="352">
        <f t="shared" ref="E22:J22" si="4">(E14/$D$14)*$D$22</f>
        <v>4579973.3595504239</v>
      </c>
      <c r="F22" s="352">
        <f t="shared" si="4"/>
        <v>195185.07170897746</v>
      </c>
      <c r="G22" s="352">
        <f t="shared" si="4"/>
        <v>770360.00488396629</v>
      </c>
      <c r="H22" s="352">
        <f t="shared" si="4"/>
        <v>881107.18900804606</v>
      </c>
      <c r="I22" s="352">
        <f t="shared" si="4"/>
        <v>17554.777671880809</v>
      </c>
      <c r="J22" s="352">
        <f t="shared" si="4"/>
        <v>2518.0448109369354</v>
      </c>
      <c r="K22" s="269">
        <f>SUM(E22:J22)</f>
        <v>6446698.4476342313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15905247.198135529</v>
      </c>
      <c r="E24" s="352">
        <f t="shared" ref="E24:J24" si="5">E20-E22</f>
        <v>11299676.731623325</v>
      </c>
      <c r="F24" s="352">
        <f t="shared" si="5"/>
        <v>481559.17949851579</v>
      </c>
      <c r="G24" s="352">
        <f t="shared" si="5"/>
        <v>1900626.5623813719</v>
      </c>
      <c r="H24" s="352">
        <f t="shared" si="5"/>
        <v>2173861.2040043767</v>
      </c>
      <c r="I24" s="352">
        <f t="shared" si="5"/>
        <v>43311.018911089006</v>
      </c>
      <c r="J24" s="352">
        <f t="shared" si="5"/>
        <v>6212.5017168488375</v>
      </c>
      <c r="K24" s="269">
        <f>SUM(E24:J24)</f>
        <v>15905247.198135529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Proforma'!M767+'Allocation Proforma'!M937</f>
        <v>3759042.2897349875</v>
      </c>
      <c r="E26" s="352">
        <f t="shared" ref="E26:J26" si="6">$D$26*(E24/$K$24)</f>
        <v>2670562.8755952748</v>
      </c>
      <c r="F26" s="352">
        <f t="shared" si="6"/>
        <v>113811.58042970882</v>
      </c>
      <c r="G26" s="352">
        <f t="shared" si="6"/>
        <v>449193.62371323083</v>
      </c>
      <c r="H26" s="352">
        <f t="shared" si="6"/>
        <v>513769.83306644729</v>
      </c>
      <c r="I26" s="352">
        <f t="shared" si="6"/>
        <v>10236.115771742316</v>
      </c>
      <c r="J26" s="352">
        <f t="shared" si="6"/>
        <v>1468.2611585831578</v>
      </c>
      <c r="K26" s="269">
        <f>SUM(E26:J26)</f>
        <v>3759042.2897349875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Proforma'!M758</f>
        <v>63823823.941072196</v>
      </c>
      <c r="E28" s="352">
        <f>'Allocation Proforma'!M182+'Allocation Proforma'!M183+'Allocation Proforma'!M184</f>
        <v>11720843.031786686</v>
      </c>
      <c r="F28" s="352">
        <f>'Allocation Proforma'!M185</f>
        <v>45453323.591409646</v>
      </c>
      <c r="G28" s="352">
        <f>'Allocation Proforma'!M194</f>
        <v>3514151.9888744135</v>
      </c>
      <c r="H28" s="352">
        <f>'Allocation Proforma'!M200+'Allocation Proforma'!M204+'Allocation Proforma'!M206+'Allocation Proforma'!M211</f>
        <v>2388453.0569510898</v>
      </c>
      <c r="I28" s="352">
        <f>'Allocation Proforma'!M205+'Allocation Proforma'!M207+'Allocation Proforma'!M212+'Allocation Proforma'!M216+'Allocation Proforma'!M219</f>
        <v>190814.75958740016</v>
      </c>
      <c r="J28" s="352">
        <f>'Allocation Proforma'!M225+'Allocation Proforma'!M228</f>
        <v>556237.51246295532</v>
      </c>
      <c r="K28" s="269">
        <f t="shared" ref="K28:K39" si="7">SUM(E28:J28)</f>
        <v>63823823.941072196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Proforma'!M759</f>
        <v>25780259.789164845</v>
      </c>
      <c r="E29" s="348">
        <f>'Allocation Proforma'!M302</f>
        <v>22276125.729507271</v>
      </c>
      <c r="F29" s="348">
        <v>0</v>
      </c>
      <c r="G29" s="348">
        <f>'Allocation Proforma'!M308</f>
        <v>1485943.8413855894</v>
      </c>
      <c r="H29" s="348">
        <f>'Allocation Proforma'!M314+'Allocation Proforma'!M318+'Allocation Proforma'!M320+'Allocation Proforma'!M325</f>
        <v>1980415.8695557786</v>
      </c>
      <c r="I29" s="348">
        <f>'Allocation Proforma'!M319+'Allocation Proforma'!M321+'Allocation Proforma'!M326+'Allocation Proforma'!M330+'Allocation Proforma'!M333</f>
        <v>37774.348716205735</v>
      </c>
      <c r="J29" s="348">
        <v>0</v>
      </c>
      <c r="K29" s="269">
        <f t="shared" si="7"/>
        <v>25780259.789164845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Proforma'!M764+'Allocation Proforma'!M765</f>
        <v>3540905.8579637688</v>
      </c>
      <c r="E30" s="348">
        <f>'Allocation Proforma'!M417+'Allocation Proforma'!M474+'Allocation Proforma'!M359+'Allocation Proforma'!M531+'Allocation Proforma'!M589</f>
        <v>2637296.6265778616</v>
      </c>
      <c r="F30" s="348">
        <f>'Allocation Proforma'!M356+'Allocation Proforma'!M357+'Allocation Proforma'!M358+'Allocation Proforma'!M414+'Allocation Proforma'!M415+'Allocation Proforma'!M416+'Allocation Proforma'!M471+'Allocation Proforma'!M472+'Allocation Proforma'!M473+'Allocation Proforma'!M528+'Allocation Proforma'!M529+'Allocation Proforma'!M530+'Allocation Proforma'!M586+'Allocation Proforma'!M587+'Allocation Proforma'!M588</f>
        <v>0</v>
      </c>
      <c r="G30" s="348">
        <f>'Allocation Proforma'!M365+'Allocation Proforma'!M423+'Allocation Proforma'!M480+'Allocation Proforma'!M537+'Allocation Proforma'!M595</f>
        <v>406606.24752354098</v>
      </c>
      <c r="H30" s="348">
        <f>'Allocation Proforma'!M371+'Allocation Proforma'!M375+'Allocation Proforma'!M377+'Allocation Proforma'!M382+'Allocation Proforma'!M429+'Allocation Proforma'!M433+'Allocation Proforma'!M435+'Allocation Proforma'!M440+'Allocation Proforma'!M486+'Allocation Proforma'!M490+'Allocation Proforma'!M492+'Allocation Proforma'!M497+'Allocation Proforma'!M543+'Allocation Proforma'!M547+'Allocation Proforma'!M549+'Allocation Proforma'!M554+'Allocation Proforma'!M601+'Allocation Proforma'!M605+'Allocation Proforma'!M607+'Allocation Proforma'!M612</f>
        <v>487679.56403200922</v>
      </c>
      <c r="I30" s="348">
        <f>'Allocation Proforma'!M376+'Allocation Proforma'!M378+'Allocation Proforma'!M383+'Allocation Proforma'!M387+'Allocation Proforma'!M391+'Allocation Proforma'!M434+'Allocation Proforma'!M436+'Allocation Proforma'!M441+'Allocation Proforma'!M445+'Allocation Proforma'!M448+'Allocation Proforma'!M491+'Allocation Proforma'!M493+'Allocation Proforma'!M498+'Allocation Proforma'!M502+'Allocation Proforma'!M505+'Allocation Proforma'!M548+'Allocation Proforma'!M550+'Allocation Proforma'!M555+'Allocation Proforma'!M559+'Allocation Proforma'!M562+'Allocation Proforma'!M606+'Allocation Proforma'!M608+'Allocation Proforma'!M613+'Allocation Proforma'!M617+'Allocation Proforma'!M620</f>
        <v>9323.4198303575904</v>
      </c>
      <c r="J30" s="348">
        <v>0</v>
      </c>
      <c r="K30" s="269">
        <f t="shared" si="7"/>
        <v>3540905.8579637697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Proforma'!M771</f>
        <v>-46588.598109339393</v>
      </c>
      <c r="E31" s="348">
        <f t="shared" ref="E31:J31" si="8">$D$31*(E14/$K$14)</f>
        <v>-33098.265714270921</v>
      </c>
      <c r="F31" s="348">
        <f t="shared" si="8"/>
        <v>-1410.5512979483599</v>
      </c>
      <c r="G31" s="348">
        <f t="shared" si="8"/>
        <v>-5567.1896178451652</v>
      </c>
      <c r="H31" s="348">
        <f t="shared" si="8"/>
        <v>-6367.5304581695927</v>
      </c>
      <c r="I31" s="348">
        <f t="shared" si="8"/>
        <v>-126.86377197527985</v>
      </c>
      <c r="J31" s="348">
        <f t="shared" si="8"/>
        <v>-18.197249130071974</v>
      </c>
      <c r="K31" s="269">
        <f t="shared" si="7"/>
        <v>-46588.598109339386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Proforma'!M934+'Allocation Proforma'!M935</f>
        <v>46669.263395512738</v>
      </c>
      <c r="E36" s="348">
        <f t="shared" ref="E36:J36" si="10">(E14/($D$14)*$D$36)</f>
        <v>33155.573321368633</v>
      </c>
      <c r="F36" s="348">
        <f t="shared" si="10"/>
        <v>1412.993580582496</v>
      </c>
      <c r="G36" s="348">
        <f t="shared" si="10"/>
        <v>5576.8288635389463</v>
      </c>
      <c r="H36" s="348">
        <f t="shared" si="10"/>
        <v>6378.555444699994</v>
      </c>
      <c r="I36" s="348">
        <f t="shared" si="10"/>
        <v>127.08342877730249</v>
      </c>
      <c r="J36" s="348">
        <f t="shared" si="10"/>
        <v>18.22875654536702</v>
      </c>
      <c r="K36" s="269">
        <f t="shared" si="7"/>
        <v>46669.263395512738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 t="e">
        <f>'Allocation Proforma'!#REF!</f>
        <v>#REF!</v>
      </c>
      <c r="E37" s="348" t="e">
        <f>D37</f>
        <v>#REF!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 t="e">
        <f t="shared" si="7"/>
        <v>#REF!</v>
      </c>
      <c r="L37" s="200" t="e">
        <f t="shared" si="9"/>
        <v>#REF!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 t="e">
        <f t="shared" ref="D39:J39" si="11">SUM(D32:D37)</f>
        <v>#REF!</v>
      </c>
      <c r="E39" s="333" t="e">
        <f t="shared" si="11"/>
        <v>#REF!</v>
      </c>
      <c r="F39" s="333">
        <f t="shared" si="11"/>
        <v>1412.993580582496</v>
      </c>
      <c r="G39" s="333">
        <f t="shared" si="11"/>
        <v>5576.8288635389463</v>
      </c>
      <c r="H39" s="333">
        <f t="shared" si="11"/>
        <v>6378.555444699994</v>
      </c>
      <c r="I39" s="333">
        <f t="shared" si="11"/>
        <v>127.08342877730249</v>
      </c>
      <c r="J39" s="333">
        <f t="shared" si="11"/>
        <v>18.22875654536702</v>
      </c>
      <c r="K39" s="269" t="e">
        <f t="shared" si="7"/>
        <v>#REF!</v>
      </c>
      <c r="L39" s="200" t="e">
        <f t="shared" si="9"/>
        <v>#REF!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 t="e">
        <f t="shared" ref="D41:J41" si="12">SUM(D28:D31)+D22+D26+D39+D24</f>
        <v>#REF!</v>
      </c>
      <c r="E41" s="352" t="e">
        <f t="shared" si="12"/>
        <v>#REF!</v>
      </c>
      <c r="F41" s="352">
        <f t="shared" si="12"/>
        <v>46243881.865329482</v>
      </c>
      <c r="G41" s="352">
        <f t="shared" si="12"/>
        <v>8526891.9080078062</v>
      </c>
      <c r="H41" s="352">
        <f t="shared" si="12"/>
        <v>8425297.7416042779</v>
      </c>
      <c r="I41" s="352">
        <f t="shared" si="12"/>
        <v>309014.66014547762</v>
      </c>
      <c r="J41" s="352">
        <f t="shared" si="12"/>
        <v>566436.35165673937</v>
      </c>
      <c r="K41" s="269" t="e">
        <f>SUM(E41:J41)</f>
        <v>#REF!</v>
      </c>
      <c r="L41" s="200" t="e">
        <f>IF(ABS(K41-D41)&lt;0.01,"ok","err")</f>
        <v>#REF!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Proforma'!M700</f>
        <v>-69721.915873396429</v>
      </c>
      <c r="E43" s="294">
        <f>D43</f>
        <v>-69721.915873396429</v>
      </c>
      <c r="F43" s="294"/>
      <c r="G43" s="294"/>
      <c r="H43" s="294"/>
      <c r="I43" s="294"/>
      <c r="J43" s="294"/>
      <c r="K43" s="269">
        <f>SUM(E43:J43)</f>
        <v>-69721.915873396429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Proforma'!M698</f>
        <v>-3934269.0712397015</v>
      </c>
      <c r="E44" s="348">
        <v>0</v>
      </c>
      <c r="F44" s="348">
        <f>D44</f>
        <v>-3934269.0712397015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-3934269.0712397015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Proforma'!M699</f>
        <v>-1233157.9460873907</v>
      </c>
      <c r="E45" s="348">
        <v>0</v>
      </c>
      <c r="F45" s="348">
        <v>0</v>
      </c>
      <c r="G45" s="348">
        <f>D45</f>
        <v>-1233157.9460873907</v>
      </c>
      <c r="H45" s="348">
        <v>0</v>
      </c>
      <c r="I45" s="348">
        <v>0</v>
      </c>
      <c r="J45" s="348">
        <v>0</v>
      </c>
      <c r="K45" s="269">
        <f>SUM(E45:J45)</f>
        <v>-1233157.9460873907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Proforma'!M702-'Allocation Proforma'!M703-'Allocation Proforma'!M704-'Allocation Proforma'!M705</f>
        <v>-434239.34178941569</v>
      </c>
      <c r="E46" s="348">
        <f>-(E14/($D$14)*('Allocation Proforma'!M702+'Allocation Proforma'!M703+'Allocation Proforma'!M704+'Allocation Proforma'!M705))</f>
        <v>-308499.71240613464</v>
      </c>
      <c r="F46" s="348">
        <f>(F14/($D$14)*-('Allocation Proforma'!M702+'Allocation Proforma'!M703+'Allocation Proforma'!M704+'Allocation Proforma'!M705))</f>
        <v>-13147.355620011958</v>
      </c>
      <c r="G46" s="348">
        <f>(G14/($D$14)*-('Allocation Proforma'!M702+'Allocation Proforma'!M703+'Allocation Proforma'!M704+'Allocation Proforma'!M705))</f>
        <v>-51890.223217198072</v>
      </c>
      <c r="H46" s="348">
        <f>(H14/($D$14)*-('Allocation Proforma'!M702+'Allocation Proforma'!M703+'Allocation Proforma'!M704+'Allocation Proforma'!M705))</f>
        <v>-59349.977187343778</v>
      </c>
      <c r="I46" s="348">
        <f>(I14/($D$14)*-('Allocation Proforma'!M702+'Allocation Proforma'!M703+'Allocation Proforma'!M704+'Allocation Proforma'!M705))</f>
        <v>-1182.4618699660887</v>
      </c>
      <c r="J46" s="348">
        <f>(J14/($D$14)*-('Allocation Proforma'!M702+'Allocation Proforma'!M703+'Allocation Proforma'!M704+'Allocation Proforma'!M705))</f>
        <v>-169.61148876116116</v>
      </c>
      <c r="K46" s="269">
        <f>SUM(E46:J46)</f>
        <v>-434239.34178941563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-5671388.2749899039</v>
      </c>
      <c r="E47" s="142">
        <f>SUM(E43:E46)</f>
        <v>-378221.62827953108</v>
      </c>
      <c r="F47" s="142">
        <f t="shared" ref="F47:I47" si="13">SUM(F43:F46)</f>
        <v>-3947416.4268597136</v>
      </c>
      <c r="G47" s="142">
        <f t="shared" si="13"/>
        <v>-1285048.1693045888</v>
      </c>
      <c r="H47" s="142">
        <f t="shared" si="13"/>
        <v>-59349.977187343778</v>
      </c>
      <c r="I47" s="142">
        <f t="shared" si="13"/>
        <v>-1182.4618699660887</v>
      </c>
      <c r="J47" s="142">
        <f>SUM(J43:J46)</f>
        <v>-169.61148876116116</v>
      </c>
      <c r="K47" s="269">
        <f>SUM(E47:J47)</f>
        <v>-5671388.2749899048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59" t="e">
        <f t="shared" ref="D49:J49" si="14">D41+D47</f>
        <v>#REF!</v>
      </c>
      <c r="E49" s="333" t="e">
        <f t="shared" si="14"/>
        <v>#REF!</v>
      </c>
      <c r="F49" s="333">
        <f t="shared" si="14"/>
        <v>42296465.438469768</v>
      </c>
      <c r="G49" s="333">
        <f t="shared" si="14"/>
        <v>7241843.7387032174</v>
      </c>
      <c r="H49" s="333">
        <f t="shared" si="14"/>
        <v>8365947.764416934</v>
      </c>
      <c r="I49" s="333">
        <f t="shared" si="14"/>
        <v>307832.19827551156</v>
      </c>
      <c r="J49" s="333">
        <f t="shared" si="14"/>
        <v>566266.74016797822</v>
      </c>
      <c r="K49" s="269" t="e">
        <f>SUM(E49:J49)</f>
        <v>#REF!</v>
      </c>
      <c r="L49" s="200" t="e">
        <f>IF(ABS(K49-D49)&lt;0.01,"ok","err")</f>
        <v>#REF!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2084830</v>
      </c>
      <c r="F51" s="349">
        <f>'Allocation Proforma'!M964</f>
        <v>1288132009</v>
      </c>
      <c r="G51" s="349">
        <v>2400000</v>
      </c>
      <c r="H51" s="349">
        <f>G51</f>
        <v>2400000</v>
      </c>
      <c r="I51" s="349">
        <f>'Allocation Proforma'!$M$980*12</f>
        <v>6060</v>
      </c>
      <c r="J51" s="349">
        <f>'Allocation Proforma'!$M$980*12</f>
        <v>6060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 t="e">
        <f t="shared" ref="E53:J53" si="15">E49/E51</f>
        <v>#REF!</v>
      </c>
      <c r="F53" s="430">
        <f t="shared" si="15"/>
        <v>3.2835505323173572E-2</v>
      </c>
      <c r="G53" s="351">
        <f t="shared" si="15"/>
        <v>3.0174348911263404</v>
      </c>
      <c r="H53" s="351">
        <f t="shared" si="15"/>
        <v>3.4858115685070556</v>
      </c>
      <c r="I53" s="351">
        <f t="shared" si="15"/>
        <v>50.797392454704877</v>
      </c>
      <c r="J53" s="351">
        <f t="shared" si="15"/>
        <v>93.443356463362747</v>
      </c>
      <c r="K53" s="362">
        <f>I53+J53</f>
        <v>144.24074891806762</v>
      </c>
      <c r="L53" s="212"/>
    </row>
    <row r="55" spans="1:12">
      <c r="D55" s="246"/>
      <c r="F55" s="291"/>
      <c r="J55" s="345" t="s">
        <v>1224</v>
      </c>
      <c r="K55" s="214">
        <f>I53+J53</f>
        <v>144.24074891806762</v>
      </c>
      <c r="L55" s="214">
        <f>ROUND(K55/30.5,2)</f>
        <v>4.7300000000000004</v>
      </c>
    </row>
    <row r="56" spans="1:12">
      <c r="D56" s="246"/>
      <c r="I56" s="19"/>
      <c r="J56" s="345" t="s">
        <v>1242</v>
      </c>
      <c r="K56" s="3" t="e">
        <f>E53+G53+H53</f>
        <v>#REF!</v>
      </c>
    </row>
    <row r="57" spans="1:12">
      <c r="J57" s="345" t="s">
        <v>1243</v>
      </c>
      <c r="K57" s="8">
        <f>F53</f>
        <v>3.2835505323173572E-2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12"/>
    </row>
    <row r="61" spans="1:12">
      <c r="J61" s="338"/>
      <c r="K61" s="3"/>
    </row>
    <row r="65" spans="5:6">
      <c r="E65" s="264"/>
      <c r="F65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N65"/>
  <sheetViews>
    <sheetView view="pageBreakPreview" topLeftCell="A13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572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Proforma'!N176</f>
        <v>145201940.52601016</v>
      </c>
      <c r="E14" s="333">
        <f>'Allocation Proforma'!N125+'Allocation Proforma'!N126+'Allocation Proforma'!N127</f>
        <v>119465139.07929438</v>
      </c>
      <c r="F14" s="333">
        <f>'Allocation Proforma'!N128</f>
        <v>7018768.0220372546</v>
      </c>
      <c r="G14" s="333">
        <f>'Allocation Proforma'!N137</f>
        <v>18443622.26605536</v>
      </c>
      <c r="H14" s="333">
        <f>'Allocation Proforma'!N147+'Allocation Proforma'!N149+'Allocation Proforma'!N154+'Allocation Proforma'!N143</f>
        <v>0</v>
      </c>
      <c r="I14" s="333">
        <f>'Allocation Proforma'!N148+'Allocation Proforma'!N150+'Allocation Proforma'!N155+'Allocation Proforma'!N159+'Allocation Proforma'!N162+'Allocation Proforma'!N165</f>
        <v>271435.19067788246</v>
      </c>
      <c r="J14" s="333">
        <f>'Allocation Proforma'!N168+'Allocation Proforma'!N171</f>
        <v>2975.967945287055</v>
      </c>
      <c r="K14" s="269">
        <f>SUM(E14:J14)</f>
        <v>145201940.52601016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145201940.52601016</v>
      </c>
      <c r="E16" s="333">
        <f t="shared" ref="E16:K16" si="1">E14+E15</f>
        <v>119465139.07929438</v>
      </c>
      <c r="F16" s="333">
        <f t="shared" si="1"/>
        <v>7018768.0220372546</v>
      </c>
      <c r="G16" s="333">
        <f t="shared" si="1"/>
        <v>18443622.26605536</v>
      </c>
      <c r="H16" s="333">
        <f t="shared" si="1"/>
        <v>0</v>
      </c>
      <c r="I16" s="333">
        <f t="shared" si="1"/>
        <v>271435.19067788246</v>
      </c>
      <c r="J16" s="333">
        <f t="shared" si="1"/>
        <v>2975.967945287055</v>
      </c>
      <c r="K16" s="269">
        <f t="shared" si="1"/>
        <v>145201940.52601016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Proforma'!N946</f>
        <v>9.752735966853808E-2</v>
      </c>
      <c r="E18" s="335">
        <f t="shared" ref="E18:J18" si="2">D18</f>
        <v>9.752735966853808E-2</v>
      </c>
      <c r="F18" s="335">
        <f t="shared" si="2"/>
        <v>9.752735966853808E-2</v>
      </c>
      <c r="G18" s="335">
        <f t="shared" si="2"/>
        <v>9.752735966853808E-2</v>
      </c>
      <c r="H18" s="335">
        <f t="shared" si="2"/>
        <v>9.752735966853808E-2</v>
      </c>
      <c r="I18" s="335">
        <f t="shared" si="2"/>
        <v>9.752735966853808E-2</v>
      </c>
      <c r="J18" s="335">
        <f t="shared" si="2"/>
        <v>9.752735966853808E-2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14161161.878249869</v>
      </c>
      <c r="E20" s="352">
        <f t="shared" ref="E20:J20" si="3">E18*E16</f>
        <v>11651119.586838268</v>
      </c>
      <c r="F20" s="352">
        <f t="shared" si="3"/>
        <v>684521.9133152609</v>
      </c>
      <c r="G20" s="352">
        <f t="shared" si="3"/>
        <v>1798757.7823322385</v>
      </c>
      <c r="H20" s="352">
        <f t="shared" si="3"/>
        <v>0</v>
      </c>
      <c r="I20" s="352">
        <f t="shared" si="3"/>
        <v>26472.357467940059</v>
      </c>
      <c r="J20" s="352">
        <f t="shared" si="3"/>
        <v>290.23829616205086</v>
      </c>
      <c r="K20" s="269">
        <f>SUM(E20:J20)</f>
        <v>14161161.878249869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Proforma'!N738</f>
        <v>3119065.6699630455</v>
      </c>
      <c r="E22" s="352">
        <f t="shared" ref="E22:J22" si="4">(E14/$D$14)*$D$22</f>
        <v>2566216.4893232957</v>
      </c>
      <c r="F22" s="352">
        <f t="shared" si="4"/>
        <v>150769.32376843336</v>
      </c>
      <c r="G22" s="352">
        <f t="shared" si="4"/>
        <v>396185.26330586104</v>
      </c>
      <c r="H22" s="352">
        <f t="shared" si="4"/>
        <v>0</v>
      </c>
      <c r="I22" s="352">
        <f t="shared" si="4"/>
        <v>5830.6671508401769</v>
      </c>
      <c r="J22" s="352">
        <f t="shared" si="4"/>
        <v>63.926414615599299</v>
      </c>
      <c r="K22" s="269">
        <f>SUM(E22:J22)</f>
        <v>3119065.6699630455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11042096.208286824</v>
      </c>
      <c r="E24" s="352">
        <f t="shared" ref="E24:J24" si="5">E20-E22</f>
        <v>9084903.0975149721</v>
      </c>
      <c r="F24" s="352">
        <f t="shared" si="5"/>
        <v>533752.5895468276</v>
      </c>
      <c r="G24" s="352">
        <f t="shared" si="5"/>
        <v>1402572.5190263775</v>
      </c>
      <c r="H24" s="352">
        <f t="shared" si="5"/>
        <v>0</v>
      </c>
      <c r="I24" s="352">
        <f t="shared" si="5"/>
        <v>20641.690317099881</v>
      </c>
      <c r="J24" s="352">
        <f t="shared" si="5"/>
        <v>226.31188154645156</v>
      </c>
      <c r="K24" s="269">
        <f>SUM(E24:J24)</f>
        <v>11042096.208286824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Proforma'!N767+'Allocation Proforma'!N937</f>
        <v>2229685.3882789644</v>
      </c>
      <c r="E26" s="352">
        <f t="shared" ref="E26:J26" si="6">$D$26*(E24/$K$24)</f>
        <v>1834477.3771539363</v>
      </c>
      <c r="F26" s="352">
        <f t="shared" si="6"/>
        <v>107778.48040985913</v>
      </c>
      <c r="G26" s="352">
        <f t="shared" si="6"/>
        <v>283215.74026205053</v>
      </c>
      <c r="H26" s="352">
        <f t="shared" si="6"/>
        <v>0</v>
      </c>
      <c r="I26" s="352">
        <f t="shared" si="6"/>
        <v>4168.0922191998961</v>
      </c>
      <c r="J26" s="352">
        <f t="shared" si="6"/>
        <v>45.698233918605929</v>
      </c>
      <c r="K26" s="269">
        <f>SUM(E26:J26)</f>
        <v>2229685.3882789649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Proforma'!N758</f>
        <v>44243907.921961434</v>
      </c>
      <c r="E28" s="352">
        <f>'Allocation Proforma'!N182+'Allocation Proforma'!N183+'Allocation Proforma'!N184</f>
        <v>6659233.9196911594</v>
      </c>
      <c r="F28" s="352">
        <f>'Allocation Proforma'!N185</f>
        <v>35601403.112511456</v>
      </c>
      <c r="G28" s="352">
        <f>'Allocation Proforma'!N194</f>
        <v>1832568.4802692791</v>
      </c>
      <c r="H28" s="352">
        <f>'Allocation Proforma'!N200+'Allocation Proforma'!N204+'Allocation Proforma'!N206+'Allocation Proforma'!N211</f>
        <v>0</v>
      </c>
      <c r="I28" s="352">
        <f>'Allocation Proforma'!N205+'Allocation Proforma'!N207+'Allocation Proforma'!N212+'Allocation Proforma'!N216+'Allocation Proforma'!N219</f>
        <v>136383.57938523268</v>
      </c>
      <c r="J28" s="352">
        <f>'Allocation Proforma'!N225+'Allocation Proforma'!N228</f>
        <v>14318.83010430769</v>
      </c>
      <c r="K28" s="269">
        <f t="shared" ref="K28:K39" si="7">SUM(E28:J28)</f>
        <v>44243907.921961434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Proforma'!N759</f>
        <v>13442574.156425172</v>
      </c>
      <c r="E29" s="348">
        <f>'Allocation Proforma'!N302</f>
        <v>12656251.061032001</v>
      </c>
      <c r="F29" s="348">
        <v>0</v>
      </c>
      <c r="G29" s="348">
        <f>'Allocation Proforma'!N308</f>
        <v>774893.58906348678</v>
      </c>
      <c r="H29" s="348">
        <f>'Allocation Proforma'!N314+'Allocation Proforma'!N318+'Allocation Proforma'!N320+'Allocation Proforma'!N325</f>
        <v>0</v>
      </c>
      <c r="I29" s="348">
        <f>'Allocation Proforma'!N319+'Allocation Proforma'!N321+'Allocation Proforma'!N326+'Allocation Proforma'!N330+'Allocation Proforma'!N333</f>
        <v>11429.506329685308</v>
      </c>
      <c r="J29" s="348">
        <v>0</v>
      </c>
      <c r="K29" s="269">
        <f t="shared" si="7"/>
        <v>13442574.156425172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Proforma'!N764+'Allocation Proforma'!N765</f>
        <v>1713258.828091623</v>
      </c>
      <c r="E30" s="348">
        <f>'Allocation Proforma'!N417+'Allocation Proforma'!N474+'Allocation Proforma'!N359+'Allocation Proforma'!N531+'Allocation Proforma'!N589</f>
        <v>1498388.392743215</v>
      </c>
      <c r="F30" s="348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348">
        <f>'Allocation Proforma'!N365+'Allocation Proforma'!N423+'Allocation Proforma'!N480+'Allocation Proforma'!N537+'Allocation Proforma'!N595</f>
        <v>212038.00958275486</v>
      </c>
      <c r="H30" s="348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0</v>
      </c>
      <c r="I30" s="348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2832.4257656533341</v>
      </c>
      <c r="J30" s="348">
        <v>0</v>
      </c>
      <c r="K30" s="269">
        <f t="shared" si="7"/>
        <v>1713258.8280916233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Proforma'!N771</f>
        <v>-36490.609061882729</v>
      </c>
      <c r="E31" s="348">
        <f t="shared" ref="E31:J31" si="8">$D$31*(E14/$K$14)</f>
        <v>-30022.709551082651</v>
      </c>
      <c r="F31" s="348">
        <f t="shared" si="8"/>
        <v>-1763.8822116315071</v>
      </c>
      <c r="G31" s="348">
        <f t="shared" si="8"/>
        <v>-4635.0552021383164</v>
      </c>
      <c r="H31" s="348">
        <f t="shared" si="8"/>
        <v>0</v>
      </c>
      <c r="I31" s="348">
        <f t="shared" si="8"/>
        <v>-68.214208383048032</v>
      </c>
      <c r="J31" s="348">
        <f t="shared" si="8"/>
        <v>-0.74788864720930937</v>
      </c>
      <c r="K31" s="269">
        <f t="shared" si="7"/>
        <v>-36490.609061882729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Proforma'!N934+'Allocation Proforma'!N935</f>
        <v>29378.05115284257</v>
      </c>
      <c r="E36" s="348">
        <f t="shared" ref="E36:J36" si="10">(E14/($D$14)*$D$36)</f>
        <v>24170.840652258881</v>
      </c>
      <c r="F36" s="348">
        <f t="shared" si="10"/>
        <v>1420.0755529462758</v>
      </c>
      <c r="G36" s="348">
        <f t="shared" si="10"/>
        <v>3731.6145804457806</v>
      </c>
      <c r="H36" s="348">
        <f t="shared" si="10"/>
        <v>0</v>
      </c>
      <c r="I36" s="348">
        <f t="shared" si="10"/>
        <v>54.918253072437253</v>
      </c>
      <c r="J36" s="348">
        <f t="shared" si="10"/>
        <v>0.60211411919940427</v>
      </c>
      <c r="K36" s="269">
        <f t="shared" si="7"/>
        <v>29378.051152842574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8">
        <f>D37</f>
        <v>0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1">SUM(D32:D37)</f>
        <v>29378.05115284257</v>
      </c>
      <c r="E39" s="333">
        <f t="shared" si="11"/>
        <v>24170.840652258881</v>
      </c>
      <c r="F39" s="333">
        <f t="shared" si="11"/>
        <v>1420.0755529462758</v>
      </c>
      <c r="G39" s="333">
        <f t="shared" si="11"/>
        <v>3731.6145804457806</v>
      </c>
      <c r="H39" s="333">
        <f t="shared" si="11"/>
        <v>0</v>
      </c>
      <c r="I39" s="333">
        <f t="shared" si="11"/>
        <v>54.918253072437253</v>
      </c>
      <c r="J39" s="333">
        <f t="shared" si="11"/>
        <v>0.60211411919940427</v>
      </c>
      <c r="K39" s="269">
        <f t="shared" si="7"/>
        <v>29378.051152842574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2">SUM(D28:D31)+D22+D26+D39+D24</f>
        <v>75783475.615098014</v>
      </c>
      <c r="E41" s="352">
        <f t="shared" si="12"/>
        <v>34293618.468559757</v>
      </c>
      <c r="F41" s="352">
        <f t="shared" si="12"/>
        <v>36393359.699577898</v>
      </c>
      <c r="G41" s="352">
        <f t="shared" si="12"/>
        <v>4900570.1608881177</v>
      </c>
      <c r="H41" s="352">
        <f t="shared" si="12"/>
        <v>0</v>
      </c>
      <c r="I41" s="352">
        <f t="shared" si="12"/>
        <v>181272.66521240067</v>
      </c>
      <c r="J41" s="352">
        <f t="shared" si="12"/>
        <v>14654.620859860337</v>
      </c>
      <c r="K41" s="269">
        <f>SUM(E41:J41)</f>
        <v>75783475.615098044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Proforma'!N700</f>
        <v>-39612.726309090365</v>
      </c>
      <c r="E43" s="294">
        <f>D43</f>
        <v>-39612.726309090365</v>
      </c>
      <c r="F43" s="294"/>
      <c r="G43" s="294"/>
      <c r="H43" s="294"/>
      <c r="I43" s="294"/>
      <c r="J43" s="294"/>
      <c r="K43" s="269">
        <f>SUM(E43:J43)</f>
        <v>-39612.726309090365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Proforma'!N698</f>
        <v>-3081523.8158901553</v>
      </c>
      <c r="E44" s="348">
        <v>0</v>
      </c>
      <c r="F44" s="348">
        <f>D44</f>
        <v>-3081523.8158901553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-3081523.8158901553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Proforma'!N699</f>
        <v>-643070.1888671543</v>
      </c>
      <c r="E45" s="348">
        <v>0</v>
      </c>
      <c r="F45" s="348">
        <v>0</v>
      </c>
      <c r="G45" s="348">
        <f>D45</f>
        <v>-643070.1888671543</v>
      </c>
      <c r="H45" s="348">
        <v>0</v>
      </c>
      <c r="I45" s="348">
        <v>0</v>
      </c>
      <c r="J45" s="348">
        <v>0</v>
      </c>
      <c r="K45" s="269">
        <f>SUM(E45:J45)</f>
        <v>-643070.1888671543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Proforma'!N702-'Allocation Proforma'!N703-'Allocation Proforma'!N704-'Allocation Proforma'!N705</f>
        <v>-188724.87841630759</v>
      </c>
      <c r="E46" s="348">
        <f>-(E14/($D$14)*('Allocation Proforma'!N702+'Allocation Proforma'!N703+'Allocation Proforma'!N704+'Allocation Proforma'!N705))</f>
        <v>-155273.70891912025</v>
      </c>
      <c r="F46" s="348">
        <f>(F14/($D$14)*-('Allocation Proforma'!N702+'Allocation Proforma'!N703+'Allocation Proforma'!N704+'Allocation Proforma'!N705))</f>
        <v>-9122.5787809217945</v>
      </c>
      <c r="G46" s="348">
        <f>(G14/($D$14)*-('Allocation Proforma'!N702+'Allocation Proforma'!N703+'Allocation Proforma'!N704+'Allocation Proforma'!N705))</f>
        <v>-23971.927352403996</v>
      </c>
      <c r="H46" s="348">
        <f>(H14/($D$14)*-('Allocation Proforma'!N702+'Allocation Proforma'!N703+'Allocation Proforma'!N704+'Allocation Proforma'!N705))</f>
        <v>0</v>
      </c>
      <c r="I46" s="348">
        <f>(I14/($D$14)*-('Allocation Proforma'!N702+'Allocation Proforma'!N703+'Allocation Proforma'!N704+'Allocation Proforma'!N705))</f>
        <v>-352.7953770660136</v>
      </c>
      <c r="J46" s="348">
        <f>(J14/($D$14)*-('Allocation Proforma'!N702+'Allocation Proforma'!N703+'Allocation Proforma'!N704+'Allocation Proforma'!N705))</f>
        <v>-3.867986795565733</v>
      </c>
      <c r="K46" s="269">
        <f>SUM(E46:J46)</f>
        <v>-188724.87841630762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-3952931.6094827079</v>
      </c>
      <c r="E47" s="142">
        <f>SUM(E43:E46)</f>
        <v>-194886.43522821061</v>
      </c>
      <c r="F47" s="142">
        <f t="shared" ref="F47:I47" si="13">SUM(F43:F46)</f>
        <v>-3090646.3946710769</v>
      </c>
      <c r="G47" s="142">
        <f t="shared" si="13"/>
        <v>-667042.11621955829</v>
      </c>
      <c r="H47" s="142">
        <f t="shared" si="13"/>
        <v>0</v>
      </c>
      <c r="I47" s="142">
        <f t="shared" si="13"/>
        <v>-352.7953770660136</v>
      </c>
      <c r="J47" s="142">
        <f>SUM(J43:J46)</f>
        <v>-3.867986795565733</v>
      </c>
      <c r="K47" s="269">
        <f>SUM(E47:J47)</f>
        <v>-3952931.609482707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Proforma'!I926-SUM('Allocation Proforma'!H699:I705)-'Allocation Proforma'!#REF!-'Allocation Proforma'!I920-'Allocation Proforma'!I924</f>
        <v>#REF!</v>
      </c>
      <c r="D49" s="259">
        <f t="shared" ref="D49:J49" si="14">D41+D47</f>
        <v>71830544.005615309</v>
      </c>
      <c r="E49" s="333">
        <f t="shared" si="14"/>
        <v>34098732.033331543</v>
      </c>
      <c r="F49" s="333">
        <f t="shared" si="14"/>
        <v>33302713.304906823</v>
      </c>
      <c r="G49" s="333">
        <f t="shared" si="14"/>
        <v>4233528.044668559</v>
      </c>
      <c r="H49" s="333">
        <f t="shared" si="14"/>
        <v>0</v>
      </c>
      <c r="I49" s="333">
        <f t="shared" si="14"/>
        <v>180919.86983533466</v>
      </c>
      <c r="J49" s="333">
        <f t="shared" si="14"/>
        <v>14650.752873064772</v>
      </c>
      <c r="K49" s="269">
        <f>SUM(E49:J49)</f>
        <v>71830544.005615309</v>
      </c>
      <c r="L49" s="200" t="str">
        <f>IF(ABS(K49-D49)&lt;0.01,"ok","err")</f>
        <v>ok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112370.54515797552</v>
      </c>
      <c r="F51" s="349">
        <f>'Allocation Proforma'!N964</f>
        <v>1050890542</v>
      </c>
      <c r="G51" s="349">
        <f>E51</f>
        <v>112370.54515797552</v>
      </c>
      <c r="H51" s="349">
        <f>E51</f>
        <v>112370.54515797552</v>
      </c>
      <c r="I51" s="349">
        <f>'Allocation Proforma'!$N$980*12</f>
        <v>156</v>
      </c>
      <c r="J51" s="349">
        <f>'Allocation Proforma'!$N$980*12</f>
        <v>156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>
        <f t="shared" ref="E53:J53" si="15">E49/E51</f>
        <v>303.44902203147655</v>
      </c>
      <c r="F53" s="430">
        <f t="shared" si="15"/>
        <v>3.1689992414934899E-2</v>
      </c>
      <c r="G53" s="351">
        <f t="shared" si="15"/>
        <v>37.674713055070406</v>
      </c>
      <c r="H53" s="351">
        <f t="shared" si="15"/>
        <v>0</v>
      </c>
      <c r="I53" s="351">
        <f t="shared" si="15"/>
        <v>1159.7427553547093</v>
      </c>
      <c r="J53" s="351">
        <f t="shared" si="15"/>
        <v>93.915082519645978</v>
      </c>
      <c r="K53" s="362">
        <f>I53+J53</f>
        <v>1253.6578378743552</v>
      </c>
      <c r="L53" s="212"/>
    </row>
    <row r="55" spans="1:12">
      <c r="D55" s="246"/>
      <c r="F55" s="291"/>
      <c r="J55" s="345" t="s">
        <v>1224</v>
      </c>
      <c r="K55" s="214">
        <f>I53+J53</f>
        <v>1253.6578378743552</v>
      </c>
      <c r="L55">
        <f>ROUND(K55/30.5,2)</f>
        <v>41.1</v>
      </c>
    </row>
    <row r="56" spans="1:12">
      <c r="D56" s="246"/>
      <c r="I56" s="19"/>
      <c r="J56" s="345" t="s">
        <v>1242</v>
      </c>
      <c r="K56" s="3">
        <f>E53+G53+H53</f>
        <v>341.12373508654696</v>
      </c>
    </row>
    <row r="57" spans="1:12">
      <c r="J57" s="345" t="s">
        <v>1243</v>
      </c>
      <c r="K57" s="8">
        <f>F53</f>
        <v>3.1689992414934899E-2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12"/>
    </row>
    <row r="61" spans="1:12">
      <c r="J61" s="338"/>
      <c r="K61" s="3"/>
    </row>
    <row r="65" spans="5:5">
      <c r="E65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90"/>
  <sheetViews>
    <sheetView topLeftCell="A7" zoomScale="75" zoomScaleNormal="75" workbookViewId="0">
      <selection activeCell="F28" sqref="F28"/>
    </sheetView>
  </sheetViews>
  <sheetFormatPr defaultColWidth="9.15625" defaultRowHeight="14.1"/>
  <cols>
    <col min="1" max="1" width="9.15625" style="91"/>
    <col min="2" max="2" width="56.578125" style="91" customWidth="1"/>
    <col min="3" max="3" width="13.15625" bestFit="1" customWidth="1"/>
    <col min="4" max="4" width="13.15625" customWidth="1"/>
    <col min="5" max="6" width="13.68359375" style="91" bestFit="1" customWidth="1"/>
    <col min="7" max="7" width="16.15625" style="91" bestFit="1" customWidth="1"/>
    <col min="8" max="8" width="14.83984375" style="91" customWidth="1"/>
    <col min="9" max="13" width="9.15625" style="91"/>
    <col min="14" max="14" width="17.26171875" style="91" customWidth="1"/>
    <col min="15" max="15" width="13" style="91" customWidth="1"/>
    <col min="16" max="16384" width="9.15625" style="91"/>
  </cols>
  <sheetData>
    <row r="1" spans="1:22">
      <c r="A1" s="90" t="s">
        <v>597</v>
      </c>
    </row>
    <row r="2" spans="1:22">
      <c r="A2" s="91" t="s">
        <v>665</v>
      </c>
    </row>
    <row r="5" spans="1:22" ht="12.6">
      <c r="C5" s="92" t="s">
        <v>1305</v>
      </c>
      <c r="D5" s="92" t="s">
        <v>1306</v>
      </c>
      <c r="E5" s="92" t="s">
        <v>1307</v>
      </c>
      <c r="F5" s="92" t="s">
        <v>1308</v>
      </c>
    </row>
    <row r="6" spans="1:22" ht="12.6">
      <c r="C6" s="92" t="s">
        <v>143</v>
      </c>
      <c r="D6" s="92" t="s">
        <v>143</v>
      </c>
      <c r="E6" s="92" t="s">
        <v>1195</v>
      </c>
      <c r="F6" s="92" t="s">
        <v>1195</v>
      </c>
      <c r="G6" s="104" t="s">
        <v>846</v>
      </c>
      <c r="H6" s="90"/>
    </row>
    <row r="7" spans="1:22" ht="12.6">
      <c r="C7" s="105" t="s">
        <v>1179</v>
      </c>
      <c r="D7" s="105" t="s">
        <v>1179</v>
      </c>
      <c r="E7" s="105" t="s">
        <v>806</v>
      </c>
      <c r="F7" s="105" t="s">
        <v>806</v>
      </c>
      <c r="G7" s="104" t="s">
        <v>143</v>
      </c>
      <c r="H7" s="104" t="s">
        <v>848</v>
      </c>
    </row>
    <row r="8" spans="1:22" ht="12.9" thickBot="1">
      <c r="C8" s="96" t="s">
        <v>144</v>
      </c>
      <c r="D8" s="96" t="s">
        <v>144</v>
      </c>
      <c r="E8" s="96" t="s">
        <v>142</v>
      </c>
      <c r="F8" s="96" t="s">
        <v>142</v>
      </c>
      <c r="G8" s="106" t="s">
        <v>144</v>
      </c>
      <c r="H8" s="106" t="s">
        <v>656</v>
      </c>
    </row>
    <row r="9" spans="1:22">
      <c r="E9" s="89"/>
      <c r="F9" s="89"/>
      <c r="H9" s="97"/>
    </row>
    <row r="10" spans="1:22">
      <c r="A10" s="31" t="s">
        <v>1165</v>
      </c>
      <c r="C10" s="237">
        <v>69.784971799999994</v>
      </c>
      <c r="D10" s="237">
        <v>148.78497179999999</v>
      </c>
      <c r="E10" s="376">
        <f>'Billing Det'!B8-F10</f>
        <v>376669.05273972603</v>
      </c>
      <c r="F10" s="376">
        <v>0</v>
      </c>
      <c r="G10" s="385">
        <f>(C10*E10)+(D10*F10)</f>
        <v>26285839.22337449</v>
      </c>
      <c r="H10" s="98">
        <f>G10/$G$42</f>
        <v>0.68186317292471232</v>
      </c>
    </row>
    <row r="11" spans="1:22">
      <c r="C11" s="238"/>
      <c r="D11" s="238"/>
      <c r="E11" s="376"/>
      <c r="F11" s="376"/>
      <c r="G11" s="385"/>
      <c r="H11" s="98"/>
      <c r="Q11" s="90"/>
      <c r="R11" s="90"/>
      <c r="S11" s="90"/>
      <c r="T11" s="90"/>
      <c r="U11" s="90"/>
      <c r="V11" s="90"/>
    </row>
    <row r="12" spans="1:22">
      <c r="A12" s="31" t="s">
        <v>1403</v>
      </c>
      <c r="C12" s="455">
        <f>C10</f>
        <v>69.784971799999994</v>
      </c>
      <c r="D12" s="455">
        <f>D10</f>
        <v>148.78497179999999</v>
      </c>
      <c r="E12" s="376">
        <f>'Billing Det'!B10-F12</f>
        <v>929.75</v>
      </c>
      <c r="F12" s="376"/>
      <c r="G12" s="385">
        <f>(C12*E12)+(D12*F12)</f>
        <v>64882.577531049996</v>
      </c>
      <c r="H12" s="98">
        <f>G12/$G$42</f>
        <v>1.6830750506726976E-3</v>
      </c>
      <c r="Q12" s="90"/>
      <c r="R12" s="90"/>
      <c r="S12" s="90"/>
      <c r="T12" s="90"/>
      <c r="U12" s="90"/>
      <c r="V12" s="90"/>
    </row>
    <row r="13" spans="1:22">
      <c r="C13" s="238"/>
      <c r="D13" s="238"/>
      <c r="E13" s="376"/>
      <c r="F13" s="376"/>
      <c r="G13" s="385"/>
      <c r="H13" s="98"/>
      <c r="Q13" s="90"/>
      <c r="R13" s="90"/>
      <c r="S13" s="90"/>
      <c r="T13" s="90"/>
      <c r="U13" s="90"/>
      <c r="V13" s="90"/>
    </row>
    <row r="14" spans="1:22">
      <c r="A14" s="179" t="s">
        <v>1218</v>
      </c>
      <c r="C14" s="237">
        <f>(28784/(28784+16576))*88.95+(16576/(28784+16576))*339.47</f>
        <v>180.49804938271606</v>
      </c>
      <c r="D14" s="237">
        <f>(28784/(28784+16576))*165.42+(16576/(28784+16576))*386.49</f>
        <v>246.20607407407408</v>
      </c>
      <c r="E14" s="376">
        <f>'Billing Det'!B12-F14</f>
        <v>45359.323287671228</v>
      </c>
      <c r="F14" s="376">
        <v>0</v>
      </c>
      <c r="G14" s="385">
        <f>(C14*E14)+(D14*F14)</f>
        <v>8187269.3747446639</v>
      </c>
      <c r="H14" s="98">
        <f>G14/$G$42</f>
        <v>0.21238041616295206</v>
      </c>
      <c r="Q14" s="90"/>
      <c r="R14" s="90"/>
      <c r="S14" s="90"/>
      <c r="T14" s="90"/>
      <c r="U14" s="90"/>
      <c r="V14" s="90"/>
    </row>
    <row r="15" spans="1:22">
      <c r="C15" s="238"/>
      <c r="D15" s="238"/>
      <c r="E15" s="376"/>
      <c r="F15" s="376"/>
      <c r="G15" s="385"/>
      <c r="H15" s="98"/>
      <c r="I15" s="90"/>
      <c r="J15" s="90"/>
      <c r="K15" s="90"/>
      <c r="L15" s="90"/>
    </row>
    <row r="16" spans="1:22">
      <c r="A16" s="215" t="s">
        <v>1097</v>
      </c>
      <c r="C16" s="237">
        <v>3823.0146610129336</v>
      </c>
      <c r="D16" s="237">
        <v>3869.704801858004</v>
      </c>
      <c r="E16" s="376">
        <f>'Billing Det'!B14-F16</f>
        <v>70</v>
      </c>
      <c r="F16" s="376">
        <v>0</v>
      </c>
      <c r="G16" s="385">
        <f>(C16*E16)+(D16*F16)</f>
        <v>267611.02627090533</v>
      </c>
      <c r="H16" s="98">
        <f>G16/$G$42</f>
        <v>6.9419165936484275E-3</v>
      </c>
    </row>
    <row r="17" spans="1:8">
      <c r="C17" s="238"/>
      <c r="D17" s="238"/>
      <c r="E17" s="376"/>
      <c r="F17" s="376"/>
      <c r="G17" s="385"/>
      <c r="H17" s="98"/>
    </row>
    <row r="18" spans="1:8">
      <c r="A18" s="215" t="s">
        <v>1098</v>
      </c>
      <c r="C18" s="237">
        <v>822.86947344050952</v>
      </c>
      <c r="D18" s="237">
        <v>869.75028434578735</v>
      </c>
      <c r="E18" s="376">
        <f>'Billing Det'!B16-F18</f>
        <v>2782.3972602739727</v>
      </c>
      <c r="F18" s="376">
        <v>0</v>
      </c>
      <c r="G18" s="385">
        <f>(C18*E18)+(D18*F18)</f>
        <v>2289549.7684639604</v>
      </c>
      <c r="H18" s="98">
        <f>G18/$G$42</f>
        <v>5.9391661663426243E-2</v>
      </c>
    </row>
    <row r="19" spans="1:8">
      <c r="C19" s="238"/>
      <c r="D19" s="238"/>
      <c r="E19" s="376"/>
      <c r="F19" s="376"/>
      <c r="G19" s="385"/>
      <c r="H19" s="98"/>
    </row>
    <row r="20" spans="1:8">
      <c r="A20" s="215" t="s">
        <v>1219</v>
      </c>
      <c r="C20" s="237">
        <v>4061.9125422969328</v>
      </c>
      <c r="D20" s="237">
        <v>0</v>
      </c>
      <c r="E20" s="376">
        <f>'Billing Det'!B18-F20</f>
        <v>131.59452054794519</v>
      </c>
      <c r="F20" s="376">
        <v>0</v>
      </c>
      <c r="G20" s="385">
        <f>(C20*E20)+(D20*F20)</f>
        <v>534525.43351125007</v>
      </c>
      <c r="H20" s="98">
        <f>G20/$G$42</f>
        <v>1.3865762664287819E-2</v>
      </c>
    </row>
    <row r="21" spans="1:8">
      <c r="C21" s="237"/>
      <c r="D21" s="237"/>
      <c r="E21" s="376"/>
      <c r="F21" s="376"/>
      <c r="G21" s="385"/>
      <c r="H21" s="98"/>
    </row>
    <row r="22" spans="1:8">
      <c r="A22" s="215" t="s">
        <v>1196</v>
      </c>
      <c r="C22" s="237">
        <v>896.28693240468874</v>
      </c>
      <c r="D22" s="237">
        <v>0</v>
      </c>
      <c r="E22" s="376">
        <f>'Billing Det'!B20-F22</f>
        <v>505.00547945205477</v>
      </c>
      <c r="F22" s="376">
        <v>0</v>
      </c>
      <c r="G22" s="385">
        <f>(C22*E22)+(D22*F22)</f>
        <v>452629.81202564127</v>
      </c>
      <c r="H22" s="98">
        <f>G22/$G$42</f>
        <v>1.1741363749713249E-2</v>
      </c>
    </row>
    <row r="23" spans="1:8">
      <c r="C23" s="238"/>
      <c r="D23" s="238"/>
      <c r="E23" s="376"/>
      <c r="F23" s="376"/>
      <c r="G23" s="385"/>
      <c r="H23" s="98"/>
    </row>
    <row r="24" spans="1:8">
      <c r="A24" s="215" t="s">
        <v>1099</v>
      </c>
      <c r="C24" s="237">
        <v>29057.394848745451</v>
      </c>
      <c r="D24" s="237">
        <v>0</v>
      </c>
      <c r="E24" s="376">
        <f>'Billing Det'!B22-F24</f>
        <v>13</v>
      </c>
      <c r="F24" s="380">
        <v>0</v>
      </c>
      <c r="G24" s="385">
        <f>(C24*E24)+(D24*F24)</f>
        <v>377746.13303369086</v>
      </c>
      <c r="H24" s="98">
        <f>G24/$G$42</f>
        <v>9.7988568917879437E-3</v>
      </c>
    </row>
    <row r="25" spans="1:8">
      <c r="C25" s="238"/>
      <c r="D25" s="238"/>
      <c r="E25" s="376"/>
      <c r="F25" s="376"/>
      <c r="G25" s="385"/>
      <c r="H25" s="98"/>
    </row>
    <row r="26" spans="1:8">
      <c r="A26" s="215" t="s">
        <v>572</v>
      </c>
      <c r="C26" s="237">
        <f>C20</f>
        <v>4061.9125422969328</v>
      </c>
      <c r="D26" s="237">
        <f>D20</f>
        <v>0</v>
      </c>
      <c r="E26" s="376">
        <f>'Billing Det'!B24-F26</f>
        <v>2</v>
      </c>
      <c r="F26" s="376">
        <v>0</v>
      </c>
      <c r="G26" s="385">
        <f>(C26*E26)+(D26*F26)</f>
        <v>8123.8250845938655</v>
      </c>
      <c r="H26" s="98">
        <f>G26/$G$42</f>
        <v>2.1073465075220914E-4</v>
      </c>
    </row>
    <row r="27" spans="1:8">
      <c r="C27" s="238"/>
      <c r="D27" s="238"/>
      <c r="E27" s="376"/>
      <c r="F27" s="376"/>
      <c r="G27" s="385"/>
      <c r="H27" s="98"/>
    </row>
    <row r="28" spans="1:8">
      <c r="A28" s="179" t="s">
        <v>1178</v>
      </c>
      <c r="C28" s="237">
        <v>0</v>
      </c>
      <c r="D28" s="237">
        <v>0</v>
      </c>
      <c r="E28" s="376">
        <f>'Billing Det'!B26-F28</f>
        <v>91009</v>
      </c>
      <c r="F28" s="376">
        <v>0</v>
      </c>
      <c r="G28" s="385">
        <f>(C28*E28)+(D28*F28)</f>
        <v>0</v>
      </c>
      <c r="H28" s="98">
        <f>G28/$G$42</f>
        <v>0</v>
      </c>
    </row>
    <row r="29" spans="1:8">
      <c r="C29" s="238"/>
      <c r="D29" s="238"/>
      <c r="E29" s="376"/>
      <c r="F29" s="376"/>
      <c r="G29" s="385"/>
      <c r="H29" s="98"/>
    </row>
    <row r="30" spans="1:8">
      <c r="A30" s="179" t="s">
        <v>1197</v>
      </c>
      <c r="C30" s="237">
        <f>C10</f>
        <v>69.784971799999994</v>
      </c>
      <c r="D30" s="237">
        <f>D10</f>
        <v>148.78497179999999</v>
      </c>
      <c r="E30" s="376">
        <f>'Billing Det'!B28-F30</f>
        <v>161</v>
      </c>
      <c r="F30" s="376">
        <v>0</v>
      </c>
      <c r="G30" s="385">
        <f>(C30*E30)+(D30*F30)</f>
        <v>11235.380459799999</v>
      </c>
      <c r="H30" s="98">
        <f>G30/$G$42</f>
        <v>2.9144940377338457E-4</v>
      </c>
    </row>
    <row r="31" spans="1:8">
      <c r="A31" s="179"/>
      <c r="C31" s="238"/>
      <c r="D31" s="238"/>
      <c r="E31" s="376"/>
      <c r="F31" s="376"/>
      <c r="G31" s="385"/>
      <c r="H31" s="98"/>
    </row>
    <row r="32" spans="1:8">
      <c r="A32" s="179" t="s">
        <v>1258</v>
      </c>
      <c r="C32" s="237">
        <f>C10</f>
        <v>69.784971799999994</v>
      </c>
      <c r="D32" s="237">
        <f>D10</f>
        <v>148.78497179999999</v>
      </c>
      <c r="E32" s="376">
        <f>'Billing Det'!B30-F32</f>
        <v>1000</v>
      </c>
      <c r="F32" s="376">
        <v>0</v>
      </c>
      <c r="G32" s="385">
        <f>(C32*E32)+(D32*F32)</f>
        <v>69784.971799999999</v>
      </c>
      <c r="H32" s="98">
        <f>G32/$G$42</f>
        <v>1.8102447439340657E-3</v>
      </c>
    </row>
    <row r="33" spans="1:15">
      <c r="C33" s="237"/>
      <c r="D33" s="237"/>
      <c r="E33" s="376"/>
      <c r="F33" s="376"/>
      <c r="G33" s="385"/>
      <c r="H33" s="98"/>
    </row>
    <row r="34" spans="1:15">
      <c r="A34" s="179" t="s">
        <v>1254</v>
      </c>
      <c r="C34" s="237">
        <f>C18</f>
        <v>822.86947344050952</v>
      </c>
      <c r="D34" s="237">
        <f>D18</f>
        <v>869.75028434578735</v>
      </c>
      <c r="E34" s="376">
        <f>'Billing Det'!B32-F34</f>
        <v>1</v>
      </c>
      <c r="F34" s="376">
        <v>0</v>
      </c>
      <c r="G34" s="385">
        <f>(C34*E34)+(D34*F34)</f>
        <v>822.86947344050952</v>
      </c>
      <c r="H34" s="98">
        <f>G34/$G$42</f>
        <v>2.1345500339364968E-5</v>
      </c>
    </row>
    <row r="35" spans="1:15">
      <c r="A35" s="179"/>
      <c r="C35" s="237"/>
      <c r="D35" s="237"/>
      <c r="E35" s="376"/>
      <c r="F35" s="376"/>
      <c r="G35" s="385"/>
      <c r="H35" s="98"/>
    </row>
    <row r="36" spans="1:15">
      <c r="A36" s="179" t="s">
        <v>1249</v>
      </c>
      <c r="C36" s="237">
        <v>0</v>
      </c>
      <c r="D36" s="237">
        <v>0</v>
      </c>
      <c r="E36" s="376">
        <f>'Billing Det'!B34-F36</f>
        <v>10</v>
      </c>
      <c r="F36" s="376">
        <v>0</v>
      </c>
      <c r="G36" s="385">
        <f>(C36*E36)+(D36*F36)</f>
        <v>0</v>
      </c>
      <c r="H36" s="98">
        <f>G36/$G$42</f>
        <v>0</v>
      </c>
    </row>
    <row r="37" spans="1:15">
      <c r="A37" s="179"/>
      <c r="C37" s="237"/>
      <c r="D37" s="237"/>
      <c r="E37" s="376"/>
      <c r="F37" s="376"/>
      <c r="G37" s="385"/>
      <c r="H37" s="98"/>
    </row>
    <row r="38" spans="1:15">
      <c r="A38" s="179" t="s">
        <v>1251</v>
      </c>
      <c r="C38" s="237">
        <v>0</v>
      </c>
      <c r="D38" s="237">
        <v>0</v>
      </c>
      <c r="E38" s="376">
        <f>'Billing Det'!B36-F38</f>
        <v>0</v>
      </c>
      <c r="F38" s="376"/>
      <c r="G38" s="385">
        <f>(C38*E38)+(D38*F38)</f>
        <v>0</v>
      </c>
      <c r="H38" s="98">
        <f>G38/$G$42</f>
        <v>0</v>
      </c>
    </row>
    <row r="39" spans="1:15">
      <c r="A39" s="179"/>
      <c r="C39" s="237"/>
      <c r="D39" s="237"/>
      <c r="E39" s="376"/>
      <c r="F39" s="376"/>
      <c r="G39" s="385"/>
      <c r="H39" s="98"/>
    </row>
    <row r="40" spans="1:15">
      <c r="A40" s="179" t="s">
        <v>1252</v>
      </c>
      <c r="C40" s="237">
        <v>0</v>
      </c>
      <c r="D40" s="237">
        <v>0</v>
      </c>
      <c r="E40" s="376">
        <f>'Billing Det'!B38-F40</f>
        <v>0</v>
      </c>
      <c r="F40" s="376"/>
      <c r="G40" s="385">
        <f>(C40*E40)+(D40*F40)</f>
        <v>0</v>
      </c>
      <c r="H40" s="98">
        <f>G40/$G$42</f>
        <v>0</v>
      </c>
    </row>
    <row r="41" spans="1:15">
      <c r="A41" s="100"/>
      <c r="B41" s="101"/>
      <c r="C41" s="101"/>
      <c r="D41" s="101"/>
      <c r="E41" s="379"/>
      <c r="F41" s="379"/>
      <c r="G41" s="382"/>
      <c r="H41" s="103"/>
    </row>
    <row r="42" spans="1:15">
      <c r="C42" s="91"/>
      <c r="D42" s="91"/>
      <c r="E42" s="376">
        <f>SUM(E10:E41)</f>
        <v>518643.12328767125</v>
      </c>
      <c r="F42" s="376">
        <f>SUM(F10:F41)</f>
        <v>0</v>
      </c>
      <c r="G42" s="393">
        <f>SUM(G10:G41)</f>
        <v>38550020.395773493</v>
      </c>
      <c r="H42" s="98">
        <f>SUM(H10:H41)</f>
        <v>0.99999999999999967</v>
      </c>
    </row>
    <row r="43" spans="1:15" ht="12.6">
      <c r="C43" s="91"/>
      <c r="D43" s="91"/>
      <c r="N43" s="89"/>
      <c r="O43" s="89"/>
    </row>
    <row r="44" spans="1:15" ht="12.6">
      <c r="C44" s="91"/>
      <c r="D44" s="91"/>
      <c r="N44" s="89"/>
      <c r="O44" s="89"/>
    </row>
    <row r="45" spans="1:15" ht="12.6">
      <c r="B45" s="91" t="s">
        <v>608</v>
      </c>
      <c r="C45" s="91"/>
      <c r="D45" s="91"/>
      <c r="G45" s="95">
        <f>'Functional Assignment'!F43</f>
        <v>42308484.608643189</v>
      </c>
    </row>
    <row r="46" spans="1:15" ht="12.6">
      <c r="C46" s="442"/>
      <c r="D46" s="91"/>
    </row>
    <row r="47" spans="1:15" ht="12.6">
      <c r="C47" s="91"/>
      <c r="D47" s="91"/>
    </row>
    <row r="48" spans="1:15">
      <c r="A48" s="378"/>
      <c r="B48" s="377"/>
      <c r="C48" s="36"/>
      <c r="D48" s="20"/>
      <c r="E48" s="377"/>
      <c r="F48" s="377"/>
      <c r="G48" s="377"/>
      <c r="H48" s="377"/>
    </row>
    <row r="49" spans="1:8">
      <c r="A49" s="377"/>
      <c r="B49" s="377"/>
      <c r="C49" s="20"/>
      <c r="D49" s="20"/>
      <c r="E49" s="377"/>
      <c r="F49" s="377"/>
      <c r="G49" s="377"/>
      <c r="H49" s="377"/>
    </row>
    <row r="50" spans="1:8">
      <c r="A50" s="377"/>
      <c r="B50" s="377"/>
      <c r="C50" s="20"/>
      <c r="D50" s="20"/>
      <c r="E50" s="377"/>
      <c r="F50" s="377"/>
      <c r="G50" s="377"/>
      <c r="H50" s="377"/>
    </row>
    <row r="51" spans="1:8">
      <c r="A51" s="377"/>
      <c r="B51" s="377"/>
      <c r="C51" s="20"/>
      <c r="D51" s="20"/>
      <c r="E51" s="377"/>
      <c r="F51" s="377"/>
      <c r="G51" s="377"/>
      <c r="H51" s="377"/>
    </row>
    <row r="52" spans="1:8">
      <c r="A52" s="377"/>
      <c r="B52" s="377"/>
      <c r="C52" s="20"/>
      <c r="D52" s="20"/>
      <c r="E52" s="377"/>
      <c r="F52" s="377"/>
      <c r="G52" s="377"/>
      <c r="H52" s="377"/>
    </row>
    <row r="53" spans="1:8" ht="12.6">
      <c r="A53" s="377"/>
      <c r="B53" s="377"/>
      <c r="C53" s="105"/>
      <c r="D53" s="105"/>
      <c r="E53" s="105"/>
      <c r="F53" s="105"/>
      <c r="G53" s="392"/>
      <c r="H53" s="378"/>
    </row>
    <row r="54" spans="1:8" ht="12.6">
      <c r="A54" s="377"/>
      <c r="B54" s="377"/>
      <c r="C54" s="105"/>
      <c r="D54" s="105"/>
      <c r="E54" s="105"/>
      <c r="F54" s="105"/>
      <c r="G54" s="392"/>
      <c r="H54" s="392"/>
    </row>
    <row r="55" spans="1:8" ht="12.6">
      <c r="A55" s="377"/>
      <c r="B55" s="377"/>
      <c r="C55" s="105"/>
      <c r="D55" s="105"/>
      <c r="E55" s="105"/>
      <c r="F55" s="105"/>
      <c r="G55" s="392"/>
      <c r="H55" s="392"/>
    </row>
    <row r="56" spans="1:8">
      <c r="A56" s="377"/>
      <c r="B56" s="377"/>
      <c r="C56" s="20"/>
      <c r="D56" s="20"/>
      <c r="E56" s="390"/>
      <c r="F56" s="390"/>
      <c r="G56" s="377"/>
      <c r="H56" s="388"/>
    </row>
    <row r="57" spans="1:8">
      <c r="A57" s="179"/>
      <c r="B57" s="377"/>
      <c r="C57" s="386"/>
      <c r="D57" s="386"/>
      <c r="E57" s="383"/>
      <c r="F57" s="383"/>
      <c r="G57" s="381"/>
      <c r="H57" s="394"/>
    </row>
    <row r="58" spans="1:8">
      <c r="A58" s="377"/>
      <c r="B58" s="377"/>
      <c r="C58" s="391"/>
      <c r="D58" s="391"/>
      <c r="E58" s="383"/>
      <c r="F58" s="383"/>
      <c r="G58" s="381"/>
      <c r="H58" s="394"/>
    </row>
    <row r="59" spans="1:8">
      <c r="A59" s="179"/>
      <c r="B59" s="377"/>
      <c r="C59" s="386"/>
      <c r="D59" s="386"/>
      <c r="E59" s="383"/>
      <c r="F59" s="383"/>
      <c r="G59" s="381"/>
      <c r="H59" s="394"/>
    </row>
    <row r="60" spans="1:8">
      <c r="A60" s="377"/>
      <c r="B60" s="377"/>
      <c r="C60" s="391"/>
      <c r="D60" s="391"/>
      <c r="E60" s="383"/>
      <c r="F60" s="383"/>
      <c r="G60" s="381"/>
      <c r="H60" s="394"/>
    </row>
    <row r="61" spans="1:8">
      <c r="A61" s="215"/>
      <c r="B61" s="377"/>
      <c r="C61" s="386"/>
      <c r="D61" s="386"/>
      <c r="E61" s="383"/>
      <c r="F61" s="383"/>
      <c r="G61" s="381"/>
      <c r="H61" s="394"/>
    </row>
    <row r="62" spans="1:8">
      <c r="A62" s="377"/>
      <c r="B62" s="377"/>
      <c r="C62" s="391"/>
      <c r="D62" s="391"/>
      <c r="E62" s="383"/>
      <c r="F62" s="383"/>
      <c r="G62" s="381"/>
      <c r="H62" s="394"/>
    </row>
    <row r="63" spans="1:8">
      <c r="A63" s="215"/>
      <c r="B63" s="377"/>
      <c r="C63" s="386"/>
      <c r="D63" s="386"/>
      <c r="E63" s="383"/>
      <c r="F63" s="383"/>
      <c r="G63" s="381"/>
      <c r="H63" s="394"/>
    </row>
    <row r="64" spans="1:8">
      <c r="A64" s="377"/>
      <c r="B64" s="377"/>
      <c r="C64" s="391"/>
      <c r="D64" s="391"/>
      <c r="E64" s="383"/>
      <c r="F64" s="383"/>
      <c r="G64" s="381"/>
      <c r="H64" s="394"/>
    </row>
    <row r="65" spans="1:8">
      <c r="A65" s="215"/>
      <c r="B65" s="377"/>
      <c r="C65" s="386"/>
      <c r="D65" s="386"/>
      <c r="E65" s="383"/>
      <c r="F65" s="383"/>
      <c r="G65" s="381"/>
      <c r="H65" s="394"/>
    </row>
    <row r="66" spans="1:8">
      <c r="A66" s="377"/>
      <c r="B66" s="377"/>
      <c r="C66" s="386"/>
      <c r="D66" s="386"/>
      <c r="E66" s="383"/>
      <c r="F66" s="383"/>
      <c r="G66" s="381"/>
      <c r="H66" s="394"/>
    </row>
    <row r="67" spans="1:8">
      <c r="A67" s="215"/>
      <c r="B67" s="377"/>
      <c r="C67" s="386"/>
      <c r="D67" s="386"/>
      <c r="E67" s="383"/>
      <c r="F67" s="383"/>
      <c r="G67" s="381"/>
      <c r="H67" s="394"/>
    </row>
    <row r="68" spans="1:8">
      <c r="A68" s="377"/>
      <c r="B68" s="377"/>
      <c r="C68" s="391"/>
      <c r="D68" s="391"/>
      <c r="E68" s="383"/>
      <c r="F68" s="383"/>
      <c r="G68" s="381"/>
      <c r="H68" s="394"/>
    </row>
    <row r="69" spans="1:8">
      <c r="A69" s="215"/>
      <c r="B69" s="377"/>
      <c r="C69" s="386"/>
      <c r="D69" s="386"/>
      <c r="E69" s="389"/>
      <c r="F69" s="389"/>
      <c r="G69" s="381"/>
      <c r="H69" s="394"/>
    </row>
    <row r="70" spans="1:8">
      <c r="A70" s="377"/>
      <c r="B70" s="377"/>
      <c r="C70" s="391"/>
      <c r="D70" s="391"/>
      <c r="E70" s="383"/>
      <c r="F70" s="383"/>
      <c r="G70" s="381"/>
      <c r="H70" s="394"/>
    </row>
    <row r="71" spans="1:8">
      <c r="A71" s="215"/>
      <c r="B71" s="377"/>
      <c r="C71" s="386"/>
      <c r="D71" s="386"/>
      <c r="E71" s="383"/>
      <c r="F71" s="383"/>
      <c r="G71" s="381"/>
      <c r="H71" s="394"/>
    </row>
    <row r="72" spans="1:8">
      <c r="A72" s="377"/>
      <c r="B72" s="377"/>
      <c r="C72" s="391"/>
      <c r="D72" s="391"/>
      <c r="E72" s="383"/>
      <c r="F72" s="383"/>
      <c r="G72" s="381"/>
      <c r="H72" s="394"/>
    </row>
    <row r="73" spans="1:8">
      <c r="A73" s="179"/>
      <c r="B73" s="377"/>
      <c r="C73" s="386"/>
      <c r="D73" s="386"/>
      <c r="E73" s="383"/>
      <c r="F73" s="383"/>
      <c r="G73" s="381"/>
      <c r="H73" s="394"/>
    </row>
    <row r="74" spans="1:8">
      <c r="A74" s="377"/>
      <c r="B74" s="377"/>
      <c r="C74" s="391"/>
      <c r="D74" s="391"/>
      <c r="E74" s="383"/>
      <c r="F74" s="383"/>
      <c r="G74" s="381"/>
      <c r="H74" s="394"/>
    </row>
    <row r="75" spans="1:8">
      <c r="A75" s="215"/>
      <c r="B75" s="377"/>
      <c r="C75" s="386"/>
      <c r="D75" s="386"/>
      <c r="E75" s="383"/>
      <c r="F75" s="383"/>
      <c r="G75" s="381"/>
      <c r="H75" s="394"/>
    </row>
    <row r="76" spans="1:8">
      <c r="A76" s="377"/>
      <c r="B76" s="377"/>
      <c r="C76" s="391"/>
      <c r="D76" s="391"/>
      <c r="E76" s="383"/>
      <c r="F76" s="383"/>
      <c r="G76" s="381"/>
      <c r="H76" s="394"/>
    </row>
    <row r="77" spans="1:8">
      <c r="A77" s="179"/>
      <c r="B77" s="377"/>
      <c r="C77" s="386"/>
      <c r="D77" s="386"/>
      <c r="E77" s="383"/>
      <c r="F77" s="383"/>
      <c r="G77" s="381"/>
      <c r="H77" s="394"/>
    </row>
    <row r="78" spans="1:8">
      <c r="A78" s="377"/>
      <c r="B78" s="377"/>
      <c r="C78" s="386"/>
      <c r="D78" s="386"/>
      <c r="E78" s="383"/>
      <c r="F78" s="383"/>
      <c r="G78" s="381"/>
      <c r="H78" s="394"/>
    </row>
    <row r="79" spans="1:8">
      <c r="A79" s="179"/>
      <c r="B79" s="377"/>
      <c r="C79" s="386"/>
      <c r="D79" s="386"/>
      <c r="E79" s="383"/>
      <c r="F79" s="383"/>
      <c r="G79" s="381"/>
      <c r="H79" s="394"/>
    </row>
    <row r="80" spans="1:8">
      <c r="A80" s="179"/>
      <c r="B80" s="377"/>
      <c r="C80" s="386"/>
      <c r="D80" s="386"/>
      <c r="E80" s="383"/>
      <c r="F80" s="383"/>
      <c r="G80" s="381"/>
      <c r="H80" s="394"/>
    </row>
    <row r="81" spans="1:8">
      <c r="A81" s="179"/>
      <c r="B81" s="377"/>
      <c r="C81" s="386"/>
      <c r="D81" s="386"/>
      <c r="E81" s="383"/>
      <c r="F81" s="383"/>
      <c r="G81" s="381"/>
      <c r="H81" s="394"/>
    </row>
    <row r="82" spans="1:8">
      <c r="A82" s="179"/>
      <c r="B82" s="377"/>
      <c r="C82" s="386"/>
      <c r="D82" s="386"/>
      <c r="E82" s="383"/>
      <c r="F82" s="383"/>
      <c r="G82" s="381"/>
      <c r="H82" s="394"/>
    </row>
    <row r="83" spans="1:8">
      <c r="A83" s="179"/>
      <c r="B83" s="377"/>
      <c r="C83" s="386"/>
      <c r="D83" s="386"/>
      <c r="E83" s="383"/>
      <c r="F83" s="383"/>
      <c r="G83" s="381"/>
      <c r="H83" s="394"/>
    </row>
    <row r="84" spans="1:8">
      <c r="A84" s="179"/>
      <c r="B84" s="377"/>
      <c r="C84" s="386"/>
      <c r="D84" s="386"/>
      <c r="E84" s="383"/>
      <c r="F84" s="383"/>
      <c r="G84" s="381"/>
      <c r="H84" s="394"/>
    </row>
    <row r="85" spans="1:8">
      <c r="A85" s="179"/>
      <c r="B85" s="377"/>
      <c r="C85" s="386"/>
      <c r="D85" s="386"/>
      <c r="E85" s="383"/>
      <c r="F85" s="383"/>
      <c r="G85" s="381"/>
      <c r="H85" s="394"/>
    </row>
    <row r="86" spans="1:8" ht="12.6">
      <c r="A86" s="378"/>
      <c r="B86" s="377"/>
      <c r="C86" s="377"/>
      <c r="D86" s="377"/>
      <c r="E86" s="383"/>
      <c r="F86" s="383"/>
      <c r="G86" s="381"/>
      <c r="H86" s="394"/>
    </row>
    <row r="87" spans="1:8" ht="12.6">
      <c r="A87" s="377"/>
      <c r="B87" s="377"/>
      <c r="C87" s="377"/>
      <c r="D87" s="377"/>
      <c r="E87" s="383"/>
      <c r="F87" s="383"/>
      <c r="G87" s="387"/>
      <c r="H87" s="394"/>
    </row>
    <row r="88" spans="1:8" ht="12.6">
      <c r="C88" s="91"/>
      <c r="D88" s="91"/>
    </row>
    <row r="89" spans="1:8" ht="12.6">
      <c r="C89" s="91"/>
      <c r="D89" s="91"/>
    </row>
    <row r="90" spans="1:8" ht="12.6">
      <c r="C90" s="91"/>
      <c r="D90" s="91"/>
      <c r="G90" s="95"/>
    </row>
  </sheetData>
  <phoneticPr fontId="0" type="noConversion"/>
  <pageMargins left="0.75" right="0.75" top="1" bottom="1" header="0.5" footer="0.5"/>
  <pageSetup scale="60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66"/>
  <sheetViews>
    <sheetView zoomScale="75" workbookViewId="0">
      <selection activeCell="F28" sqref="F28"/>
    </sheetView>
  </sheetViews>
  <sheetFormatPr defaultColWidth="9.15625" defaultRowHeight="14.1"/>
  <cols>
    <col min="1" max="1" width="9.15625" style="91"/>
    <col min="2" max="2" width="56.578125" style="91" customWidth="1"/>
    <col min="3" max="3" width="12" bestFit="1" customWidth="1"/>
    <col min="4" max="4" width="13.68359375" style="91" bestFit="1" customWidth="1"/>
    <col min="5" max="5" width="16.15625" style="91" bestFit="1" customWidth="1"/>
    <col min="6" max="6" width="14.83984375" style="91" customWidth="1"/>
    <col min="7" max="11" width="9.15625" style="91"/>
    <col min="12" max="12" width="17.26171875" style="91" customWidth="1"/>
    <col min="13" max="13" width="13" style="91" customWidth="1"/>
    <col min="14" max="16384" width="9.15625" style="91"/>
  </cols>
  <sheetData>
    <row r="1" spans="1:20">
      <c r="A1" s="90" t="s">
        <v>597</v>
      </c>
    </row>
    <row r="2" spans="1:20">
      <c r="A2" s="91" t="s">
        <v>667</v>
      </c>
    </row>
    <row r="6" spans="1:20" ht="12.6">
      <c r="C6" s="92" t="s">
        <v>178</v>
      </c>
      <c r="D6" s="92" t="s">
        <v>1195</v>
      </c>
      <c r="E6" s="104" t="s">
        <v>846</v>
      </c>
      <c r="F6" s="90"/>
    </row>
    <row r="7" spans="1:20" ht="12.6">
      <c r="C7" s="105" t="s">
        <v>1179</v>
      </c>
      <c r="D7" s="105" t="s">
        <v>806</v>
      </c>
      <c r="E7" s="104" t="s">
        <v>178</v>
      </c>
      <c r="F7" s="104" t="s">
        <v>1009</v>
      </c>
    </row>
    <row r="8" spans="1:20" ht="12.9" thickBot="1">
      <c r="C8" s="96" t="s">
        <v>144</v>
      </c>
      <c r="D8" s="96" t="s">
        <v>142</v>
      </c>
      <c r="E8" s="106" t="s">
        <v>144</v>
      </c>
      <c r="F8" s="106" t="s">
        <v>656</v>
      </c>
    </row>
    <row r="9" spans="1:20">
      <c r="D9" s="89"/>
      <c r="F9" s="97"/>
    </row>
    <row r="10" spans="1:20">
      <c r="A10" s="31" t="s">
        <v>1165</v>
      </c>
      <c r="C10" s="237">
        <v>933.06</v>
      </c>
      <c r="D10" s="107">
        <f>'Billing Det'!B8</f>
        <v>376669.05273972603</v>
      </c>
      <c r="E10" s="99">
        <f>C10*D10</f>
        <v>351454826.34932876</v>
      </c>
      <c r="F10" s="98">
        <f>E10/$E$42</f>
        <v>0.85920091333043136</v>
      </c>
    </row>
    <row r="11" spans="1:20">
      <c r="C11" s="238"/>
      <c r="D11" s="107"/>
      <c r="E11" s="99"/>
      <c r="F11" s="98"/>
      <c r="O11" s="90"/>
      <c r="P11" s="90"/>
      <c r="Q11" s="90"/>
      <c r="R11" s="90"/>
      <c r="S11" s="90"/>
      <c r="T11" s="90"/>
    </row>
    <row r="12" spans="1:20">
      <c r="A12" s="31" t="s">
        <v>1403</v>
      </c>
      <c r="C12" s="455">
        <f>C10</f>
        <v>933.06</v>
      </c>
      <c r="D12" s="107">
        <f>'Billing Det'!B10</f>
        <v>929.75</v>
      </c>
      <c r="E12" s="99">
        <f>C12*D12</f>
        <v>867512.53499999992</v>
      </c>
      <c r="F12" s="98">
        <f>E12/$E$42</f>
        <v>2.1208061648774717E-3</v>
      </c>
      <c r="O12" s="90"/>
      <c r="P12" s="90"/>
      <c r="Q12" s="90"/>
      <c r="R12" s="90"/>
      <c r="S12" s="90"/>
      <c r="T12" s="90"/>
    </row>
    <row r="13" spans="1:20">
      <c r="C13" s="238"/>
      <c r="D13" s="107"/>
      <c r="E13" s="99"/>
      <c r="F13" s="98"/>
      <c r="O13" s="90"/>
      <c r="P13" s="90"/>
      <c r="Q13" s="90"/>
      <c r="R13" s="90"/>
      <c r="S13" s="90"/>
      <c r="T13" s="90"/>
    </row>
    <row r="14" spans="1:20">
      <c r="A14" s="179" t="s">
        <v>1218</v>
      </c>
      <c r="C14" s="237">
        <v>1106.26</v>
      </c>
      <c r="D14" s="107">
        <f>'Billing Det'!B12</f>
        <v>45359.323287671228</v>
      </c>
      <c r="E14" s="99">
        <f>C14*D14</f>
        <v>50179204.98021917</v>
      </c>
      <c r="F14" s="98">
        <f>E14/$E$42</f>
        <v>0.12267300237995889</v>
      </c>
      <c r="O14" s="90"/>
      <c r="P14" s="90"/>
      <c r="Q14" s="90"/>
      <c r="R14" s="90"/>
      <c r="S14" s="90"/>
      <c r="T14" s="90"/>
    </row>
    <row r="15" spans="1:20">
      <c r="C15" s="238"/>
      <c r="D15" s="107"/>
      <c r="E15" s="99"/>
      <c r="F15" s="98"/>
      <c r="G15" s="90"/>
      <c r="H15" s="90"/>
      <c r="I15" s="90"/>
      <c r="J15" s="90"/>
    </row>
    <row r="16" spans="1:20">
      <c r="A16" s="215" t="s">
        <v>1097</v>
      </c>
      <c r="C16" s="237">
        <v>0</v>
      </c>
      <c r="D16" s="107">
        <f>'Billing Det'!B14</f>
        <v>70</v>
      </c>
      <c r="E16" s="99">
        <f>C16*D16</f>
        <v>0</v>
      </c>
      <c r="F16" s="98">
        <f>E16/$E$42</f>
        <v>0</v>
      </c>
    </row>
    <row r="17" spans="1:6">
      <c r="C17" s="238"/>
      <c r="D17" s="107"/>
      <c r="E17" s="99"/>
      <c r="F17" s="98"/>
    </row>
    <row r="18" spans="1:6">
      <c r="A18" s="215" t="s">
        <v>1098</v>
      </c>
      <c r="C18" s="237">
        <v>1855.01</v>
      </c>
      <c r="D18" s="107">
        <f>'Billing Det'!B16</f>
        <v>2782.3972602739727</v>
      </c>
      <c r="E18" s="99">
        <f>C18*D18</f>
        <v>5161374.7417808222</v>
      </c>
      <c r="F18" s="98">
        <f>E18/$E$42</f>
        <v>1.2618002541728851E-2</v>
      </c>
    </row>
    <row r="19" spans="1:6">
      <c r="C19" s="238"/>
      <c r="D19" s="107"/>
      <c r="E19" s="99"/>
      <c r="F19" s="98"/>
    </row>
    <row r="20" spans="1:6">
      <c r="A20" s="215" t="s">
        <v>1219</v>
      </c>
      <c r="C20" s="237">
        <v>0</v>
      </c>
      <c r="D20" s="107">
        <f>'Billing Det'!B18</f>
        <v>131.59452054794519</v>
      </c>
      <c r="E20" s="99">
        <f>C20*D20</f>
        <v>0</v>
      </c>
      <c r="F20" s="98">
        <f>E20/$E$42</f>
        <v>0</v>
      </c>
    </row>
    <row r="21" spans="1:6">
      <c r="C21" s="237"/>
      <c r="D21" s="107"/>
      <c r="E21" s="99"/>
      <c r="F21" s="98"/>
    </row>
    <row r="22" spans="1:6">
      <c r="A22" s="215" t="s">
        <v>1196</v>
      </c>
      <c r="C22" s="237">
        <v>2739.98</v>
      </c>
      <c r="D22" s="107">
        <f>'Billing Det'!B20</f>
        <v>505.00547945205477</v>
      </c>
      <c r="E22" s="99">
        <f>C22*D22</f>
        <v>1383704.913589041</v>
      </c>
      <c r="F22" s="98">
        <f>E22/$E$42</f>
        <v>3.3827406437543727E-3</v>
      </c>
    </row>
    <row r="23" spans="1:6">
      <c r="C23" s="238"/>
      <c r="D23" s="107"/>
      <c r="E23" s="99"/>
      <c r="F23" s="98"/>
    </row>
    <row r="24" spans="1:6">
      <c r="A24" s="215" t="s">
        <v>1099</v>
      </c>
      <c r="C24" s="237">
        <v>0</v>
      </c>
      <c r="D24" s="107">
        <f>'Billing Det'!B22</f>
        <v>13</v>
      </c>
      <c r="E24" s="99">
        <f>C24*D24</f>
        <v>0</v>
      </c>
      <c r="F24" s="98">
        <f>E24/$E$42</f>
        <v>0</v>
      </c>
    </row>
    <row r="25" spans="1:6">
      <c r="C25" s="238"/>
      <c r="D25" s="107"/>
      <c r="E25" s="99"/>
      <c r="F25" s="98"/>
    </row>
    <row r="26" spans="1:6">
      <c r="A26" s="215" t="s">
        <v>572</v>
      </c>
      <c r="C26" s="237">
        <v>0</v>
      </c>
      <c r="D26" s="107">
        <f>'Billing Det'!B24</f>
        <v>2</v>
      </c>
      <c r="E26" s="99">
        <f>C26*D26</f>
        <v>0</v>
      </c>
      <c r="F26" s="98">
        <f>E26/$E$42</f>
        <v>0</v>
      </c>
    </row>
    <row r="27" spans="1:6">
      <c r="C27" s="237"/>
      <c r="D27" s="107"/>
      <c r="E27" s="99"/>
      <c r="F27" s="98"/>
    </row>
    <row r="28" spans="1:6">
      <c r="A28" s="179" t="s">
        <v>1178</v>
      </c>
      <c r="C28" s="237">
        <v>0</v>
      </c>
      <c r="D28" s="107">
        <f>'Billing Det'!B26</f>
        <v>91009</v>
      </c>
      <c r="E28" s="99">
        <f>C28*D28</f>
        <v>0</v>
      </c>
      <c r="F28" s="98">
        <f>E28/$E$42</f>
        <v>0</v>
      </c>
    </row>
    <row r="29" spans="1:6">
      <c r="C29" s="237"/>
      <c r="D29" s="107"/>
      <c r="E29" s="99"/>
      <c r="F29" s="98"/>
    </row>
    <row r="30" spans="1:6">
      <c r="A30" s="179" t="s">
        <v>1197</v>
      </c>
      <c r="C30" s="237">
        <v>0</v>
      </c>
      <c r="D30" s="107">
        <f>'Billing Det'!B28</f>
        <v>161</v>
      </c>
      <c r="E30" s="99">
        <f>C30*D30</f>
        <v>0</v>
      </c>
      <c r="F30" s="98">
        <f>E30/$E$42</f>
        <v>0</v>
      </c>
    </row>
    <row r="31" spans="1:6">
      <c r="A31" s="179"/>
      <c r="C31" s="237"/>
      <c r="D31" s="107"/>
      <c r="E31" s="99"/>
      <c r="F31" s="98"/>
    </row>
    <row r="32" spans="1:6">
      <c r="A32" s="179" t="s">
        <v>1258</v>
      </c>
      <c r="C32" s="237">
        <v>0</v>
      </c>
      <c r="D32" s="107">
        <f>'Billing Det'!B30</f>
        <v>1000</v>
      </c>
      <c r="E32" s="99">
        <f>C32*D32</f>
        <v>0</v>
      </c>
      <c r="F32" s="98">
        <f>E32/$E$42</f>
        <v>0</v>
      </c>
    </row>
    <row r="33" spans="1:13">
      <c r="C33" s="237"/>
      <c r="D33" s="107"/>
      <c r="E33" s="99"/>
      <c r="F33" s="98"/>
    </row>
    <row r="34" spans="1:13">
      <c r="A34" s="179" t="s">
        <v>1254</v>
      </c>
      <c r="C34" s="237">
        <f>C18</f>
        <v>1855.01</v>
      </c>
      <c r="D34" s="107">
        <f>'Billing Det'!B32</f>
        <v>1</v>
      </c>
      <c r="E34" s="99">
        <f>C34*D34</f>
        <v>1855.01</v>
      </c>
      <c r="F34" s="98">
        <f>E34/$E$42</f>
        <v>4.534939248928961E-6</v>
      </c>
    </row>
    <row r="35" spans="1:13">
      <c r="A35" s="179"/>
      <c r="C35" s="237"/>
      <c r="D35" s="107"/>
      <c r="E35" s="99"/>
      <c r="F35" s="98"/>
    </row>
    <row r="36" spans="1:13">
      <c r="A36" s="179" t="s">
        <v>1249</v>
      </c>
      <c r="C36" s="237">
        <v>0</v>
      </c>
      <c r="D36" s="107">
        <f>'Billing Det'!B34</f>
        <v>10</v>
      </c>
      <c r="E36" s="99">
        <f>C36*D36</f>
        <v>0</v>
      </c>
      <c r="F36" s="98">
        <f>E36/$E$42</f>
        <v>0</v>
      </c>
    </row>
    <row r="37" spans="1:13">
      <c r="A37" s="179"/>
      <c r="C37" s="237"/>
      <c r="D37" s="107"/>
      <c r="E37" s="99"/>
      <c r="F37" s="98"/>
    </row>
    <row r="38" spans="1:13">
      <c r="A38" s="179" t="s">
        <v>1251</v>
      </c>
      <c r="C38" s="237">
        <v>0</v>
      </c>
      <c r="D38" s="107">
        <f>'Billing Det'!B36</f>
        <v>0</v>
      </c>
      <c r="E38" s="99">
        <f>C38*D38</f>
        <v>0</v>
      </c>
      <c r="F38" s="98">
        <f>E38/$E$42</f>
        <v>0</v>
      </c>
    </row>
    <row r="39" spans="1:13">
      <c r="A39" s="179"/>
      <c r="C39" s="237"/>
      <c r="D39" s="107"/>
      <c r="E39" s="99"/>
      <c r="F39" s="98"/>
    </row>
    <row r="40" spans="1:13">
      <c r="A40" s="179" t="s">
        <v>1252</v>
      </c>
      <c r="C40" s="237">
        <v>0</v>
      </c>
      <c r="D40" s="107">
        <f>'Billing Det'!B38</f>
        <v>0</v>
      </c>
      <c r="E40" s="99">
        <f>C40*D40</f>
        <v>0</v>
      </c>
      <c r="F40" s="98">
        <f>E40/$E$42</f>
        <v>0</v>
      </c>
    </row>
    <row r="41" spans="1:13">
      <c r="A41" s="100"/>
      <c r="B41" s="101"/>
      <c r="C41" s="384"/>
      <c r="D41" s="108"/>
      <c r="E41" s="102"/>
      <c r="F41" s="103"/>
    </row>
    <row r="42" spans="1:13" ht="12.6">
      <c r="C42" s="91"/>
      <c r="D42" s="107">
        <f>SUM(D10:D41)</f>
        <v>518643.12328767125</v>
      </c>
      <c r="E42" s="95">
        <f>SUM(E10:E41)</f>
        <v>409048478.52991784</v>
      </c>
      <c r="F42" s="98">
        <f>SUM(F10:F41)</f>
        <v>0.99999999999999978</v>
      </c>
    </row>
    <row r="43" spans="1:13" ht="12.6">
      <c r="C43" s="91"/>
      <c r="L43" s="89"/>
      <c r="M43" s="89"/>
    </row>
    <row r="44" spans="1:13" ht="12.6">
      <c r="C44" s="91"/>
      <c r="L44" s="89"/>
      <c r="M44" s="89"/>
    </row>
    <row r="45" spans="1:13" ht="12.6">
      <c r="B45" s="91" t="s">
        <v>608</v>
      </c>
      <c r="C45" s="91"/>
      <c r="E45" s="95">
        <f>'Functional Assignment'!F42</f>
        <v>41665745.640769236</v>
      </c>
    </row>
    <row r="46" spans="1:13" ht="12.6">
      <c r="C46" s="91"/>
    </row>
    <row r="47" spans="1:13" ht="12.6">
      <c r="C47" s="91"/>
    </row>
    <row r="48" spans="1:13" ht="12.6">
      <c r="C48" s="91"/>
    </row>
    <row r="49" spans="3:5" ht="12.6">
      <c r="C49" s="91"/>
    </row>
    <row r="50" spans="3:5" ht="12.6">
      <c r="C50" s="91"/>
    </row>
    <row r="51" spans="3:5" ht="12.6">
      <c r="C51" s="91"/>
      <c r="E51" s="109"/>
    </row>
    <row r="52" spans="3:5" ht="12.6">
      <c r="C52" s="91"/>
    </row>
    <row r="53" spans="3:5" ht="12.6">
      <c r="C53" s="91"/>
    </row>
    <row r="54" spans="3:5" ht="12.6">
      <c r="C54" s="91"/>
    </row>
    <row r="55" spans="3:5" ht="12.6">
      <c r="C55" s="91"/>
    </row>
    <row r="56" spans="3:5" ht="12.6">
      <c r="C56" s="91"/>
    </row>
    <row r="57" spans="3:5" ht="12.6">
      <c r="C57" s="91"/>
    </row>
    <row r="58" spans="3:5" ht="12.6">
      <c r="C58" s="91"/>
    </row>
    <row r="59" spans="3:5" ht="12.6">
      <c r="C59" s="91"/>
    </row>
    <row r="60" spans="3:5" ht="12.6">
      <c r="C60" s="91"/>
    </row>
    <row r="64" spans="3:5" ht="12.6">
      <c r="C64" s="91"/>
    </row>
    <row r="65" spans="3:3" ht="12.6">
      <c r="C65" s="91"/>
    </row>
    <row r="66" spans="3:3" ht="12.6">
      <c r="C66" s="91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B1263"/>
  <sheetViews>
    <sheetView view="pageBreakPreview" zoomScale="90" zoomScaleNormal="80" zoomScaleSheetLayoutView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9.15625" defaultRowHeight="13.8"/>
  <cols>
    <col min="1" max="1" width="7.68359375" style="60" customWidth="1"/>
    <col min="2" max="2" width="33" style="60" customWidth="1"/>
    <col min="3" max="3" width="12.578125" style="60" customWidth="1"/>
    <col min="4" max="4" width="14.26171875" style="60" bestFit="1" customWidth="1"/>
    <col min="5" max="5" width="17.26171875" style="60" bestFit="1" customWidth="1"/>
    <col min="6" max="6" width="18.26171875" style="60" bestFit="1" customWidth="1"/>
    <col min="7" max="7" width="18.26171875" style="60" customWidth="1"/>
    <col min="8" max="8" width="22" style="60" customWidth="1"/>
    <col min="9" max="14" width="18.26171875" style="60" customWidth="1"/>
    <col min="15" max="15" width="19" style="60" customWidth="1"/>
    <col min="16" max="16" width="19" style="60" bestFit="1" customWidth="1"/>
    <col min="17" max="17" width="23.26171875" style="60" customWidth="1"/>
    <col min="18" max="18" width="23.15625" style="60" bestFit="1" customWidth="1"/>
    <col min="19" max="20" width="20.26171875" style="60" bestFit="1" customWidth="1"/>
    <col min="21" max="22" width="18.26171875" style="60" customWidth="1"/>
    <col min="23" max="23" width="18.26171875" style="60" hidden="1" customWidth="1"/>
    <col min="24" max="24" width="15" style="44" hidden="1" customWidth="1"/>
    <col min="25" max="25" width="15.26171875" style="44" hidden="1" customWidth="1"/>
    <col min="26" max="26" width="15.68359375" style="44" hidden="1" customWidth="1"/>
    <col min="27" max="27" width="22.68359375" style="44" customWidth="1"/>
    <col min="28" max="28" width="10.68359375" style="44" customWidth="1"/>
    <col min="29" max="29" width="15.41796875" style="44" bestFit="1" customWidth="1"/>
    <col min="30" max="32" width="9.15625" style="44"/>
    <col min="33" max="33" width="7.41796875" style="44" customWidth="1"/>
    <col min="34" max="36" width="20.68359375" style="44" customWidth="1"/>
    <col min="37" max="16384" width="9.15625" style="44"/>
  </cols>
  <sheetData>
    <row r="2" spans="1:28" s="93" customFormat="1">
      <c r="D2" s="93">
        <v>1</v>
      </c>
      <c r="E2" s="93">
        <f t="shared" ref="E2:AB2" si="0">+D2+1</f>
        <v>2</v>
      </c>
      <c r="F2" s="93">
        <f t="shared" si="0"/>
        <v>3</v>
      </c>
      <c r="G2" s="93">
        <f t="shared" si="0"/>
        <v>4</v>
      </c>
      <c r="H2" s="93">
        <f t="shared" si="0"/>
        <v>5</v>
      </c>
      <c r="I2" s="93">
        <f t="shared" si="0"/>
        <v>6</v>
      </c>
      <c r="J2" s="93">
        <f t="shared" si="0"/>
        <v>7</v>
      </c>
      <c r="K2" s="93">
        <f>+J2+1</f>
        <v>8</v>
      </c>
      <c r="L2" s="93">
        <f t="shared" si="0"/>
        <v>9</v>
      </c>
      <c r="M2" s="93">
        <f t="shared" si="0"/>
        <v>10</v>
      </c>
      <c r="N2" s="93">
        <f t="shared" si="0"/>
        <v>11</v>
      </c>
      <c r="O2" s="93">
        <f t="shared" si="0"/>
        <v>12</v>
      </c>
      <c r="P2" s="93">
        <f t="shared" si="0"/>
        <v>13</v>
      </c>
      <c r="Q2" s="93">
        <f t="shared" si="0"/>
        <v>14</v>
      </c>
      <c r="R2" s="93">
        <f t="shared" si="0"/>
        <v>15</v>
      </c>
      <c r="S2" s="93">
        <f>R2+1</f>
        <v>16</v>
      </c>
      <c r="T2" s="93">
        <f t="shared" si="0"/>
        <v>17</v>
      </c>
      <c r="U2" s="93">
        <f>+T2+1</f>
        <v>18</v>
      </c>
      <c r="V2" s="93">
        <f t="shared" si="0"/>
        <v>19</v>
      </c>
      <c r="W2" s="93">
        <f>+V2+1</f>
        <v>20</v>
      </c>
      <c r="X2" s="93">
        <f t="shared" si="0"/>
        <v>21</v>
      </c>
      <c r="Y2" s="93">
        <f t="shared" si="0"/>
        <v>22</v>
      </c>
      <c r="Z2" s="93">
        <f t="shared" si="0"/>
        <v>23</v>
      </c>
      <c r="AA2" s="93">
        <f t="shared" si="0"/>
        <v>24</v>
      </c>
      <c r="AB2" s="93">
        <f t="shared" si="0"/>
        <v>25</v>
      </c>
    </row>
    <row r="3" spans="1:28" s="60" customFormat="1" ht="29.25" customHeight="1">
      <c r="A3" s="65"/>
      <c r="B3" s="65"/>
      <c r="C3" s="65"/>
      <c r="D3" s="72"/>
      <c r="E3" s="135" t="s">
        <v>1013</v>
      </c>
      <c r="F3" s="136" t="s">
        <v>846</v>
      </c>
      <c r="G3" s="71" t="s">
        <v>194</v>
      </c>
      <c r="H3" s="71" t="s">
        <v>1404</v>
      </c>
      <c r="I3" s="71" t="s">
        <v>1213</v>
      </c>
      <c r="J3" s="72" t="s">
        <v>1094</v>
      </c>
      <c r="K3" s="72" t="s">
        <v>1094</v>
      </c>
      <c r="L3" s="71" t="s">
        <v>1198</v>
      </c>
      <c r="M3" s="72" t="s">
        <v>1198</v>
      </c>
      <c r="N3" s="72" t="s">
        <v>1095</v>
      </c>
      <c r="O3" s="71" t="s">
        <v>572</v>
      </c>
      <c r="P3" s="71" t="s">
        <v>1010</v>
      </c>
      <c r="Q3" s="72" t="s">
        <v>1010</v>
      </c>
      <c r="R3" s="71" t="s">
        <v>844</v>
      </c>
      <c r="S3" s="71" t="s">
        <v>1350</v>
      </c>
      <c r="T3" s="71" t="s">
        <v>1249</v>
      </c>
      <c r="U3" s="71" t="s">
        <v>1251</v>
      </c>
      <c r="V3" s="72" t="s">
        <v>1252</v>
      </c>
      <c r="W3" s="71" t="s">
        <v>181</v>
      </c>
      <c r="X3" s="72" t="s">
        <v>181</v>
      </c>
      <c r="Y3" s="72" t="s">
        <v>181</v>
      </c>
      <c r="Z3" s="72" t="s">
        <v>181</v>
      </c>
      <c r="AA3" s="137"/>
      <c r="AB3" s="65"/>
    </row>
    <row r="4" spans="1:28" s="60" customFormat="1" ht="14.4" thickBot="1">
      <c r="A4" s="138" t="s">
        <v>849</v>
      </c>
      <c r="B4" s="138"/>
      <c r="C4" s="139" t="s">
        <v>333</v>
      </c>
      <c r="D4" s="140" t="s">
        <v>850</v>
      </c>
      <c r="E4" s="140" t="s">
        <v>851</v>
      </c>
      <c r="F4" s="73" t="s">
        <v>852</v>
      </c>
      <c r="G4" s="73" t="s">
        <v>1102</v>
      </c>
      <c r="H4" s="73" t="s">
        <v>1405</v>
      </c>
      <c r="I4" s="73" t="s">
        <v>569</v>
      </c>
      <c r="J4" s="73" t="s">
        <v>570</v>
      </c>
      <c r="K4" s="73" t="s">
        <v>571</v>
      </c>
      <c r="L4" s="73" t="s">
        <v>570</v>
      </c>
      <c r="M4" s="73" t="s">
        <v>571</v>
      </c>
      <c r="N4" s="73" t="s">
        <v>1054</v>
      </c>
      <c r="O4" s="73" t="s">
        <v>855</v>
      </c>
      <c r="P4" s="73" t="s">
        <v>1383</v>
      </c>
      <c r="Q4" s="73" t="s">
        <v>1096</v>
      </c>
      <c r="R4" s="73" t="s">
        <v>573</v>
      </c>
      <c r="S4" s="73" t="s">
        <v>1255</v>
      </c>
      <c r="T4" s="73" t="s">
        <v>1250</v>
      </c>
      <c r="U4" s="73" t="s">
        <v>1257</v>
      </c>
      <c r="V4" s="73" t="s">
        <v>1253</v>
      </c>
      <c r="W4" s="73"/>
      <c r="X4" s="73"/>
      <c r="Y4" s="73"/>
      <c r="Z4" s="73"/>
      <c r="AA4" s="73" t="s">
        <v>856</v>
      </c>
      <c r="AB4" s="73" t="s">
        <v>857</v>
      </c>
    </row>
    <row r="6" spans="1:28" ht="14.1">
      <c r="A6" s="45" t="s">
        <v>858</v>
      </c>
    </row>
    <row r="7" spans="1:28">
      <c r="A7" s="44"/>
    </row>
    <row r="8" spans="1:28" ht="14.1">
      <c r="A8" s="45" t="s">
        <v>352</v>
      </c>
    </row>
    <row r="9" spans="1:28">
      <c r="A9" s="458" t="s">
        <v>1441</v>
      </c>
      <c r="C9" s="60" t="s">
        <v>892</v>
      </c>
      <c r="D9" s="44" t="s">
        <v>1411</v>
      </c>
      <c r="E9" s="44" t="s">
        <v>1412</v>
      </c>
      <c r="F9" s="76">
        <f>VLOOKUP(C9,'Functional Assignment'!$C$2:$AP$780,'Functional Assignment'!$H$2,)</f>
        <v>3865573604.4296021</v>
      </c>
      <c r="G9" s="76">
        <f t="shared" ref="G9:P14" si="1">IF(VLOOKUP($E9,$D$6:$AN$1150,3,)=0,0,(VLOOKUP($E9,$D$6:$AN$1150,G$2,)/VLOOKUP($E9,$D$6:$AN$1150,3,))*$F9)</f>
        <v>1691639086.838073</v>
      </c>
      <c r="H9" s="76">
        <f t="shared" si="1"/>
        <v>644161.93536395463</v>
      </c>
      <c r="I9" s="76">
        <f t="shared" si="1"/>
        <v>472629604.59087694</v>
      </c>
      <c r="J9" s="76">
        <f t="shared" si="1"/>
        <v>32027384.066624563</v>
      </c>
      <c r="K9" s="76">
        <f t="shared" si="1"/>
        <v>526916319.50753546</v>
      </c>
      <c r="L9" s="76">
        <f t="shared" si="1"/>
        <v>475631343.05330837</v>
      </c>
      <c r="M9" s="76">
        <f t="shared" si="1"/>
        <v>404660743.88746178</v>
      </c>
      <c r="N9" s="76">
        <f t="shared" si="1"/>
        <v>229909277.3749114</v>
      </c>
      <c r="O9" s="76">
        <f t="shared" si="1"/>
        <v>13647668.736787571</v>
      </c>
      <c r="P9" s="76">
        <f t="shared" si="1"/>
        <v>13987445.163690427</v>
      </c>
      <c r="Q9" s="76">
        <f t="shared" ref="Q9:Z14" si="2">IF(VLOOKUP($E9,$D$6:$AN$1150,3,)=0,0,(VLOOKUP($E9,$D$6:$AN$1150,Q$2,)/VLOOKUP($E9,$D$6:$AN$1150,3,))*$F9)</f>
        <v>487183.00040750887</v>
      </c>
      <c r="R9" s="76">
        <f t="shared" si="2"/>
        <v>670918.99765766412</v>
      </c>
      <c r="S9" s="76">
        <f t="shared" si="2"/>
        <v>660.94575908800709</v>
      </c>
      <c r="T9" s="76">
        <f t="shared" si="2"/>
        <v>6092.2211439900866</v>
      </c>
      <c r="U9" s="76">
        <f t="shared" si="2"/>
        <v>2630742.58</v>
      </c>
      <c r="V9" s="76">
        <f t="shared" si="2"/>
        <v>84971.530000000013</v>
      </c>
      <c r="W9" s="76">
        <f t="shared" si="2"/>
        <v>0</v>
      </c>
      <c r="X9" s="62">
        <f t="shared" si="2"/>
        <v>0</v>
      </c>
      <c r="Y9" s="62">
        <f t="shared" si="2"/>
        <v>0</v>
      </c>
      <c r="Z9" s="62">
        <f t="shared" si="2"/>
        <v>0</v>
      </c>
      <c r="AA9" s="64">
        <f t="shared" ref="AA9:AA15" si="3">SUM(G9:Z9)</f>
        <v>3865573604.4296031</v>
      </c>
      <c r="AB9" s="58" t="str">
        <f t="shared" ref="AB9:AB15" si="4">IF(ABS(F9-AA9)&lt;0.01,"ok","err")</f>
        <v>ok</v>
      </c>
    </row>
    <row r="10" spans="1:28" hidden="1">
      <c r="A10" s="458" t="s">
        <v>1256</v>
      </c>
      <c r="C10" s="60" t="s">
        <v>892</v>
      </c>
      <c r="D10" s="44" t="s">
        <v>353</v>
      </c>
      <c r="E10" s="44" t="s">
        <v>1412</v>
      </c>
      <c r="F10" s="79">
        <f>VLOOKUP(C10,'Functional Assignment'!$C$2:$AP$780,'Functional Assignment'!$I$2,)</f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0</v>
      </c>
      <c r="K10" s="79">
        <f t="shared" si="1"/>
        <v>0</v>
      </c>
      <c r="L10" s="79">
        <f t="shared" si="1"/>
        <v>0</v>
      </c>
      <c r="M10" s="79">
        <f t="shared" si="1"/>
        <v>0</v>
      </c>
      <c r="N10" s="79">
        <f t="shared" si="1"/>
        <v>0</v>
      </c>
      <c r="O10" s="79">
        <f t="shared" si="1"/>
        <v>0</v>
      </c>
      <c r="P10" s="79">
        <f t="shared" si="1"/>
        <v>0</v>
      </c>
      <c r="Q10" s="79">
        <f t="shared" si="2"/>
        <v>0</v>
      </c>
      <c r="R10" s="79">
        <f t="shared" si="2"/>
        <v>0</v>
      </c>
      <c r="S10" s="79">
        <f t="shared" si="2"/>
        <v>0</v>
      </c>
      <c r="T10" s="79">
        <f t="shared" si="2"/>
        <v>0</v>
      </c>
      <c r="U10" s="79">
        <f t="shared" si="2"/>
        <v>0</v>
      </c>
      <c r="V10" s="79">
        <f t="shared" si="2"/>
        <v>0</v>
      </c>
      <c r="W10" s="79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3"/>
        <v>0</v>
      </c>
      <c r="AB10" s="58" t="str">
        <f t="shared" si="4"/>
        <v>ok</v>
      </c>
    </row>
    <row r="11" spans="1:28" hidden="1">
      <c r="A11" s="458" t="s">
        <v>1256</v>
      </c>
      <c r="C11" s="60" t="s">
        <v>892</v>
      </c>
      <c r="D11" s="44" t="s">
        <v>354</v>
      </c>
      <c r="E11" s="44" t="s">
        <v>1412</v>
      </c>
      <c r="F11" s="79">
        <f>VLOOKUP(C11,'Functional Assignment'!$C$2:$AP$780,'Functional Assignment'!$J$2,)</f>
        <v>0</v>
      </c>
      <c r="G11" s="79">
        <f t="shared" si="1"/>
        <v>0</v>
      </c>
      <c r="H11" s="79">
        <f t="shared" si="1"/>
        <v>0</v>
      </c>
      <c r="I11" s="79">
        <f t="shared" si="1"/>
        <v>0</v>
      </c>
      <c r="J11" s="79">
        <f t="shared" si="1"/>
        <v>0</v>
      </c>
      <c r="K11" s="79">
        <f t="shared" si="1"/>
        <v>0</v>
      </c>
      <c r="L11" s="79">
        <f t="shared" si="1"/>
        <v>0</v>
      </c>
      <c r="M11" s="79">
        <f t="shared" si="1"/>
        <v>0</v>
      </c>
      <c r="N11" s="79">
        <f t="shared" si="1"/>
        <v>0</v>
      </c>
      <c r="O11" s="79">
        <f t="shared" si="1"/>
        <v>0</v>
      </c>
      <c r="P11" s="79">
        <f t="shared" si="1"/>
        <v>0</v>
      </c>
      <c r="Q11" s="79">
        <f t="shared" si="2"/>
        <v>0</v>
      </c>
      <c r="R11" s="79">
        <f t="shared" si="2"/>
        <v>0</v>
      </c>
      <c r="S11" s="79">
        <f t="shared" si="2"/>
        <v>0</v>
      </c>
      <c r="T11" s="79">
        <f t="shared" si="2"/>
        <v>0</v>
      </c>
      <c r="U11" s="79">
        <f t="shared" si="2"/>
        <v>0</v>
      </c>
      <c r="V11" s="79">
        <f t="shared" si="2"/>
        <v>0</v>
      </c>
      <c r="W11" s="79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3"/>
        <v>0</v>
      </c>
      <c r="AB11" s="58" t="str">
        <f t="shared" si="4"/>
        <v>ok</v>
      </c>
    </row>
    <row r="12" spans="1:28">
      <c r="A12" s="458" t="s">
        <v>1160</v>
      </c>
      <c r="C12" s="60" t="s">
        <v>892</v>
      </c>
      <c r="D12" s="44" t="s">
        <v>355</v>
      </c>
      <c r="E12" s="44" t="s">
        <v>1015</v>
      </c>
      <c r="F12" s="79">
        <f>VLOOKUP(C12,'Functional Assignment'!$C$2:$AP$780,'Functional Assignment'!$K$2,)</f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2"/>
        <v>0</v>
      </c>
      <c r="R12" s="79">
        <f t="shared" si="2"/>
        <v>0</v>
      </c>
      <c r="S12" s="79">
        <f t="shared" si="2"/>
        <v>0</v>
      </c>
      <c r="T12" s="79">
        <f t="shared" si="2"/>
        <v>0</v>
      </c>
      <c r="U12" s="79">
        <f t="shared" si="2"/>
        <v>0</v>
      </c>
      <c r="V12" s="79">
        <f t="shared" si="2"/>
        <v>0</v>
      </c>
      <c r="W12" s="79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3"/>
        <v>0</v>
      </c>
      <c r="AB12" s="58" t="str">
        <f t="shared" si="4"/>
        <v>ok</v>
      </c>
    </row>
    <row r="13" spans="1:28" hidden="1">
      <c r="A13" s="458" t="s">
        <v>1161</v>
      </c>
      <c r="C13" s="60" t="s">
        <v>884</v>
      </c>
      <c r="D13" s="44" t="s">
        <v>356</v>
      </c>
      <c r="E13" s="44" t="s">
        <v>1015</v>
      </c>
      <c r="F13" s="79">
        <f>VLOOKUP(C13,'Functional Assignment'!$C$2:$AP$780,'Functional Assignment'!$L$2,)</f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2"/>
        <v>0</v>
      </c>
      <c r="R13" s="79">
        <f t="shared" si="2"/>
        <v>0</v>
      </c>
      <c r="S13" s="79">
        <f t="shared" si="2"/>
        <v>0</v>
      </c>
      <c r="T13" s="79">
        <f t="shared" si="2"/>
        <v>0</v>
      </c>
      <c r="U13" s="79">
        <f t="shared" si="2"/>
        <v>0</v>
      </c>
      <c r="V13" s="79">
        <f t="shared" si="2"/>
        <v>0</v>
      </c>
      <c r="W13" s="79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3"/>
        <v>0</v>
      </c>
      <c r="AB13" s="58" t="str">
        <f t="shared" si="4"/>
        <v>ok</v>
      </c>
    </row>
    <row r="14" spans="1:28" hidden="1">
      <c r="A14" s="458" t="s">
        <v>1161</v>
      </c>
      <c r="C14" s="60" t="s">
        <v>884</v>
      </c>
      <c r="D14" s="44" t="s">
        <v>357</v>
      </c>
      <c r="E14" s="44" t="s">
        <v>1015</v>
      </c>
      <c r="F14" s="79">
        <f>VLOOKUP(C14,'Functional Assignment'!$C$2:$AP$780,'Functional Assignment'!$M$2,)</f>
        <v>0</v>
      </c>
      <c r="G14" s="79">
        <f t="shared" si="1"/>
        <v>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2"/>
        <v>0</v>
      </c>
      <c r="R14" s="79">
        <f t="shared" si="2"/>
        <v>0</v>
      </c>
      <c r="S14" s="79">
        <f t="shared" si="2"/>
        <v>0</v>
      </c>
      <c r="T14" s="79">
        <f t="shared" si="2"/>
        <v>0</v>
      </c>
      <c r="U14" s="79">
        <f t="shared" si="2"/>
        <v>0</v>
      </c>
      <c r="V14" s="79">
        <f t="shared" si="2"/>
        <v>0</v>
      </c>
      <c r="W14" s="79">
        <f t="shared" si="2"/>
        <v>0</v>
      </c>
      <c r="X14" s="63">
        <f t="shared" si="2"/>
        <v>0</v>
      </c>
      <c r="Y14" s="63">
        <f t="shared" si="2"/>
        <v>0</v>
      </c>
      <c r="Z14" s="63">
        <f t="shared" si="2"/>
        <v>0</v>
      </c>
      <c r="AA14" s="63">
        <f t="shared" si="3"/>
        <v>0</v>
      </c>
      <c r="AB14" s="58" t="str">
        <f t="shared" si="4"/>
        <v>ok</v>
      </c>
    </row>
    <row r="15" spans="1:28">
      <c r="A15" s="44" t="s">
        <v>374</v>
      </c>
      <c r="D15" s="44" t="s">
        <v>1016</v>
      </c>
      <c r="E15" s="44"/>
      <c r="F15" s="76">
        <f>SUM(F9:F14)</f>
        <v>3865573604.4296021</v>
      </c>
      <c r="G15" s="76">
        <f t="shared" ref="G15:P15" si="5">SUM(G9:G14)</f>
        <v>1691639086.838073</v>
      </c>
      <c r="H15" s="76">
        <f t="shared" si="5"/>
        <v>644161.93536395463</v>
      </c>
      <c r="I15" s="76">
        <f t="shared" si="5"/>
        <v>472629604.59087694</v>
      </c>
      <c r="J15" s="76">
        <f t="shared" si="5"/>
        <v>32027384.066624563</v>
      </c>
      <c r="K15" s="76">
        <f t="shared" si="5"/>
        <v>526916319.50753546</v>
      </c>
      <c r="L15" s="76">
        <f t="shared" si="5"/>
        <v>475631343.05330837</v>
      </c>
      <c r="M15" s="76">
        <f t="shared" si="5"/>
        <v>404660743.88746178</v>
      </c>
      <c r="N15" s="76">
        <f t="shared" si="5"/>
        <v>229909277.3749114</v>
      </c>
      <c r="O15" s="76">
        <f>SUM(O9:O14)</f>
        <v>13647668.736787571</v>
      </c>
      <c r="P15" s="76">
        <f t="shared" si="5"/>
        <v>13987445.163690427</v>
      </c>
      <c r="Q15" s="76">
        <f t="shared" ref="Q15:Z15" si="6">SUM(Q9:Q14)</f>
        <v>487183.00040750887</v>
      </c>
      <c r="R15" s="76">
        <f t="shared" si="6"/>
        <v>670918.99765766412</v>
      </c>
      <c r="S15" s="76">
        <f t="shared" si="6"/>
        <v>660.94575908800709</v>
      </c>
      <c r="T15" s="76">
        <f t="shared" si="6"/>
        <v>6092.2211439900866</v>
      </c>
      <c r="U15" s="76">
        <f t="shared" si="6"/>
        <v>2630742.58</v>
      </c>
      <c r="V15" s="76">
        <f t="shared" si="6"/>
        <v>84971.530000000013</v>
      </c>
      <c r="W15" s="76">
        <f t="shared" si="6"/>
        <v>0</v>
      </c>
      <c r="X15" s="62">
        <f t="shared" si="6"/>
        <v>0</v>
      </c>
      <c r="Y15" s="62">
        <f t="shared" si="6"/>
        <v>0</v>
      </c>
      <c r="Z15" s="62">
        <f t="shared" si="6"/>
        <v>0</v>
      </c>
      <c r="AA15" s="64">
        <f t="shared" si="3"/>
        <v>3865573604.4296031</v>
      </c>
      <c r="AB15" s="58" t="str">
        <f t="shared" si="4"/>
        <v>ok</v>
      </c>
    </row>
    <row r="16" spans="1:28">
      <c r="A16" s="44"/>
      <c r="F16" s="79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28" ht="14.1">
      <c r="A17" s="45" t="s">
        <v>1055</v>
      </c>
      <c r="F17" s="79"/>
      <c r="G17" s="79"/>
    </row>
    <row r="18" spans="1:28">
      <c r="A18" s="458" t="s">
        <v>1225</v>
      </c>
      <c r="C18" s="60" t="s">
        <v>892</v>
      </c>
      <c r="D18" s="60" t="s">
        <v>348</v>
      </c>
      <c r="E18" s="60" t="s">
        <v>1229</v>
      </c>
      <c r="F18" s="76">
        <f>VLOOKUP(C18,'Functional Assignment'!$C$2:$AP$780,'Functional Assignment'!$N$2,)</f>
        <v>612587887.1790638</v>
      </c>
      <c r="G18" s="76">
        <f t="shared" ref="G18:P20" si="7">IF(VLOOKUP($E18,$D$6:$AN$1150,3,)=0,0,(VLOOKUP($E18,$D$6:$AN$1150,G$2,)/VLOOKUP($E18,$D$6:$AN$1150,3,))*$F18)</f>
        <v>289199673.16274774</v>
      </c>
      <c r="H18" s="76">
        <f t="shared" si="7"/>
        <v>1059015.3718448726</v>
      </c>
      <c r="I18" s="76">
        <f t="shared" si="7"/>
        <v>70700980.630651236</v>
      </c>
      <c r="J18" s="76">
        <f t="shared" si="7"/>
        <v>4641034.2502122549</v>
      </c>
      <c r="K18" s="76">
        <f t="shared" si="7"/>
        <v>78668390.594923779</v>
      </c>
      <c r="L18" s="76">
        <f t="shared" si="7"/>
        <v>65973210.309082508</v>
      </c>
      <c r="M18" s="76">
        <f t="shared" si="7"/>
        <v>62459449.089058109</v>
      </c>
      <c r="N18" s="76">
        <f t="shared" si="7"/>
        <v>32571504.607076965</v>
      </c>
      <c r="O18" s="76">
        <f t="shared" si="7"/>
        <v>2093067.6281296222</v>
      </c>
      <c r="P18" s="76">
        <f t="shared" si="7"/>
        <v>4960006.3387287408</v>
      </c>
      <c r="Q18" s="76">
        <f t="shared" ref="Q18:Z20" si="8">IF(VLOOKUP($E18,$D$6:$AN$1150,3,)=0,0,(VLOOKUP($E18,$D$6:$AN$1150,Q$2,)/VLOOKUP($E18,$D$6:$AN$1150,3,))*$F18)</f>
        <v>172757.12196640938</v>
      </c>
      <c r="R18" s="76">
        <f t="shared" si="8"/>
        <v>79303.557397648343</v>
      </c>
      <c r="S18" s="76">
        <f t="shared" si="8"/>
        <v>8630.3864427364242</v>
      </c>
      <c r="T18" s="76">
        <f t="shared" si="8"/>
        <v>864.13080122933775</v>
      </c>
      <c r="U18" s="76">
        <f t="shared" si="8"/>
        <v>0</v>
      </c>
      <c r="V18" s="76">
        <f t="shared" si="8"/>
        <v>0</v>
      </c>
      <c r="W18" s="76">
        <f t="shared" si="8"/>
        <v>0</v>
      </c>
      <c r="X18" s="62">
        <f t="shared" si="8"/>
        <v>0</v>
      </c>
      <c r="Y18" s="62">
        <f t="shared" si="8"/>
        <v>0</v>
      </c>
      <c r="Z18" s="62">
        <f t="shared" si="8"/>
        <v>0</v>
      </c>
      <c r="AA18" s="64">
        <f>SUM(G18:Z18)</f>
        <v>612587887.17906392</v>
      </c>
      <c r="AB18" s="58" t="str">
        <f>IF(ABS(F18-AA18)&lt;0.01,"ok","err")</f>
        <v>ok</v>
      </c>
    </row>
    <row r="19" spans="1:28" hidden="1">
      <c r="A19" s="458" t="s">
        <v>1226</v>
      </c>
      <c r="C19" s="60" t="s">
        <v>892</v>
      </c>
      <c r="D19" s="60" t="s">
        <v>349</v>
      </c>
      <c r="E19" s="60" t="s">
        <v>1229</v>
      </c>
      <c r="F19" s="79">
        <f>VLOOKUP(C19,'Functional Assignment'!$C$2:$AP$780,'Functional Assignment'!$O$2,)</f>
        <v>0</v>
      </c>
      <c r="G19" s="79">
        <f t="shared" si="7"/>
        <v>0</v>
      </c>
      <c r="H19" s="79">
        <f t="shared" si="7"/>
        <v>0</v>
      </c>
      <c r="I19" s="79">
        <f t="shared" si="7"/>
        <v>0</v>
      </c>
      <c r="J19" s="79">
        <f t="shared" si="7"/>
        <v>0</v>
      </c>
      <c r="K19" s="79">
        <f t="shared" si="7"/>
        <v>0</v>
      </c>
      <c r="L19" s="79">
        <f t="shared" si="7"/>
        <v>0</v>
      </c>
      <c r="M19" s="79">
        <f t="shared" si="7"/>
        <v>0</v>
      </c>
      <c r="N19" s="79">
        <f t="shared" si="7"/>
        <v>0</v>
      </c>
      <c r="O19" s="79">
        <f t="shared" si="7"/>
        <v>0</v>
      </c>
      <c r="P19" s="79">
        <f t="shared" si="7"/>
        <v>0</v>
      </c>
      <c r="Q19" s="79">
        <f t="shared" si="8"/>
        <v>0</v>
      </c>
      <c r="R19" s="79">
        <f t="shared" si="8"/>
        <v>0</v>
      </c>
      <c r="S19" s="79">
        <f t="shared" si="8"/>
        <v>0</v>
      </c>
      <c r="T19" s="79">
        <f t="shared" si="8"/>
        <v>0</v>
      </c>
      <c r="U19" s="79">
        <f t="shared" si="8"/>
        <v>0</v>
      </c>
      <c r="V19" s="79">
        <f t="shared" si="8"/>
        <v>0</v>
      </c>
      <c r="W19" s="79">
        <f t="shared" si="8"/>
        <v>0</v>
      </c>
      <c r="X19" s="63">
        <f t="shared" si="8"/>
        <v>0</v>
      </c>
      <c r="Y19" s="63">
        <f t="shared" si="8"/>
        <v>0</v>
      </c>
      <c r="Z19" s="63">
        <f t="shared" si="8"/>
        <v>0</v>
      </c>
      <c r="AA19" s="63">
        <f>SUM(G19:Z19)</f>
        <v>0</v>
      </c>
      <c r="AB19" s="58" t="str">
        <f>IF(ABS(F19-AA19)&lt;0.01,"ok","err")</f>
        <v>ok</v>
      </c>
    </row>
    <row r="20" spans="1:28" hidden="1">
      <c r="A20" s="458" t="s">
        <v>1226</v>
      </c>
      <c r="C20" s="60" t="s">
        <v>892</v>
      </c>
      <c r="D20" s="60" t="s">
        <v>350</v>
      </c>
      <c r="E20" s="60" t="s">
        <v>1229</v>
      </c>
      <c r="F20" s="79">
        <f>VLOOKUP(C20,'Functional Assignment'!$C$2:$AP$780,'Functional Assignment'!$P$2,)</f>
        <v>0</v>
      </c>
      <c r="G20" s="79">
        <f t="shared" si="7"/>
        <v>0</v>
      </c>
      <c r="H20" s="79">
        <f t="shared" si="7"/>
        <v>0</v>
      </c>
      <c r="I20" s="79">
        <f t="shared" si="7"/>
        <v>0</v>
      </c>
      <c r="J20" s="79">
        <f t="shared" si="7"/>
        <v>0</v>
      </c>
      <c r="K20" s="79">
        <f t="shared" si="7"/>
        <v>0</v>
      </c>
      <c r="L20" s="79">
        <f t="shared" si="7"/>
        <v>0</v>
      </c>
      <c r="M20" s="79">
        <f t="shared" si="7"/>
        <v>0</v>
      </c>
      <c r="N20" s="79">
        <f t="shared" si="7"/>
        <v>0</v>
      </c>
      <c r="O20" s="79">
        <f t="shared" si="7"/>
        <v>0</v>
      </c>
      <c r="P20" s="79">
        <f t="shared" si="7"/>
        <v>0</v>
      </c>
      <c r="Q20" s="79">
        <f t="shared" si="8"/>
        <v>0</v>
      </c>
      <c r="R20" s="79">
        <f t="shared" si="8"/>
        <v>0</v>
      </c>
      <c r="S20" s="79">
        <f t="shared" si="8"/>
        <v>0</v>
      </c>
      <c r="T20" s="79">
        <f t="shared" si="8"/>
        <v>0</v>
      </c>
      <c r="U20" s="79">
        <f t="shared" si="8"/>
        <v>0</v>
      </c>
      <c r="V20" s="79">
        <f t="shared" si="8"/>
        <v>0</v>
      </c>
      <c r="W20" s="79">
        <f t="shared" si="8"/>
        <v>0</v>
      </c>
      <c r="X20" s="63">
        <f t="shared" si="8"/>
        <v>0</v>
      </c>
      <c r="Y20" s="63">
        <f t="shared" si="8"/>
        <v>0</v>
      </c>
      <c r="Z20" s="63">
        <f t="shared" si="8"/>
        <v>0</v>
      </c>
      <c r="AA20" s="63">
        <f>SUM(G20:Z20)</f>
        <v>0</v>
      </c>
      <c r="AB20" s="58" t="str">
        <f>IF(ABS(F20-AA20)&lt;0.01,"ok","err")</f>
        <v>ok</v>
      </c>
    </row>
    <row r="21" spans="1:28" ht="14.25" hidden="1" customHeight="1">
      <c r="A21" s="44" t="s">
        <v>1057</v>
      </c>
      <c r="C21" s="60" t="s">
        <v>892</v>
      </c>
      <c r="D21" s="60" t="s">
        <v>351</v>
      </c>
      <c r="F21" s="76">
        <f t="shared" ref="F21:Y21" si="9">SUM(F18:F20)</f>
        <v>612587887.1790638</v>
      </c>
      <c r="G21" s="76">
        <f t="shared" si="9"/>
        <v>289199673.16274774</v>
      </c>
      <c r="H21" s="76">
        <f t="shared" si="9"/>
        <v>1059015.3718448726</v>
      </c>
      <c r="I21" s="76">
        <f t="shared" si="9"/>
        <v>70700980.630651236</v>
      </c>
      <c r="J21" s="76">
        <f t="shared" si="9"/>
        <v>4641034.2502122549</v>
      </c>
      <c r="K21" s="76">
        <f t="shared" si="9"/>
        <v>78668390.594923779</v>
      </c>
      <c r="L21" s="76">
        <f t="shared" si="9"/>
        <v>65973210.309082508</v>
      </c>
      <c r="M21" s="76">
        <f t="shared" si="9"/>
        <v>62459449.089058109</v>
      </c>
      <c r="N21" s="76">
        <f t="shared" si="9"/>
        <v>32571504.607076965</v>
      </c>
      <c r="O21" s="76">
        <f>SUM(O18:O20)</f>
        <v>2093067.6281296222</v>
      </c>
      <c r="P21" s="76">
        <f t="shared" si="9"/>
        <v>4960006.3387287408</v>
      </c>
      <c r="Q21" s="76">
        <f t="shared" si="9"/>
        <v>172757.12196640938</v>
      </c>
      <c r="R21" s="76">
        <f t="shared" si="9"/>
        <v>79303.557397648343</v>
      </c>
      <c r="S21" s="76">
        <f t="shared" si="9"/>
        <v>8630.3864427364242</v>
      </c>
      <c r="T21" s="76">
        <f t="shared" si="9"/>
        <v>864.13080122933775</v>
      </c>
      <c r="U21" s="76">
        <f t="shared" si="9"/>
        <v>0</v>
      </c>
      <c r="V21" s="76">
        <f t="shared" si="9"/>
        <v>0</v>
      </c>
      <c r="W21" s="76">
        <f t="shared" si="9"/>
        <v>0</v>
      </c>
      <c r="X21" s="62">
        <f t="shared" si="9"/>
        <v>0</v>
      </c>
      <c r="Y21" s="62">
        <f t="shared" si="9"/>
        <v>0</v>
      </c>
      <c r="Z21" s="62">
        <f>SUM(Z18:Z20)</f>
        <v>0</v>
      </c>
      <c r="AA21" s="64">
        <f>SUM(G21:Z21)</f>
        <v>612587887.17906392</v>
      </c>
      <c r="AB21" s="58" t="str">
        <f>IF(ABS(F21-AA21)&lt;0.01,"ok","err")</f>
        <v>ok</v>
      </c>
    </row>
    <row r="22" spans="1:28">
      <c r="A22" s="44"/>
      <c r="F22" s="79"/>
      <c r="G22" s="79"/>
    </row>
    <row r="23" spans="1:28" ht="14.1">
      <c r="A23" s="45" t="s">
        <v>337</v>
      </c>
      <c r="F23" s="79"/>
      <c r="G23" s="79"/>
    </row>
    <row r="24" spans="1:28">
      <c r="A24" s="458" t="s">
        <v>359</v>
      </c>
      <c r="C24" s="60" t="s">
        <v>892</v>
      </c>
      <c r="D24" s="60" t="s">
        <v>362</v>
      </c>
      <c r="E24" s="60" t="s">
        <v>1230</v>
      </c>
      <c r="F24" s="76">
        <f>VLOOKUP(C24,'Functional Assignment'!$C$2:$AP$780,'Functional Assignment'!$Q$2,)</f>
        <v>0</v>
      </c>
      <c r="G24" s="76">
        <f t="shared" ref="G24:Z24" si="10">IF(VLOOKUP($E24,$D$6:$AN$1150,3,)=0,0,(VLOOKUP($E24,$D$6:$AN$1150,G$2,)/VLOOKUP($E24,$D$6:$AN$1150,3,))*$F24)</f>
        <v>0</v>
      </c>
      <c r="H24" s="76">
        <f t="shared" si="10"/>
        <v>0</v>
      </c>
      <c r="I24" s="76">
        <f t="shared" si="10"/>
        <v>0</v>
      </c>
      <c r="J24" s="76">
        <f t="shared" si="10"/>
        <v>0</v>
      </c>
      <c r="K24" s="76">
        <f t="shared" si="10"/>
        <v>0</v>
      </c>
      <c r="L24" s="76">
        <f t="shared" si="10"/>
        <v>0</v>
      </c>
      <c r="M24" s="76">
        <f t="shared" si="10"/>
        <v>0</v>
      </c>
      <c r="N24" s="76">
        <f t="shared" si="10"/>
        <v>0</v>
      </c>
      <c r="O24" s="76">
        <f t="shared" si="10"/>
        <v>0</v>
      </c>
      <c r="P24" s="76">
        <f t="shared" si="10"/>
        <v>0</v>
      </c>
      <c r="Q24" s="76">
        <f t="shared" si="10"/>
        <v>0</v>
      </c>
      <c r="R24" s="76">
        <f t="shared" si="10"/>
        <v>0</v>
      </c>
      <c r="S24" s="76">
        <f t="shared" si="10"/>
        <v>0</v>
      </c>
      <c r="T24" s="76">
        <f t="shared" si="10"/>
        <v>0</v>
      </c>
      <c r="U24" s="76">
        <f t="shared" si="10"/>
        <v>0</v>
      </c>
      <c r="V24" s="76">
        <f t="shared" si="10"/>
        <v>0</v>
      </c>
      <c r="W24" s="76">
        <f t="shared" si="10"/>
        <v>0</v>
      </c>
      <c r="X24" s="62">
        <f t="shared" si="10"/>
        <v>0</v>
      </c>
      <c r="Y24" s="62">
        <f t="shared" si="10"/>
        <v>0</v>
      </c>
      <c r="Z24" s="62">
        <f t="shared" si="10"/>
        <v>0</v>
      </c>
      <c r="AA24" s="64">
        <f>SUM(G24:Z24)</f>
        <v>0</v>
      </c>
      <c r="AB24" s="58" t="str">
        <f>IF(ABS(F24-AA24)&lt;0.01,"ok","err")</f>
        <v>ok</v>
      </c>
    </row>
    <row r="25" spans="1:28">
      <c r="A25" s="44"/>
      <c r="F25" s="79"/>
    </row>
    <row r="26" spans="1:28" ht="14.1">
      <c r="A26" s="45" t="s">
        <v>338</v>
      </c>
      <c r="F26" s="79"/>
      <c r="G26" s="79"/>
    </row>
    <row r="27" spans="1:28">
      <c r="A27" s="458" t="s">
        <v>361</v>
      </c>
      <c r="C27" s="60" t="s">
        <v>892</v>
      </c>
      <c r="D27" s="60" t="s">
        <v>363</v>
      </c>
      <c r="E27" s="60" t="s">
        <v>1230</v>
      </c>
      <c r="F27" s="76">
        <f>VLOOKUP(C27,'Functional Assignment'!$C$2:$AP$780,'Functional Assignment'!$R$2,)</f>
        <v>234986651.87457144</v>
      </c>
      <c r="G27" s="76">
        <f t="shared" ref="G27:Z27" si="11">IF(VLOOKUP($E27,$D$6:$AN$1150,3,)=0,0,(VLOOKUP($E27,$D$6:$AN$1150,G$2,)/VLOOKUP($E27,$D$6:$AN$1150,3,))*$F27)</f>
        <v>117165764.55717622</v>
      </c>
      <c r="H27" s="76">
        <f t="shared" si="11"/>
        <v>429047.32347391092</v>
      </c>
      <c r="I27" s="76">
        <f t="shared" si="11"/>
        <v>28643650.803404152</v>
      </c>
      <c r="J27" s="76">
        <f t="shared" si="11"/>
        <v>1880259.1314000278</v>
      </c>
      <c r="K27" s="76">
        <f t="shared" si="11"/>
        <v>31871550.993592549</v>
      </c>
      <c r="L27" s="76">
        <f t="shared" si="11"/>
        <v>26728251.597314455</v>
      </c>
      <c r="M27" s="76">
        <f t="shared" si="11"/>
        <v>25304693.557593461</v>
      </c>
      <c r="N27" s="76">
        <f t="shared" si="11"/>
        <v>0</v>
      </c>
      <c r="O27" s="76">
        <f t="shared" si="11"/>
        <v>847981.1413261022</v>
      </c>
      <c r="P27" s="76">
        <f t="shared" si="11"/>
        <v>2009486.8314686988</v>
      </c>
      <c r="Q27" s="76">
        <f t="shared" si="11"/>
        <v>69990.467335351743</v>
      </c>
      <c r="R27" s="76">
        <f t="shared" si="11"/>
        <v>32128.881173978611</v>
      </c>
      <c r="S27" s="76">
        <f t="shared" si="11"/>
        <v>3496.4971257697594</v>
      </c>
      <c r="T27" s="76">
        <f t="shared" si="11"/>
        <v>350.09218681400068</v>
      </c>
      <c r="U27" s="76">
        <f t="shared" si="11"/>
        <v>0</v>
      </c>
      <c r="V27" s="76">
        <f t="shared" si="11"/>
        <v>0</v>
      </c>
      <c r="W27" s="76">
        <f t="shared" si="11"/>
        <v>0</v>
      </c>
      <c r="X27" s="62">
        <f t="shared" si="11"/>
        <v>0</v>
      </c>
      <c r="Y27" s="62">
        <f t="shared" si="11"/>
        <v>0</v>
      </c>
      <c r="Z27" s="62">
        <f t="shared" si="11"/>
        <v>0</v>
      </c>
      <c r="AA27" s="64">
        <f>SUM(G27:Z27)</f>
        <v>234986651.87457147</v>
      </c>
      <c r="AB27" s="58" t="str">
        <f>IF(ABS(F27-AA27)&lt;0.01,"ok","err")</f>
        <v>ok</v>
      </c>
    </row>
    <row r="28" spans="1:28">
      <c r="A28" s="44"/>
      <c r="F28" s="79"/>
    </row>
    <row r="29" spans="1:28" ht="14.1">
      <c r="A29" s="45" t="s">
        <v>360</v>
      </c>
      <c r="F29" s="79"/>
    </row>
    <row r="30" spans="1:28">
      <c r="A30" s="458" t="s">
        <v>603</v>
      </c>
      <c r="C30" s="60" t="s">
        <v>892</v>
      </c>
      <c r="D30" s="60" t="s">
        <v>366</v>
      </c>
      <c r="E30" s="60" t="s">
        <v>1230</v>
      </c>
      <c r="F30" s="76">
        <f>VLOOKUP(C30,'Functional Assignment'!$C$2:$AP$780,'Functional Assignment'!$S$2,)</f>
        <v>0</v>
      </c>
      <c r="G30" s="76">
        <f t="shared" ref="G30:P34" si="12">IF(VLOOKUP($E30,$D$6:$AN$1150,3,)=0,0,(VLOOKUP($E30,$D$6:$AN$1150,G$2,)/VLOOKUP($E30,$D$6:$AN$1150,3,))*$F30)</f>
        <v>0</v>
      </c>
      <c r="H30" s="76">
        <f t="shared" si="12"/>
        <v>0</v>
      </c>
      <c r="I30" s="76">
        <f t="shared" si="12"/>
        <v>0</v>
      </c>
      <c r="J30" s="76">
        <f t="shared" si="12"/>
        <v>0</v>
      </c>
      <c r="K30" s="76">
        <f t="shared" si="12"/>
        <v>0</v>
      </c>
      <c r="L30" s="76">
        <f t="shared" si="12"/>
        <v>0</v>
      </c>
      <c r="M30" s="76">
        <f t="shared" si="12"/>
        <v>0</v>
      </c>
      <c r="N30" s="76">
        <f t="shared" si="12"/>
        <v>0</v>
      </c>
      <c r="O30" s="76">
        <f t="shared" si="12"/>
        <v>0</v>
      </c>
      <c r="P30" s="76">
        <f t="shared" si="12"/>
        <v>0</v>
      </c>
      <c r="Q30" s="76">
        <f t="shared" ref="Q30:Z34" si="13">IF(VLOOKUP($E30,$D$6:$AN$1150,3,)=0,0,(VLOOKUP($E30,$D$6:$AN$1150,Q$2,)/VLOOKUP($E30,$D$6:$AN$1150,3,))*$F30)</f>
        <v>0</v>
      </c>
      <c r="R30" s="76">
        <f t="shared" si="13"/>
        <v>0</v>
      </c>
      <c r="S30" s="76">
        <f t="shared" si="13"/>
        <v>0</v>
      </c>
      <c r="T30" s="76">
        <f t="shared" si="13"/>
        <v>0</v>
      </c>
      <c r="U30" s="76">
        <f t="shared" si="13"/>
        <v>0</v>
      </c>
      <c r="V30" s="76">
        <f t="shared" si="13"/>
        <v>0</v>
      </c>
      <c r="W30" s="76">
        <f t="shared" si="13"/>
        <v>0</v>
      </c>
      <c r="X30" s="62">
        <f t="shared" si="13"/>
        <v>0</v>
      </c>
      <c r="Y30" s="62">
        <f t="shared" si="13"/>
        <v>0</v>
      </c>
      <c r="Z30" s="62">
        <f t="shared" si="13"/>
        <v>0</v>
      </c>
      <c r="AA30" s="64">
        <f t="shared" ref="AA30:AA35" si="14">SUM(G30:Z30)</f>
        <v>0</v>
      </c>
      <c r="AB30" s="58" t="str">
        <f t="shared" ref="AB30:AB35" si="15">IF(ABS(F30-AA30)&lt;0.01,"ok","err")</f>
        <v>ok</v>
      </c>
    </row>
    <row r="31" spans="1:28">
      <c r="A31" s="458" t="s">
        <v>604</v>
      </c>
      <c r="C31" s="60" t="s">
        <v>892</v>
      </c>
      <c r="D31" s="60" t="s">
        <v>367</v>
      </c>
      <c r="E31" s="60" t="s">
        <v>1230</v>
      </c>
      <c r="F31" s="79">
        <f>VLOOKUP(C31,'Functional Assignment'!$C$2:$AP$780,'Functional Assignment'!$T$2,)</f>
        <v>360746497.80348939</v>
      </c>
      <c r="G31" s="79">
        <f t="shared" si="12"/>
        <v>179870383.65494227</v>
      </c>
      <c r="H31" s="79">
        <f t="shared" si="12"/>
        <v>658664.30327195569</v>
      </c>
      <c r="I31" s="79">
        <f t="shared" si="12"/>
        <v>43973122.00162603</v>
      </c>
      <c r="J31" s="79">
        <f t="shared" si="12"/>
        <v>2886533.7294887914</v>
      </c>
      <c r="K31" s="79">
        <f t="shared" si="12"/>
        <v>48928525.551489063</v>
      </c>
      <c r="L31" s="79">
        <f t="shared" si="12"/>
        <v>41032641.97869578</v>
      </c>
      <c r="M31" s="79">
        <f t="shared" si="12"/>
        <v>38847226.027820989</v>
      </c>
      <c r="N31" s="79">
        <f t="shared" si="12"/>
        <v>0</v>
      </c>
      <c r="O31" s="79">
        <f t="shared" si="12"/>
        <v>1301802.5683436708</v>
      </c>
      <c r="P31" s="79">
        <f t="shared" si="12"/>
        <v>3084921.3393682507</v>
      </c>
      <c r="Q31" s="79">
        <f t="shared" si="13"/>
        <v>107447.87318530201</v>
      </c>
      <c r="R31" s="79">
        <f t="shared" si="13"/>
        <v>49323.573357876645</v>
      </c>
      <c r="S31" s="79">
        <f t="shared" si="13"/>
        <v>5367.7478386077701</v>
      </c>
      <c r="T31" s="79">
        <f t="shared" si="13"/>
        <v>537.45406087545678</v>
      </c>
      <c r="U31" s="79">
        <f t="shared" si="13"/>
        <v>0</v>
      </c>
      <c r="V31" s="79">
        <f t="shared" si="13"/>
        <v>0</v>
      </c>
      <c r="W31" s="79">
        <f t="shared" si="13"/>
        <v>0</v>
      </c>
      <c r="X31" s="63">
        <f t="shared" si="13"/>
        <v>0</v>
      </c>
      <c r="Y31" s="63">
        <f t="shared" si="13"/>
        <v>0</v>
      </c>
      <c r="Z31" s="63">
        <f t="shared" si="13"/>
        <v>0</v>
      </c>
      <c r="AA31" s="63">
        <f t="shared" si="14"/>
        <v>360746497.80348945</v>
      </c>
      <c r="AB31" s="58" t="str">
        <f t="shared" si="15"/>
        <v>ok</v>
      </c>
    </row>
    <row r="32" spans="1:28">
      <c r="A32" s="458" t="s">
        <v>605</v>
      </c>
      <c r="C32" s="60" t="s">
        <v>892</v>
      </c>
      <c r="D32" s="60" t="s">
        <v>368</v>
      </c>
      <c r="E32" s="60" t="s">
        <v>1368</v>
      </c>
      <c r="F32" s="79">
        <f>VLOOKUP(C32,'Functional Assignment'!$C$2:$AP$780,'Functional Assignment'!$U$2,)</f>
        <v>590335969.88389969</v>
      </c>
      <c r="G32" s="79">
        <f t="shared" si="12"/>
        <v>510388852.98138285</v>
      </c>
      <c r="H32" s="79">
        <f t="shared" si="12"/>
        <v>1259956.7239477248</v>
      </c>
      <c r="I32" s="79">
        <f t="shared" si="12"/>
        <v>61431952.901315689</v>
      </c>
      <c r="J32" s="79">
        <f t="shared" si="12"/>
        <v>94860.952596225572</v>
      </c>
      <c r="K32" s="79">
        <f t="shared" si="12"/>
        <v>3771400.4439327968</v>
      </c>
      <c r="L32" s="79">
        <f t="shared" si="12"/>
        <v>178880.65346716822</v>
      </c>
      <c r="M32" s="79">
        <f t="shared" si="12"/>
        <v>684354.01515848457</v>
      </c>
      <c r="N32" s="79">
        <f t="shared" si="12"/>
        <v>17617.03405358475</v>
      </c>
      <c r="O32" s="79">
        <f t="shared" si="12"/>
        <v>2710.312931320731</v>
      </c>
      <c r="P32" s="79">
        <f t="shared" si="12"/>
        <v>12333143.478328418</v>
      </c>
      <c r="Q32" s="79">
        <f t="shared" si="13"/>
        <v>21818.019097131888</v>
      </c>
      <c r="R32" s="79">
        <f t="shared" si="13"/>
        <v>135515.64656603654</v>
      </c>
      <c r="S32" s="79">
        <f t="shared" si="13"/>
        <v>1355.1564656603655</v>
      </c>
      <c r="T32" s="79">
        <f t="shared" si="13"/>
        <v>13551.564656603652</v>
      </c>
      <c r="U32" s="79">
        <f t="shared" si="13"/>
        <v>0</v>
      </c>
      <c r="V32" s="79">
        <f t="shared" si="13"/>
        <v>0</v>
      </c>
      <c r="W32" s="79">
        <f t="shared" si="13"/>
        <v>0</v>
      </c>
      <c r="X32" s="63">
        <f t="shared" si="13"/>
        <v>0</v>
      </c>
      <c r="Y32" s="63">
        <f t="shared" si="13"/>
        <v>0</v>
      </c>
      <c r="Z32" s="63">
        <f t="shared" si="13"/>
        <v>0</v>
      </c>
      <c r="AA32" s="63">
        <f t="shared" si="14"/>
        <v>590335969.88389969</v>
      </c>
      <c r="AB32" s="58" t="str">
        <f t="shared" si="15"/>
        <v>ok</v>
      </c>
    </row>
    <row r="33" spans="1:28">
      <c r="A33" s="458" t="s">
        <v>606</v>
      </c>
      <c r="C33" s="60" t="s">
        <v>892</v>
      </c>
      <c r="D33" s="60" t="s">
        <v>369</v>
      </c>
      <c r="E33" s="60" t="s">
        <v>646</v>
      </c>
      <c r="F33" s="79">
        <f>VLOOKUP(C33,'Functional Assignment'!$C$2:$AP$780,'Functional Assignment'!$V$2,)</f>
        <v>100651564.84717923</v>
      </c>
      <c r="G33" s="79">
        <f t="shared" si="12"/>
        <v>76158810.710481182</v>
      </c>
      <c r="H33" s="79">
        <f t="shared" si="12"/>
        <v>158225.22978176374</v>
      </c>
      <c r="I33" s="79">
        <f t="shared" si="12"/>
        <v>12181693.519075744</v>
      </c>
      <c r="J33" s="79">
        <f t="shared" si="12"/>
        <v>0</v>
      </c>
      <c r="K33" s="79">
        <f t="shared" si="12"/>
        <v>11537762.861308863</v>
      </c>
      <c r="L33" s="79">
        <f t="shared" si="12"/>
        <v>0</v>
      </c>
      <c r="M33" s="79">
        <f t="shared" si="12"/>
        <v>0</v>
      </c>
      <c r="N33" s="79">
        <f t="shared" si="12"/>
        <v>0</v>
      </c>
      <c r="O33" s="79">
        <f t="shared" si="12"/>
        <v>0</v>
      </c>
      <c r="P33" s="79">
        <f t="shared" si="12"/>
        <v>584262.69799353101</v>
      </c>
      <c r="Q33" s="79">
        <f t="shared" si="13"/>
        <v>20349.881690587077</v>
      </c>
      <c r="R33" s="79">
        <f t="shared" si="13"/>
        <v>9341.5425790585559</v>
      </c>
      <c r="S33" s="79">
        <f t="shared" si="13"/>
        <v>1016.61419833031</v>
      </c>
      <c r="T33" s="79">
        <f t="shared" si="13"/>
        <v>101.79007018667765</v>
      </c>
      <c r="U33" s="79">
        <f t="shared" si="13"/>
        <v>0</v>
      </c>
      <c r="V33" s="79">
        <f t="shared" si="13"/>
        <v>0</v>
      </c>
      <c r="W33" s="79">
        <f t="shared" si="13"/>
        <v>0</v>
      </c>
      <c r="X33" s="63">
        <f t="shared" si="13"/>
        <v>0</v>
      </c>
      <c r="Y33" s="63">
        <f t="shared" si="13"/>
        <v>0</v>
      </c>
      <c r="Z33" s="63">
        <f t="shared" si="13"/>
        <v>0</v>
      </c>
      <c r="AA33" s="63">
        <f t="shared" si="14"/>
        <v>100651564.84717925</v>
      </c>
      <c r="AB33" s="58" t="str">
        <f t="shared" si="15"/>
        <v>ok</v>
      </c>
    </row>
    <row r="34" spans="1:28">
      <c r="A34" s="458" t="s">
        <v>607</v>
      </c>
      <c r="C34" s="60" t="s">
        <v>892</v>
      </c>
      <c r="D34" s="60" t="s">
        <v>370</v>
      </c>
      <c r="E34" s="60" t="s">
        <v>1367</v>
      </c>
      <c r="F34" s="79">
        <f>VLOOKUP(C34,'Functional Assignment'!$C$2:$AP$780,'Functional Assignment'!$W$2,)</f>
        <v>171988887.71068254</v>
      </c>
      <c r="G34" s="79">
        <f t="shared" si="12"/>
        <v>149833460.11277154</v>
      </c>
      <c r="H34" s="79">
        <f t="shared" si="12"/>
        <v>369882.05059471756</v>
      </c>
      <c r="I34" s="79">
        <f t="shared" si="12"/>
        <v>18034410.451798584</v>
      </c>
      <c r="J34" s="79">
        <f t="shared" si="12"/>
        <v>27848.070493821164</v>
      </c>
      <c r="K34" s="79">
        <f t="shared" si="12"/>
        <v>0</v>
      </c>
      <c r="L34" s="79">
        <f t="shared" si="12"/>
        <v>52513.504359777049</v>
      </c>
      <c r="M34" s="79">
        <f t="shared" si="12"/>
        <v>0</v>
      </c>
      <c r="N34" s="79">
        <f t="shared" si="12"/>
        <v>0</v>
      </c>
      <c r="O34" s="79">
        <f t="shared" si="12"/>
        <v>0</v>
      </c>
      <c r="P34" s="79">
        <f t="shared" si="12"/>
        <v>3620607.2108173859</v>
      </c>
      <c r="Q34" s="79">
        <f t="shared" si="13"/>
        <v>6405.0562135788678</v>
      </c>
      <c r="R34" s="79">
        <f t="shared" si="13"/>
        <v>39782.957848315949</v>
      </c>
      <c r="S34" s="79">
        <f t="shared" si="13"/>
        <v>0</v>
      </c>
      <c r="T34" s="79">
        <f t="shared" si="13"/>
        <v>3978.295784831595</v>
      </c>
      <c r="U34" s="79">
        <f t="shared" si="13"/>
        <v>0</v>
      </c>
      <c r="V34" s="79">
        <f t="shared" si="13"/>
        <v>0</v>
      </c>
      <c r="W34" s="79">
        <f t="shared" si="13"/>
        <v>0</v>
      </c>
      <c r="X34" s="63">
        <f t="shared" si="13"/>
        <v>0</v>
      </c>
      <c r="Y34" s="63">
        <f t="shared" si="13"/>
        <v>0</v>
      </c>
      <c r="Z34" s="63">
        <f t="shared" si="13"/>
        <v>0</v>
      </c>
      <c r="AA34" s="63">
        <f t="shared" si="14"/>
        <v>171988887.71068257</v>
      </c>
      <c r="AB34" s="58" t="str">
        <f t="shared" si="15"/>
        <v>ok</v>
      </c>
    </row>
    <row r="35" spans="1:28">
      <c r="A35" s="44" t="s">
        <v>365</v>
      </c>
      <c r="D35" s="60" t="s">
        <v>371</v>
      </c>
      <c r="F35" s="76">
        <f>SUM(F30:F34)</f>
        <v>1223722920.2452509</v>
      </c>
      <c r="G35" s="76">
        <f t="shared" ref="G35:Z35" si="16">SUM(G30:G34)</f>
        <v>916251507.4595778</v>
      </c>
      <c r="H35" s="76">
        <f t="shared" si="16"/>
        <v>2446728.307596162</v>
      </c>
      <c r="I35" s="76">
        <f t="shared" si="16"/>
        <v>135621178.87381604</v>
      </c>
      <c r="J35" s="76">
        <f t="shared" si="16"/>
        <v>3009242.7525788383</v>
      </c>
      <c r="K35" s="76">
        <f t="shared" si="16"/>
        <v>64237688.856730722</v>
      </c>
      <c r="L35" s="76">
        <f t="shared" si="16"/>
        <v>41264036.136522725</v>
      </c>
      <c r="M35" s="76">
        <f t="shared" si="16"/>
        <v>39531580.042979471</v>
      </c>
      <c r="N35" s="76">
        <f t="shared" si="16"/>
        <v>17617.03405358475</v>
      </c>
      <c r="O35" s="76">
        <f>SUM(O30:O34)</f>
        <v>1304512.8812749914</v>
      </c>
      <c r="P35" s="76">
        <f t="shared" si="16"/>
        <v>19622934.726507585</v>
      </c>
      <c r="Q35" s="76">
        <f t="shared" si="16"/>
        <v>156020.83018659984</v>
      </c>
      <c r="R35" s="76">
        <f t="shared" si="16"/>
        <v>233963.72035128769</v>
      </c>
      <c r="S35" s="76">
        <f t="shared" si="16"/>
        <v>7739.5185025984447</v>
      </c>
      <c r="T35" s="76">
        <f t="shared" si="16"/>
        <v>18169.104572497381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62">
        <f t="shared" si="16"/>
        <v>0</v>
      </c>
      <c r="Y35" s="62">
        <f t="shared" si="16"/>
        <v>0</v>
      </c>
      <c r="Z35" s="62">
        <f t="shared" si="16"/>
        <v>0</v>
      </c>
      <c r="AA35" s="64">
        <f t="shared" si="14"/>
        <v>1223722920.2452512</v>
      </c>
      <c r="AB35" s="58" t="str">
        <f t="shared" si="15"/>
        <v>ok</v>
      </c>
    </row>
    <row r="36" spans="1:28">
      <c r="A36" s="44"/>
      <c r="F36" s="79"/>
    </row>
    <row r="37" spans="1:28" ht="14.1">
      <c r="A37" s="45" t="s">
        <v>613</v>
      </c>
      <c r="F37" s="79"/>
    </row>
    <row r="38" spans="1:28">
      <c r="A38" s="458" t="s">
        <v>1014</v>
      </c>
      <c r="C38" s="60" t="s">
        <v>892</v>
      </c>
      <c r="D38" s="60" t="s">
        <v>372</v>
      </c>
      <c r="E38" s="60" t="s">
        <v>1207</v>
      </c>
      <c r="F38" s="76">
        <f>VLOOKUP(C38,'Functional Assignment'!$C$2:$AP$780,'Functional Assignment'!$X$2,)</f>
        <v>123303835.88024795</v>
      </c>
      <c r="G38" s="76">
        <f t="shared" ref="G38:P39" si="17">IF(VLOOKUP($E38,$D$6:$AN$1150,3,)=0,0,(VLOOKUP($E38,$D$6:$AN$1150,G$2,)/VLOOKUP($E38,$D$6:$AN$1150,3,))*$F38)</f>
        <v>85156183.274185017</v>
      </c>
      <c r="H38" s="76">
        <f t="shared" si="17"/>
        <v>176917.89748551845</v>
      </c>
      <c r="I38" s="76">
        <f t="shared" si="17"/>
        <v>13620834.099469515</v>
      </c>
      <c r="J38" s="76">
        <f t="shared" si="17"/>
        <v>0</v>
      </c>
      <c r="K38" s="76">
        <f t="shared" si="17"/>
        <v>12900829.721812963</v>
      </c>
      <c r="L38" s="76">
        <f t="shared" si="17"/>
        <v>0</v>
      </c>
      <c r="M38" s="76">
        <f t="shared" si="17"/>
        <v>10761333.929382572</v>
      </c>
      <c r="N38" s="76">
        <f t="shared" si="17"/>
        <v>0</v>
      </c>
      <c r="O38" s="76">
        <f t="shared" si="17"/>
        <v>0</v>
      </c>
      <c r="P38" s="76">
        <f t="shared" si="17"/>
        <v>653287.26809752721</v>
      </c>
      <c r="Q38" s="76">
        <f t="shared" ref="Q38:Z39" si="18">IF(VLOOKUP($E38,$D$6:$AN$1150,3,)=0,0,(VLOOKUP($E38,$D$6:$AN$1150,Q$2,)/VLOOKUP($E38,$D$6:$AN$1150,3,))*$F38)</f>
        <v>22754.008875471143</v>
      </c>
      <c r="R38" s="76">
        <f t="shared" si="18"/>
        <v>10445.148821322598</v>
      </c>
      <c r="S38" s="76">
        <f t="shared" si="18"/>
        <v>1136.7166081578587</v>
      </c>
      <c r="T38" s="76">
        <f t="shared" si="18"/>
        <v>113.81550987266085</v>
      </c>
      <c r="U38" s="76">
        <f t="shared" si="18"/>
        <v>0</v>
      </c>
      <c r="V38" s="76">
        <f t="shared" si="18"/>
        <v>0</v>
      </c>
      <c r="W38" s="76">
        <f t="shared" si="18"/>
        <v>0</v>
      </c>
      <c r="X38" s="62">
        <f t="shared" si="18"/>
        <v>0</v>
      </c>
      <c r="Y38" s="62">
        <f t="shared" si="18"/>
        <v>0</v>
      </c>
      <c r="Z38" s="62">
        <f t="shared" si="18"/>
        <v>0</v>
      </c>
      <c r="AA38" s="64">
        <f>SUM(G38:Z38)</f>
        <v>123303835.88024794</v>
      </c>
      <c r="AB38" s="58" t="str">
        <f>IF(ABS(F38-AA38)&lt;0.01,"ok","err")</f>
        <v>ok</v>
      </c>
    </row>
    <row r="39" spans="1:28">
      <c r="A39" s="458" t="s">
        <v>1017</v>
      </c>
      <c r="C39" s="60" t="s">
        <v>892</v>
      </c>
      <c r="D39" s="60" t="s">
        <v>373</v>
      </c>
      <c r="E39" s="60" t="s">
        <v>1369</v>
      </c>
      <c r="F39" s="79">
        <f>VLOOKUP(C39,'Functional Assignment'!$C$2:$AP$780,'Functional Assignment'!$Y$2,)</f>
        <v>68730532.964510858</v>
      </c>
      <c r="G39" s="79">
        <f t="shared" si="17"/>
        <v>59452214.135557733</v>
      </c>
      <c r="H39" s="79">
        <f t="shared" si="17"/>
        <v>146764.99401605912</v>
      </c>
      <c r="I39" s="79">
        <f t="shared" si="17"/>
        <v>7155849.108616286</v>
      </c>
      <c r="J39" s="79">
        <f t="shared" si="17"/>
        <v>0</v>
      </c>
      <c r="K39" s="79">
        <f t="shared" si="17"/>
        <v>439308.39295153803</v>
      </c>
      <c r="L39" s="79">
        <f t="shared" si="17"/>
        <v>0</v>
      </c>
      <c r="M39" s="79">
        <f t="shared" si="17"/>
        <v>79717.263963278179</v>
      </c>
      <c r="N39" s="79">
        <f t="shared" si="17"/>
        <v>0</v>
      </c>
      <c r="O39" s="79">
        <f t="shared" si="17"/>
        <v>0</v>
      </c>
      <c r="P39" s="79">
        <f t="shared" si="17"/>
        <v>1436615.7935367059</v>
      </c>
      <c r="Q39" s="79">
        <f t="shared" si="18"/>
        <v>2541.4535129427827</v>
      </c>
      <c r="R39" s="79">
        <f t="shared" si="18"/>
        <v>15785.42554622846</v>
      </c>
      <c r="S39" s="79">
        <f t="shared" si="18"/>
        <v>157.85425546228461</v>
      </c>
      <c r="T39" s="79">
        <f t="shared" si="18"/>
        <v>1578.542554622846</v>
      </c>
      <c r="U39" s="79">
        <f t="shared" si="18"/>
        <v>0</v>
      </c>
      <c r="V39" s="79">
        <f t="shared" si="18"/>
        <v>0</v>
      </c>
      <c r="W39" s="79">
        <f t="shared" si="18"/>
        <v>0</v>
      </c>
      <c r="X39" s="63">
        <f t="shared" si="18"/>
        <v>0</v>
      </c>
      <c r="Y39" s="63">
        <f t="shared" si="18"/>
        <v>0</v>
      </c>
      <c r="Z39" s="63">
        <f t="shared" si="18"/>
        <v>0</v>
      </c>
      <c r="AA39" s="63">
        <f>SUM(G39:Z39)</f>
        <v>68730532.964510858</v>
      </c>
      <c r="AB39" s="58" t="str">
        <f>IF(ABS(F39-AA39)&lt;0.01,"ok","err")</f>
        <v>ok</v>
      </c>
    </row>
    <row r="40" spans="1:28">
      <c r="A40" s="44" t="s">
        <v>672</v>
      </c>
      <c r="D40" s="60" t="s">
        <v>376</v>
      </c>
      <c r="F40" s="76">
        <f t="shared" ref="F40:Q40" si="19">F38+F39</f>
        <v>192034368.84475881</v>
      </c>
      <c r="G40" s="76">
        <f t="shared" si="19"/>
        <v>144608397.40974274</v>
      </c>
      <c r="H40" s="76">
        <f t="shared" si="19"/>
        <v>323682.89150157757</v>
      </c>
      <c r="I40" s="76">
        <f t="shared" si="19"/>
        <v>20776683.208085801</v>
      </c>
      <c r="J40" s="76">
        <f t="shared" si="19"/>
        <v>0</v>
      </c>
      <c r="K40" s="76">
        <f t="shared" si="19"/>
        <v>13340138.114764502</v>
      </c>
      <c r="L40" s="76">
        <f t="shared" si="19"/>
        <v>0</v>
      </c>
      <c r="M40" s="76">
        <f t="shared" si="19"/>
        <v>10841051.19334585</v>
      </c>
      <c r="N40" s="76">
        <f t="shared" si="19"/>
        <v>0</v>
      </c>
      <c r="O40" s="76">
        <f>O38+O39</f>
        <v>0</v>
      </c>
      <c r="P40" s="76">
        <f t="shared" si="19"/>
        <v>2089903.0616342332</v>
      </c>
      <c r="Q40" s="76">
        <f t="shared" si="19"/>
        <v>25295.462388413926</v>
      </c>
      <c r="R40" s="76">
        <f t="shared" ref="R40:Z40" si="20">R38+R39</f>
        <v>26230.57436755106</v>
      </c>
      <c r="S40" s="76">
        <f t="shared" si="20"/>
        <v>1294.5708636201432</v>
      </c>
      <c r="T40" s="76">
        <f t="shared" si="20"/>
        <v>1692.3580644955068</v>
      </c>
      <c r="U40" s="76">
        <f t="shared" si="20"/>
        <v>0</v>
      </c>
      <c r="V40" s="76">
        <f t="shared" si="20"/>
        <v>0</v>
      </c>
      <c r="W40" s="76">
        <f t="shared" si="20"/>
        <v>0</v>
      </c>
      <c r="X40" s="62">
        <f t="shared" si="20"/>
        <v>0</v>
      </c>
      <c r="Y40" s="62">
        <f t="shared" si="20"/>
        <v>0</v>
      </c>
      <c r="Z40" s="62">
        <f t="shared" si="20"/>
        <v>0</v>
      </c>
      <c r="AA40" s="64">
        <f>SUM(G40:Z40)</f>
        <v>192034368.84475884</v>
      </c>
      <c r="AB40" s="58" t="str">
        <f>IF(ABS(F40-AA40)&lt;0.01,"ok","err")</f>
        <v>ok</v>
      </c>
    </row>
    <row r="41" spans="1:28">
      <c r="A41" s="44"/>
      <c r="F41" s="79"/>
    </row>
    <row r="42" spans="1:28" ht="14.1">
      <c r="A42" s="45" t="s">
        <v>343</v>
      </c>
      <c r="F42" s="79"/>
    </row>
    <row r="43" spans="1:28">
      <c r="A43" s="458" t="s">
        <v>1017</v>
      </c>
      <c r="C43" s="60" t="s">
        <v>892</v>
      </c>
      <c r="D43" s="60" t="s">
        <v>364</v>
      </c>
      <c r="E43" s="60" t="s">
        <v>1019</v>
      </c>
      <c r="F43" s="76">
        <f>VLOOKUP(C43,'Functional Assignment'!$C$2:$AP$780,'Functional Assignment'!$Z$2,)</f>
        <v>43944307.629729785</v>
      </c>
      <c r="G43" s="76">
        <f t="shared" ref="G43:Z43" si="21">IF(VLOOKUP($E43,$D$6:$AN$1150,3,)=0,0,(VLOOKUP($E43,$D$6:$AN$1150,G$2,)/VLOOKUP($E43,$D$6:$AN$1150,3,))*$F43)</f>
        <v>37756989.251137272</v>
      </c>
      <c r="H43" s="76">
        <f t="shared" si="21"/>
        <v>93197.358532403043</v>
      </c>
      <c r="I43" s="76">
        <f t="shared" si="21"/>
        <v>5390780.1544474876</v>
      </c>
      <c r="J43" s="76">
        <f t="shared" si="21"/>
        <v>0</v>
      </c>
      <c r="K43" s="76">
        <f t="shared" si="21"/>
        <v>554489.38536644494</v>
      </c>
      <c r="L43" s="76">
        <f t="shared" si="21"/>
        <v>0</v>
      </c>
      <c r="M43" s="76">
        <f t="shared" si="21"/>
        <v>148652.19548073233</v>
      </c>
      <c r="N43" s="76">
        <f t="shared" si="21"/>
        <v>0</v>
      </c>
      <c r="O43" s="76">
        <f t="shared" si="21"/>
        <v>0</v>
      </c>
      <c r="P43" s="76">
        <f t="shared" si="21"/>
        <v>0</v>
      </c>
      <c r="Q43" s="76">
        <f t="shared" si="21"/>
        <v>0</v>
      </c>
      <c r="R43" s="76">
        <f t="shared" si="21"/>
        <v>0</v>
      </c>
      <c r="S43" s="76">
        <f t="shared" si="21"/>
        <v>199.28476543707001</v>
      </c>
      <c r="T43" s="76">
        <f t="shared" si="21"/>
        <v>0</v>
      </c>
      <c r="U43" s="76">
        <f t="shared" si="21"/>
        <v>0</v>
      </c>
      <c r="V43" s="76">
        <f t="shared" si="21"/>
        <v>0</v>
      </c>
      <c r="W43" s="76">
        <f t="shared" si="21"/>
        <v>0</v>
      </c>
      <c r="X43" s="62">
        <f t="shared" si="21"/>
        <v>0</v>
      </c>
      <c r="Y43" s="62">
        <f t="shared" si="21"/>
        <v>0</v>
      </c>
      <c r="Z43" s="62">
        <f t="shared" si="21"/>
        <v>0</v>
      </c>
      <c r="AA43" s="64">
        <f>SUM(G43:Z43)</f>
        <v>43944307.629729785</v>
      </c>
      <c r="AB43" s="58" t="str">
        <f>IF(ABS(F43-AA43)&lt;0.01,"ok","err")</f>
        <v>ok</v>
      </c>
    </row>
    <row r="44" spans="1:28">
      <c r="A44" s="44"/>
      <c r="F44" s="79"/>
    </row>
    <row r="45" spans="1:28" ht="14.1">
      <c r="A45" s="45" t="s">
        <v>342</v>
      </c>
      <c r="F45" s="79"/>
    </row>
    <row r="46" spans="1:28">
      <c r="A46" s="458" t="s">
        <v>1017</v>
      </c>
      <c r="C46" s="60" t="s">
        <v>892</v>
      </c>
      <c r="D46" s="60" t="s">
        <v>375</v>
      </c>
      <c r="E46" s="60" t="s">
        <v>1281</v>
      </c>
      <c r="F46" s="76">
        <f>VLOOKUP(C46,'Functional Assignment'!$C$2:$AP$780,'Functional Assignment'!$AA$2,)</f>
        <v>44815612.309450604</v>
      </c>
      <c r="G46" s="76">
        <f t="shared" ref="G46:Z46" si="22">IF(VLOOKUP($E46,$D$6:$AN$1150,3,)=0,0,(VLOOKUP($E46,$D$6:$AN$1150,G$2,)/VLOOKUP($E46,$D$6:$AN$1150,3,))*$F46)</f>
        <v>30433070.368712001</v>
      </c>
      <c r="H46" s="76">
        <f t="shared" si="22"/>
        <v>75119.383898155313</v>
      </c>
      <c r="I46" s="76">
        <f t="shared" si="22"/>
        <v>9479010.4623191208</v>
      </c>
      <c r="J46" s="76">
        <f t="shared" si="22"/>
        <v>309833.18146081886</v>
      </c>
      <c r="K46" s="76">
        <f t="shared" si="22"/>
        <v>2650781.9904175363</v>
      </c>
      <c r="L46" s="76">
        <f t="shared" si="22"/>
        <v>618859.83527771977</v>
      </c>
      <c r="M46" s="76">
        <f t="shared" si="22"/>
        <v>524043.18550742656</v>
      </c>
      <c r="N46" s="76">
        <f t="shared" si="22"/>
        <v>437344.78288600536</v>
      </c>
      <c r="O46" s="76">
        <f t="shared" si="22"/>
        <v>9405.5562906548857</v>
      </c>
      <c r="P46" s="76">
        <f t="shared" si="22"/>
        <v>0</v>
      </c>
      <c r="Q46" s="76">
        <f t="shared" si="22"/>
        <v>13008.035286478089</v>
      </c>
      <c r="R46" s="76">
        <f t="shared" si="22"/>
        <v>80795.250226571981</v>
      </c>
      <c r="S46" s="76">
        <f t="shared" si="22"/>
        <v>952.69716810910143</v>
      </c>
      <c r="T46" s="76">
        <f t="shared" si="22"/>
        <v>183387.58000000005</v>
      </c>
      <c r="U46" s="76">
        <f t="shared" si="22"/>
        <v>0</v>
      </c>
      <c r="V46" s="76">
        <f t="shared" si="22"/>
        <v>0</v>
      </c>
      <c r="W46" s="76">
        <f t="shared" si="22"/>
        <v>0</v>
      </c>
      <c r="X46" s="62">
        <f t="shared" si="22"/>
        <v>0</v>
      </c>
      <c r="Y46" s="62">
        <f t="shared" si="22"/>
        <v>0</v>
      </c>
      <c r="Z46" s="62">
        <f t="shared" si="22"/>
        <v>0</v>
      </c>
      <c r="AA46" s="64">
        <f>SUM(G46:Z46)</f>
        <v>44815612.309450604</v>
      </c>
      <c r="AB46" s="58" t="str">
        <f>IF(ABS(F46-AA46)&lt;0.01,"ok","err")</f>
        <v>ok</v>
      </c>
    </row>
    <row r="47" spans="1:28">
      <c r="A47" s="44"/>
      <c r="F47" s="79"/>
    </row>
    <row r="48" spans="1:28" ht="14.1">
      <c r="A48" s="45" t="s">
        <v>358</v>
      </c>
      <c r="F48" s="79"/>
    </row>
    <row r="49" spans="1:28">
      <c r="A49" s="458" t="s">
        <v>1017</v>
      </c>
      <c r="C49" s="60" t="s">
        <v>892</v>
      </c>
      <c r="D49" s="60" t="s">
        <v>377</v>
      </c>
      <c r="E49" s="60" t="s">
        <v>1365</v>
      </c>
      <c r="F49" s="76">
        <f>VLOOKUP(C49,'Functional Assignment'!$C$2:$AP$780,'Functional Assignment'!$AB$2,)</f>
        <v>144886355.04595384</v>
      </c>
      <c r="G49" s="76">
        <f t="shared" ref="G49:Z49" si="23">IF(VLOOKUP($E49,$D$6:$AN$1150,3,)=0,0,(VLOOKUP($E49,$D$6:$AN$1150,G$2,)/VLOOKUP($E49,$D$6:$AN$1150,3,))*$F49)</f>
        <v>0</v>
      </c>
      <c r="H49" s="76">
        <f t="shared" si="23"/>
        <v>0</v>
      </c>
      <c r="I49" s="76">
        <f t="shared" si="23"/>
        <v>0</v>
      </c>
      <c r="J49" s="76">
        <f t="shared" si="23"/>
        <v>0</v>
      </c>
      <c r="K49" s="76">
        <f t="shared" si="23"/>
        <v>0</v>
      </c>
      <c r="L49" s="76">
        <f t="shared" si="23"/>
        <v>0</v>
      </c>
      <c r="M49" s="76">
        <f t="shared" si="23"/>
        <v>0</v>
      </c>
      <c r="N49" s="76">
        <f t="shared" si="23"/>
        <v>0</v>
      </c>
      <c r="O49" s="76">
        <f t="shared" si="23"/>
        <v>0</v>
      </c>
      <c r="P49" s="76">
        <f t="shared" si="23"/>
        <v>144886355.04595384</v>
      </c>
      <c r="Q49" s="76">
        <f t="shared" si="23"/>
        <v>0</v>
      </c>
      <c r="R49" s="76">
        <f t="shared" si="23"/>
        <v>0</v>
      </c>
      <c r="S49" s="76">
        <f t="shared" si="23"/>
        <v>0</v>
      </c>
      <c r="T49" s="76">
        <f t="shared" si="23"/>
        <v>0</v>
      </c>
      <c r="U49" s="76">
        <f t="shared" si="23"/>
        <v>0</v>
      </c>
      <c r="V49" s="76">
        <f t="shared" si="23"/>
        <v>0</v>
      </c>
      <c r="W49" s="76">
        <f t="shared" si="23"/>
        <v>0</v>
      </c>
      <c r="X49" s="62">
        <f t="shared" si="23"/>
        <v>0</v>
      </c>
      <c r="Y49" s="62">
        <f t="shared" si="23"/>
        <v>0</v>
      </c>
      <c r="Z49" s="62">
        <f t="shared" si="23"/>
        <v>0</v>
      </c>
      <c r="AA49" s="64">
        <f>SUM(G49:Z49)</f>
        <v>144886355.04595384</v>
      </c>
      <c r="AB49" s="58" t="str">
        <f>IF(ABS(F49-AA49)&lt;0.01,"ok","err")</f>
        <v>ok</v>
      </c>
    </row>
    <row r="50" spans="1:28">
      <c r="A50" s="44"/>
      <c r="F50" s="79"/>
    </row>
    <row r="51" spans="1:28" ht="14.1">
      <c r="A51" s="45" t="s">
        <v>949</v>
      </c>
      <c r="F51" s="79"/>
    </row>
    <row r="52" spans="1:28">
      <c r="A52" s="458" t="s">
        <v>1017</v>
      </c>
      <c r="C52" s="60" t="s">
        <v>892</v>
      </c>
      <c r="D52" s="60" t="s">
        <v>378</v>
      </c>
      <c r="E52" s="60" t="s">
        <v>1364</v>
      </c>
      <c r="F52" s="76">
        <f>VLOOKUP(C52,'Functional Assignment'!$C$2:$AP$780,'Functional Assignment'!$AC$2,)</f>
        <v>0</v>
      </c>
      <c r="G52" s="76">
        <f t="shared" ref="G52:Z52" si="24">IF(VLOOKUP($E52,$D$6:$AN$1150,3,)=0,0,(VLOOKUP($E52,$D$6:$AN$1150,G$2,)/VLOOKUP($E52,$D$6:$AN$1150,3,))*$F52)</f>
        <v>0</v>
      </c>
      <c r="H52" s="76">
        <f t="shared" si="24"/>
        <v>0</v>
      </c>
      <c r="I52" s="76">
        <f t="shared" si="24"/>
        <v>0</v>
      </c>
      <c r="J52" s="76">
        <f t="shared" si="24"/>
        <v>0</v>
      </c>
      <c r="K52" s="76">
        <f t="shared" si="24"/>
        <v>0</v>
      </c>
      <c r="L52" s="76">
        <f t="shared" si="24"/>
        <v>0</v>
      </c>
      <c r="M52" s="76">
        <f t="shared" si="24"/>
        <v>0</v>
      </c>
      <c r="N52" s="76">
        <f t="shared" si="24"/>
        <v>0</v>
      </c>
      <c r="O52" s="76">
        <f t="shared" si="24"/>
        <v>0</v>
      </c>
      <c r="P52" s="76">
        <f t="shared" si="24"/>
        <v>0</v>
      </c>
      <c r="Q52" s="76">
        <f t="shared" si="24"/>
        <v>0</v>
      </c>
      <c r="R52" s="76">
        <f t="shared" si="24"/>
        <v>0</v>
      </c>
      <c r="S52" s="76">
        <f t="shared" si="24"/>
        <v>0</v>
      </c>
      <c r="T52" s="76">
        <f t="shared" si="24"/>
        <v>0</v>
      </c>
      <c r="U52" s="76">
        <f t="shared" si="24"/>
        <v>0</v>
      </c>
      <c r="V52" s="76">
        <f t="shared" si="24"/>
        <v>0</v>
      </c>
      <c r="W52" s="76">
        <f t="shared" si="24"/>
        <v>0</v>
      </c>
      <c r="X52" s="62">
        <f t="shared" si="24"/>
        <v>0</v>
      </c>
      <c r="Y52" s="62">
        <f t="shared" si="24"/>
        <v>0</v>
      </c>
      <c r="Z52" s="62">
        <f t="shared" si="24"/>
        <v>0</v>
      </c>
      <c r="AA52" s="64">
        <f>SUM(G52:Z52)</f>
        <v>0</v>
      </c>
      <c r="AB52" s="58" t="str">
        <f>IF(ABS(F52-AA52)&lt;0.01,"ok","err")</f>
        <v>ok</v>
      </c>
    </row>
    <row r="53" spans="1:28">
      <c r="A53" s="44"/>
      <c r="F53" s="79"/>
    </row>
    <row r="54" spans="1:28" ht="14.1">
      <c r="A54" s="45" t="s">
        <v>340</v>
      </c>
      <c r="F54" s="79"/>
    </row>
    <row r="55" spans="1:28">
      <c r="A55" s="458" t="s">
        <v>1017</v>
      </c>
      <c r="C55" s="60" t="s">
        <v>892</v>
      </c>
      <c r="D55" s="60" t="s">
        <v>379</v>
      </c>
      <c r="E55" s="60" t="s">
        <v>1370</v>
      </c>
      <c r="F55" s="76">
        <f>VLOOKUP(C55,'Functional Assignment'!$C$2:$AP$780,'Functional Assignment'!$AD$2,)</f>
        <v>0</v>
      </c>
      <c r="G55" s="76">
        <f t="shared" ref="G55:Z55" si="25">IF(VLOOKUP($E55,$D$6:$AN$1150,3,)=0,0,(VLOOKUP($E55,$D$6:$AN$1150,G$2,)/VLOOKUP($E55,$D$6:$AN$1150,3,))*$F55)</f>
        <v>0</v>
      </c>
      <c r="H55" s="76">
        <f t="shared" si="25"/>
        <v>0</v>
      </c>
      <c r="I55" s="76">
        <f t="shared" si="25"/>
        <v>0</v>
      </c>
      <c r="J55" s="76">
        <f t="shared" si="25"/>
        <v>0</v>
      </c>
      <c r="K55" s="76">
        <f t="shared" si="25"/>
        <v>0</v>
      </c>
      <c r="L55" s="76">
        <f t="shared" si="25"/>
        <v>0</v>
      </c>
      <c r="M55" s="76">
        <f t="shared" si="25"/>
        <v>0</v>
      </c>
      <c r="N55" s="76">
        <f t="shared" si="25"/>
        <v>0</v>
      </c>
      <c r="O55" s="76">
        <f t="shared" si="25"/>
        <v>0</v>
      </c>
      <c r="P55" s="76">
        <f t="shared" si="25"/>
        <v>0</v>
      </c>
      <c r="Q55" s="76">
        <f t="shared" si="25"/>
        <v>0</v>
      </c>
      <c r="R55" s="76">
        <f t="shared" si="25"/>
        <v>0</v>
      </c>
      <c r="S55" s="76">
        <f t="shared" si="25"/>
        <v>0</v>
      </c>
      <c r="T55" s="76">
        <f t="shared" si="25"/>
        <v>0</v>
      </c>
      <c r="U55" s="76">
        <f t="shared" si="25"/>
        <v>0</v>
      </c>
      <c r="V55" s="76">
        <f t="shared" si="25"/>
        <v>0</v>
      </c>
      <c r="W55" s="76">
        <f t="shared" si="25"/>
        <v>0</v>
      </c>
      <c r="X55" s="62">
        <f t="shared" si="25"/>
        <v>0</v>
      </c>
      <c r="Y55" s="62">
        <f t="shared" si="25"/>
        <v>0</v>
      </c>
      <c r="Z55" s="62">
        <f t="shared" si="25"/>
        <v>0</v>
      </c>
      <c r="AA55" s="64">
        <f>SUM(G55:Z55)</f>
        <v>0</v>
      </c>
      <c r="AB55" s="58" t="str">
        <f>IF(ABS(F55-AA55)&lt;0.01,"ok","err")</f>
        <v>ok</v>
      </c>
    </row>
    <row r="56" spans="1:28">
      <c r="A56" s="44"/>
      <c r="F56" s="79"/>
    </row>
    <row r="57" spans="1:28" ht="14.1">
      <c r="A57" s="45" t="s">
        <v>339</v>
      </c>
      <c r="F57" s="79"/>
    </row>
    <row r="58" spans="1:28">
      <c r="A58" s="458" t="s">
        <v>1017</v>
      </c>
      <c r="C58" s="60" t="s">
        <v>892</v>
      </c>
      <c r="D58" s="60" t="s">
        <v>380</v>
      </c>
      <c r="E58" s="60" t="s">
        <v>1370</v>
      </c>
      <c r="F58" s="76">
        <f>VLOOKUP(C58,'Functional Assignment'!$C$2:$AP$780,'Functional Assignment'!$AE$2,)</f>
        <v>0</v>
      </c>
      <c r="G58" s="76">
        <f t="shared" ref="G58:Z58" si="26">IF(VLOOKUP($E58,$D$6:$AN$1150,3,)=0,0,(VLOOKUP($E58,$D$6:$AN$1150,G$2,)/VLOOKUP($E58,$D$6:$AN$1150,3,))*$F58)</f>
        <v>0</v>
      </c>
      <c r="H58" s="76">
        <f t="shared" si="26"/>
        <v>0</v>
      </c>
      <c r="I58" s="76">
        <f t="shared" si="26"/>
        <v>0</v>
      </c>
      <c r="J58" s="76">
        <f t="shared" si="26"/>
        <v>0</v>
      </c>
      <c r="K58" s="76">
        <f t="shared" si="26"/>
        <v>0</v>
      </c>
      <c r="L58" s="76">
        <f t="shared" si="26"/>
        <v>0</v>
      </c>
      <c r="M58" s="76">
        <f t="shared" si="26"/>
        <v>0</v>
      </c>
      <c r="N58" s="76">
        <f t="shared" si="26"/>
        <v>0</v>
      </c>
      <c r="O58" s="76">
        <f t="shared" si="26"/>
        <v>0</v>
      </c>
      <c r="P58" s="76">
        <f t="shared" si="26"/>
        <v>0</v>
      </c>
      <c r="Q58" s="76">
        <f t="shared" si="26"/>
        <v>0</v>
      </c>
      <c r="R58" s="76">
        <f t="shared" si="26"/>
        <v>0</v>
      </c>
      <c r="S58" s="76">
        <f t="shared" si="26"/>
        <v>0</v>
      </c>
      <c r="T58" s="76">
        <f t="shared" si="26"/>
        <v>0</v>
      </c>
      <c r="U58" s="76">
        <f t="shared" si="26"/>
        <v>0</v>
      </c>
      <c r="V58" s="76">
        <f t="shared" si="26"/>
        <v>0</v>
      </c>
      <c r="W58" s="76">
        <f t="shared" si="26"/>
        <v>0</v>
      </c>
      <c r="X58" s="62">
        <f t="shared" si="26"/>
        <v>0</v>
      </c>
      <c r="Y58" s="62">
        <f t="shared" si="26"/>
        <v>0</v>
      </c>
      <c r="Z58" s="62">
        <f t="shared" si="26"/>
        <v>0</v>
      </c>
      <c r="AA58" s="64">
        <f>SUM(G58:Z58)</f>
        <v>0</v>
      </c>
      <c r="AB58" s="58" t="str">
        <f>IF(ABS(F58-AA58)&lt;0.01,"ok","err")</f>
        <v>ok</v>
      </c>
    </row>
    <row r="59" spans="1:28">
      <c r="A59" s="44"/>
      <c r="F59" s="79"/>
    </row>
    <row r="60" spans="1:28">
      <c r="A60" s="44" t="s">
        <v>846</v>
      </c>
      <c r="D60" s="60" t="s">
        <v>1024</v>
      </c>
      <c r="F60" s="76">
        <f t="shared" ref="F60:Z60" si="27">F15+F21+F24+F27+F35+F40+F43+F46+F49+F52+F55+F58</f>
        <v>6362551707.5583811</v>
      </c>
      <c r="G60" s="76">
        <f t="shared" si="27"/>
        <v>3227054489.0471663</v>
      </c>
      <c r="H60" s="76">
        <f t="shared" si="27"/>
        <v>5070952.5722110365</v>
      </c>
      <c r="I60" s="76">
        <f t="shared" si="27"/>
        <v>743241888.72360075</v>
      </c>
      <c r="J60" s="76">
        <f t="shared" si="27"/>
        <v>41867753.382276505</v>
      </c>
      <c r="K60" s="76">
        <f t="shared" si="27"/>
        <v>718239359.44333076</v>
      </c>
      <c r="L60" s="76">
        <f t="shared" si="27"/>
        <v>610215700.9315058</v>
      </c>
      <c r="M60" s="76">
        <f t="shared" si="27"/>
        <v>543470213.15142679</v>
      </c>
      <c r="N60" s="76">
        <f t="shared" si="27"/>
        <v>262935743.79892796</v>
      </c>
      <c r="O60" s="76">
        <f t="shared" si="27"/>
        <v>17902635.943808943</v>
      </c>
      <c r="P60" s="76">
        <f t="shared" si="27"/>
        <v>187556131.16798353</v>
      </c>
      <c r="Q60" s="76">
        <f t="shared" si="27"/>
        <v>924254.91757076199</v>
      </c>
      <c r="R60" s="76">
        <f t="shared" si="27"/>
        <v>1123340.9811747018</v>
      </c>
      <c r="S60" s="76">
        <f t="shared" si="27"/>
        <v>22973.900627358951</v>
      </c>
      <c r="T60" s="76">
        <f t="shared" si="27"/>
        <v>210555.48676902635</v>
      </c>
      <c r="U60" s="76">
        <f t="shared" si="27"/>
        <v>2630742.58</v>
      </c>
      <c r="V60" s="76">
        <f t="shared" si="27"/>
        <v>84971.530000000013</v>
      </c>
      <c r="W60" s="76">
        <f t="shared" si="27"/>
        <v>0</v>
      </c>
      <c r="X60" s="62">
        <f t="shared" si="27"/>
        <v>0</v>
      </c>
      <c r="Y60" s="62">
        <f t="shared" si="27"/>
        <v>0</v>
      </c>
      <c r="Z60" s="62">
        <f t="shared" si="27"/>
        <v>0</v>
      </c>
      <c r="AA60" s="64">
        <f>SUM(G60:Z60)</f>
        <v>6362551707.5583801</v>
      </c>
      <c r="AB60" s="58" t="str">
        <f>IF(ABS(F60-AA60)&lt;0.01,"ok","err")</f>
        <v>ok</v>
      </c>
    </row>
    <row r="61" spans="1:28">
      <c r="A61" s="44"/>
    </row>
    <row r="62" spans="1:28">
      <c r="A62" s="44"/>
    </row>
    <row r="63" spans="1:28">
      <c r="A63" s="44"/>
    </row>
    <row r="64" spans="1:28">
      <c r="A64" s="44"/>
    </row>
    <row r="65" spans="1:28" ht="14.1">
      <c r="A65" s="45" t="s">
        <v>896</v>
      </c>
    </row>
    <row r="66" spans="1:28">
      <c r="A66" s="44"/>
    </row>
    <row r="67" spans="1:28" ht="14.1">
      <c r="A67" s="45" t="s">
        <v>352</v>
      </c>
    </row>
    <row r="68" spans="1:28">
      <c r="A68" s="458" t="s">
        <v>1441</v>
      </c>
      <c r="C68" s="60" t="s">
        <v>897</v>
      </c>
      <c r="D68" s="44" t="s">
        <v>1433</v>
      </c>
      <c r="E68" s="44" t="s">
        <v>1417</v>
      </c>
      <c r="F68" s="76">
        <f>VLOOKUP(C68,'Functional Assignment'!$C$2:$AP$780,'Functional Assignment'!$H$2,)</f>
        <v>2495383412.90588</v>
      </c>
      <c r="G68" s="76">
        <f t="shared" ref="G68:P73" si="28">IF(VLOOKUP($E68,$D$6:$AN$1150,3,)=0,0,(VLOOKUP($E68,$D$6:$AN$1150,G$2,)/VLOOKUP($E68,$D$6:$AN$1150,3,))*$F68)</f>
        <v>1091668196.6326091</v>
      </c>
      <c r="H68" s="76">
        <f t="shared" si="28"/>
        <v>415698.06691600318</v>
      </c>
      <c r="I68" s="76">
        <f t="shared" si="28"/>
        <v>305002829.58305395</v>
      </c>
      <c r="J68" s="76">
        <f t="shared" si="28"/>
        <v>20668283.724883426</v>
      </c>
      <c r="K68" s="76">
        <f t="shared" si="28"/>
        <v>340035763.40166694</v>
      </c>
      <c r="L68" s="76">
        <f t="shared" si="28"/>
        <v>306939946.33540463</v>
      </c>
      <c r="M68" s="76">
        <f t="shared" si="28"/>
        <v>261140374.4242765</v>
      </c>
      <c r="N68" s="76">
        <f t="shared" si="28"/>
        <v>148367727.00145146</v>
      </c>
      <c r="O68" s="76">
        <f t="shared" si="28"/>
        <v>8807272.2095681056</v>
      </c>
      <c r="P68" s="76">
        <f t="shared" si="28"/>
        <v>9026540.6824364085</v>
      </c>
      <c r="Q68" s="76">
        <f t="shared" ref="Q68:Z73" si="29">IF(VLOOKUP($E68,$D$6:$AN$1150,3,)=0,0,(VLOOKUP($E68,$D$6:$AN$1150,Q$2,)/VLOOKUP($E68,$D$6:$AN$1150,3,))*$F68)</f>
        <v>314394.59611862106</v>
      </c>
      <c r="R68" s="76">
        <f t="shared" si="29"/>
        <v>432965.24533995276</v>
      </c>
      <c r="S68" s="76">
        <f t="shared" si="29"/>
        <v>426.52919911198666</v>
      </c>
      <c r="T68" s="76">
        <f t="shared" si="29"/>
        <v>3931.5029556203003</v>
      </c>
      <c r="U68" s="76">
        <f t="shared" si="29"/>
        <v>2486734.1800000006</v>
      </c>
      <c r="V68" s="76">
        <f t="shared" si="29"/>
        <v>72328.790000000008</v>
      </c>
      <c r="W68" s="76">
        <f t="shared" si="29"/>
        <v>0</v>
      </c>
      <c r="X68" s="62">
        <f t="shared" si="29"/>
        <v>0</v>
      </c>
      <c r="Y68" s="62">
        <f t="shared" si="29"/>
        <v>0</v>
      </c>
      <c r="Z68" s="62">
        <f t="shared" si="29"/>
        <v>0</v>
      </c>
      <c r="AA68" s="64">
        <f t="shared" ref="AA68:AA74" si="30">SUM(G68:Z68)</f>
        <v>2495383412.905879</v>
      </c>
      <c r="AB68" s="58" t="str">
        <f t="shared" ref="AB68:AB74" si="31">IF(ABS(F68-AA68)&lt;0.01,"ok","err")</f>
        <v>ok</v>
      </c>
    </row>
    <row r="69" spans="1:28" hidden="1">
      <c r="A69" s="458" t="s">
        <v>1256</v>
      </c>
      <c r="C69" s="60" t="s">
        <v>897</v>
      </c>
      <c r="D69" s="44" t="s">
        <v>381</v>
      </c>
      <c r="E69" s="44" t="s">
        <v>1417</v>
      </c>
      <c r="F69" s="79">
        <f>VLOOKUP(C69,'Functional Assignment'!$C$2:$AP$780,'Functional Assignment'!$I$2,)</f>
        <v>0</v>
      </c>
      <c r="G69" s="79">
        <f t="shared" si="28"/>
        <v>0</v>
      </c>
      <c r="H69" s="79">
        <f t="shared" si="28"/>
        <v>0</v>
      </c>
      <c r="I69" s="79">
        <f t="shared" si="28"/>
        <v>0</v>
      </c>
      <c r="J69" s="79">
        <f t="shared" si="28"/>
        <v>0</v>
      </c>
      <c r="K69" s="79">
        <f t="shared" si="28"/>
        <v>0</v>
      </c>
      <c r="L69" s="79">
        <f t="shared" si="28"/>
        <v>0</v>
      </c>
      <c r="M69" s="79">
        <f t="shared" si="28"/>
        <v>0</v>
      </c>
      <c r="N69" s="79">
        <f t="shared" si="28"/>
        <v>0</v>
      </c>
      <c r="O69" s="79">
        <f t="shared" si="28"/>
        <v>0</v>
      </c>
      <c r="P69" s="79">
        <f t="shared" si="28"/>
        <v>0</v>
      </c>
      <c r="Q69" s="79">
        <f t="shared" si="29"/>
        <v>0</v>
      </c>
      <c r="R69" s="79">
        <f t="shared" si="29"/>
        <v>0</v>
      </c>
      <c r="S69" s="79">
        <f t="shared" si="29"/>
        <v>0</v>
      </c>
      <c r="T69" s="79">
        <f t="shared" si="29"/>
        <v>0</v>
      </c>
      <c r="U69" s="79">
        <f t="shared" si="29"/>
        <v>0</v>
      </c>
      <c r="V69" s="79">
        <f t="shared" si="29"/>
        <v>0</v>
      </c>
      <c r="W69" s="79">
        <f t="shared" si="29"/>
        <v>0</v>
      </c>
      <c r="X69" s="63">
        <f t="shared" si="29"/>
        <v>0</v>
      </c>
      <c r="Y69" s="63">
        <f t="shared" si="29"/>
        <v>0</v>
      </c>
      <c r="Z69" s="63">
        <f t="shared" si="29"/>
        <v>0</v>
      </c>
      <c r="AA69" s="63">
        <f t="shared" si="30"/>
        <v>0</v>
      </c>
      <c r="AB69" s="58" t="str">
        <f t="shared" si="31"/>
        <v>ok</v>
      </c>
    </row>
    <row r="70" spans="1:28" hidden="1">
      <c r="A70" s="458" t="s">
        <v>1256</v>
      </c>
      <c r="C70" s="60" t="s">
        <v>897</v>
      </c>
      <c r="D70" s="44" t="s">
        <v>382</v>
      </c>
      <c r="E70" s="44" t="s">
        <v>1417</v>
      </c>
      <c r="F70" s="79">
        <f>VLOOKUP(C70,'Functional Assignment'!$C$2:$AP$780,'Functional Assignment'!$J$2,)</f>
        <v>0</v>
      </c>
      <c r="G70" s="79">
        <f t="shared" si="28"/>
        <v>0</v>
      </c>
      <c r="H70" s="79">
        <f t="shared" si="28"/>
        <v>0</v>
      </c>
      <c r="I70" s="79">
        <f t="shared" si="28"/>
        <v>0</v>
      </c>
      <c r="J70" s="79">
        <f t="shared" si="28"/>
        <v>0</v>
      </c>
      <c r="K70" s="79">
        <f t="shared" si="28"/>
        <v>0</v>
      </c>
      <c r="L70" s="79">
        <f t="shared" si="28"/>
        <v>0</v>
      </c>
      <c r="M70" s="79">
        <f t="shared" si="28"/>
        <v>0</v>
      </c>
      <c r="N70" s="79">
        <f t="shared" si="28"/>
        <v>0</v>
      </c>
      <c r="O70" s="79">
        <f t="shared" si="28"/>
        <v>0</v>
      </c>
      <c r="P70" s="79">
        <f t="shared" si="28"/>
        <v>0</v>
      </c>
      <c r="Q70" s="79">
        <f t="shared" si="29"/>
        <v>0</v>
      </c>
      <c r="R70" s="79">
        <f t="shared" si="29"/>
        <v>0</v>
      </c>
      <c r="S70" s="79">
        <f t="shared" si="29"/>
        <v>0</v>
      </c>
      <c r="T70" s="79">
        <f t="shared" si="29"/>
        <v>0</v>
      </c>
      <c r="U70" s="79">
        <f t="shared" si="29"/>
        <v>0</v>
      </c>
      <c r="V70" s="79">
        <f t="shared" si="29"/>
        <v>0</v>
      </c>
      <c r="W70" s="79">
        <f t="shared" si="29"/>
        <v>0</v>
      </c>
      <c r="X70" s="63">
        <f t="shared" si="29"/>
        <v>0</v>
      </c>
      <c r="Y70" s="63">
        <f t="shared" si="29"/>
        <v>0</v>
      </c>
      <c r="Z70" s="63">
        <f t="shared" si="29"/>
        <v>0</v>
      </c>
      <c r="AA70" s="63">
        <f t="shared" si="30"/>
        <v>0</v>
      </c>
      <c r="AB70" s="58" t="str">
        <f t="shared" si="31"/>
        <v>ok</v>
      </c>
    </row>
    <row r="71" spans="1:28">
      <c r="A71" s="458" t="s">
        <v>1160</v>
      </c>
      <c r="C71" s="60" t="s">
        <v>897</v>
      </c>
      <c r="D71" s="44" t="s">
        <v>383</v>
      </c>
      <c r="E71" s="44" t="s">
        <v>1015</v>
      </c>
      <c r="F71" s="79">
        <f>VLOOKUP(C71,'Functional Assignment'!$C$2:$AP$780,'Functional Assignment'!$K$2,)</f>
        <v>0</v>
      </c>
      <c r="G71" s="79">
        <f t="shared" si="28"/>
        <v>0</v>
      </c>
      <c r="H71" s="79">
        <f t="shared" si="28"/>
        <v>0</v>
      </c>
      <c r="I71" s="79">
        <f t="shared" si="28"/>
        <v>0</v>
      </c>
      <c r="J71" s="79">
        <f t="shared" si="28"/>
        <v>0</v>
      </c>
      <c r="K71" s="79">
        <f t="shared" si="28"/>
        <v>0</v>
      </c>
      <c r="L71" s="79">
        <f t="shared" si="28"/>
        <v>0</v>
      </c>
      <c r="M71" s="79">
        <f t="shared" si="28"/>
        <v>0</v>
      </c>
      <c r="N71" s="79">
        <f t="shared" si="28"/>
        <v>0</v>
      </c>
      <c r="O71" s="79">
        <f t="shared" si="28"/>
        <v>0</v>
      </c>
      <c r="P71" s="79">
        <f t="shared" si="28"/>
        <v>0</v>
      </c>
      <c r="Q71" s="79">
        <f t="shared" si="29"/>
        <v>0</v>
      </c>
      <c r="R71" s="79">
        <f t="shared" si="29"/>
        <v>0</v>
      </c>
      <c r="S71" s="79">
        <f t="shared" si="29"/>
        <v>0</v>
      </c>
      <c r="T71" s="79">
        <f t="shared" si="29"/>
        <v>0</v>
      </c>
      <c r="U71" s="79">
        <f t="shared" si="29"/>
        <v>0</v>
      </c>
      <c r="V71" s="79">
        <f t="shared" si="29"/>
        <v>0</v>
      </c>
      <c r="W71" s="79">
        <f t="shared" si="29"/>
        <v>0</v>
      </c>
      <c r="X71" s="63">
        <f t="shared" si="29"/>
        <v>0</v>
      </c>
      <c r="Y71" s="63">
        <f t="shared" si="29"/>
        <v>0</v>
      </c>
      <c r="Z71" s="63">
        <f t="shared" si="29"/>
        <v>0</v>
      </c>
      <c r="AA71" s="63">
        <f t="shared" si="30"/>
        <v>0</v>
      </c>
      <c r="AB71" s="58" t="str">
        <f t="shared" si="31"/>
        <v>ok</v>
      </c>
    </row>
    <row r="72" spans="1:28" hidden="1">
      <c r="A72" s="458" t="s">
        <v>1161</v>
      </c>
      <c r="C72" s="60" t="s">
        <v>897</v>
      </c>
      <c r="D72" s="44" t="s">
        <v>384</v>
      </c>
      <c r="E72" s="44" t="s">
        <v>1015</v>
      </c>
      <c r="F72" s="79">
        <f>VLOOKUP(C72,'Functional Assignment'!$C$2:$AP$780,'Functional Assignment'!$L$2,)</f>
        <v>0</v>
      </c>
      <c r="G72" s="79">
        <f t="shared" si="28"/>
        <v>0</v>
      </c>
      <c r="H72" s="79">
        <f t="shared" si="28"/>
        <v>0</v>
      </c>
      <c r="I72" s="79">
        <f t="shared" si="28"/>
        <v>0</v>
      </c>
      <c r="J72" s="79">
        <f t="shared" si="28"/>
        <v>0</v>
      </c>
      <c r="K72" s="79">
        <f t="shared" si="28"/>
        <v>0</v>
      </c>
      <c r="L72" s="79">
        <f t="shared" si="28"/>
        <v>0</v>
      </c>
      <c r="M72" s="79">
        <f t="shared" si="28"/>
        <v>0</v>
      </c>
      <c r="N72" s="79">
        <f t="shared" si="28"/>
        <v>0</v>
      </c>
      <c r="O72" s="79">
        <f t="shared" si="28"/>
        <v>0</v>
      </c>
      <c r="P72" s="79">
        <f t="shared" si="28"/>
        <v>0</v>
      </c>
      <c r="Q72" s="79">
        <f t="shared" si="29"/>
        <v>0</v>
      </c>
      <c r="R72" s="79">
        <f t="shared" si="29"/>
        <v>0</v>
      </c>
      <c r="S72" s="79">
        <f t="shared" si="29"/>
        <v>0</v>
      </c>
      <c r="T72" s="79">
        <f t="shared" si="29"/>
        <v>0</v>
      </c>
      <c r="U72" s="79">
        <f t="shared" si="29"/>
        <v>0</v>
      </c>
      <c r="V72" s="79">
        <f t="shared" si="29"/>
        <v>0</v>
      </c>
      <c r="W72" s="79">
        <f t="shared" si="29"/>
        <v>0</v>
      </c>
      <c r="X72" s="63">
        <f t="shared" si="29"/>
        <v>0</v>
      </c>
      <c r="Y72" s="63">
        <f t="shared" si="29"/>
        <v>0</v>
      </c>
      <c r="Z72" s="63">
        <f t="shared" si="29"/>
        <v>0</v>
      </c>
      <c r="AA72" s="63">
        <f t="shared" si="30"/>
        <v>0</v>
      </c>
      <c r="AB72" s="58" t="str">
        <f t="shared" si="31"/>
        <v>ok</v>
      </c>
    </row>
    <row r="73" spans="1:28" hidden="1">
      <c r="A73" s="458" t="s">
        <v>1161</v>
      </c>
      <c r="C73" s="60" t="s">
        <v>897</v>
      </c>
      <c r="D73" s="44" t="s">
        <v>385</v>
      </c>
      <c r="E73" s="44" t="s">
        <v>1015</v>
      </c>
      <c r="F73" s="79">
        <f>VLOOKUP(C73,'Functional Assignment'!$C$2:$AP$780,'Functional Assignment'!$M$2,)</f>
        <v>0</v>
      </c>
      <c r="G73" s="79">
        <f t="shared" si="28"/>
        <v>0</v>
      </c>
      <c r="H73" s="79">
        <f t="shared" si="28"/>
        <v>0</v>
      </c>
      <c r="I73" s="79">
        <f t="shared" si="28"/>
        <v>0</v>
      </c>
      <c r="J73" s="79">
        <f t="shared" si="28"/>
        <v>0</v>
      </c>
      <c r="K73" s="79">
        <f t="shared" si="28"/>
        <v>0</v>
      </c>
      <c r="L73" s="79">
        <f t="shared" si="28"/>
        <v>0</v>
      </c>
      <c r="M73" s="79">
        <f t="shared" si="28"/>
        <v>0</v>
      </c>
      <c r="N73" s="79">
        <f t="shared" si="28"/>
        <v>0</v>
      </c>
      <c r="O73" s="79">
        <f t="shared" si="28"/>
        <v>0</v>
      </c>
      <c r="P73" s="79">
        <f t="shared" si="28"/>
        <v>0</v>
      </c>
      <c r="Q73" s="79">
        <f t="shared" si="29"/>
        <v>0</v>
      </c>
      <c r="R73" s="79">
        <f t="shared" si="29"/>
        <v>0</v>
      </c>
      <c r="S73" s="79">
        <f t="shared" si="29"/>
        <v>0</v>
      </c>
      <c r="T73" s="79">
        <f t="shared" si="29"/>
        <v>0</v>
      </c>
      <c r="U73" s="79">
        <f t="shared" si="29"/>
        <v>0</v>
      </c>
      <c r="V73" s="79">
        <f t="shared" si="29"/>
        <v>0</v>
      </c>
      <c r="W73" s="79">
        <f t="shared" si="29"/>
        <v>0</v>
      </c>
      <c r="X73" s="63">
        <f t="shared" si="29"/>
        <v>0</v>
      </c>
      <c r="Y73" s="63">
        <f t="shared" si="29"/>
        <v>0</v>
      </c>
      <c r="Z73" s="63">
        <f t="shared" si="29"/>
        <v>0</v>
      </c>
      <c r="AA73" s="63">
        <f t="shared" si="30"/>
        <v>0</v>
      </c>
      <c r="AB73" s="58" t="str">
        <f t="shared" si="31"/>
        <v>ok</v>
      </c>
    </row>
    <row r="74" spans="1:28">
      <c r="A74" s="44" t="s">
        <v>374</v>
      </c>
      <c r="D74" s="44" t="s">
        <v>386</v>
      </c>
      <c r="E74" s="44"/>
      <c r="F74" s="76">
        <f>SUM(F68:F73)</f>
        <v>2495383412.90588</v>
      </c>
      <c r="G74" s="76">
        <f t="shared" ref="G74:P74" si="32">SUM(G68:G73)</f>
        <v>1091668196.6326091</v>
      </c>
      <c r="H74" s="76">
        <f t="shared" si="32"/>
        <v>415698.06691600318</v>
      </c>
      <c r="I74" s="76">
        <f t="shared" si="32"/>
        <v>305002829.58305395</v>
      </c>
      <c r="J74" s="76">
        <f t="shared" si="32"/>
        <v>20668283.724883426</v>
      </c>
      <c r="K74" s="76">
        <f t="shared" si="32"/>
        <v>340035763.40166694</v>
      </c>
      <c r="L74" s="76">
        <f t="shared" si="32"/>
        <v>306939946.33540463</v>
      </c>
      <c r="M74" s="76">
        <f t="shared" si="32"/>
        <v>261140374.4242765</v>
      </c>
      <c r="N74" s="76">
        <f t="shared" si="32"/>
        <v>148367727.00145146</v>
      </c>
      <c r="O74" s="76">
        <f>SUM(O68:O73)</f>
        <v>8807272.2095681056</v>
      </c>
      <c r="P74" s="76">
        <f t="shared" si="32"/>
        <v>9026540.6824364085</v>
      </c>
      <c r="Q74" s="76">
        <f t="shared" ref="Q74:W74" si="33">SUM(Q68:Q73)</f>
        <v>314394.59611862106</v>
      </c>
      <c r="R74" s="76">
        <f t="shared" si="33"/>
        <v>432965.24533995276</v>
      </c>
      <c r="S74" s="76">
        <f t="shared" si="33"/>
        <v>426.52919911198666</v>
      </c>
      <c r="T74" s="76">
        <f t="shared" si="33"/>
        <v>3931.5029556203003</v>
      </c>
      <c r="U74" s="76">
        <f t="shared" si="33"/>
        <v>2486734.1800000006</v>
      </c>
      <c r="V74" s="76">
        <f t="shared" si="33"/>
        <v>72328.790000000008</v>
      </c>
      <c r="W74" s="76">
        <f t="shared" si="33"/>
        <v>0</v>
      </c>
      <c r="X74" s="62">
        <f>SUM(X68:X73)</f>
        <v>0</v>
      </c>
      <c r="Y74" s="62">
        <f>SUM(Y68:Y73)</f>
        <v>0</v>
      </c>
      <c r="Z74" s="62">
        <f>SUM(Z68:Z73)</f>
        <v>0</v>
      </c>
      <c r="AA74" s="64">
        <f t="shared" si="30"/>
        <v>2495383412.905879</v>
      </c>
      <c r="AB74" s="58" t="str">
        <f t="shared" si="31"/>
        <v>ok</v>
      </c>
    </row>
    <row r="75" spans="1:28">
      <c r="A75" s="44"/>
      <c r="F75" s="79"/>
      <c r="G75" s="79"/>
    </row>
    <row r="76" spans="1:28" ht="14.1">
      <c r="A76" s="45" t="s">
        <v>1055</v>
      </c>
      <c r="F76" s="79"/>
      <c r="G76" s="79"/>
    </row>
    <row r="77" spans="1:28">
      <c r="A77" s="458" t="s">
        <v>1225</v>
      </c>
      <c r="C77" s="60" t="s">
        <v>897</v>
      </c>
      <c r="D77" s="60" t="s">
        <v>387</v>
      </c>
      <c r="E77" s="60" t="s">
        <v>1229</v>
      </c>
      <c r="F77" s="76">
        <f>VLOOKUP(C77,'Functional Assignment'!$C$2:$AP$780,'Functional Assignment'!$N$2,)</f>
        <v>422249551.01956153</v>
      </c>
      <c r="G77" s="76">
        <f t="shared" ref="G77:P79" si="34">IF(VLOOKUP($E77,$D$6:$AN$1150,3,)=0,0,(VLOOKUP($E77,$D$6:$AN$1150,G$2,)/VLOOKUP($E77,$D$6:$AN$1150,3,))*$F77)</f>
        <v>199341898.04226288</v>
      </c>
      <c r="H77" s="76">
        <f t="shared" si="34"/>
        <v>729966.71113348473</v>
      </c>
      <c r="I77" s="76">
        <f t="shared" si="34"/>
        <v>48733345.782282539</v>
      </c>
      <c r="J77" s="76">
        <f t="shared" si="34"/>
        <v>3199009.7575104441</v>
      </c>
      <c r="K77" s="76">
        <f t="shared" si="34"/>
        <v>54225186.790917225</v>
      </c>
      <c r="L77" s="76">
        <f t="shared" si="34"/>
        <v>45474549.881503537</v>
      </c>
      <c r="M77" s="76">
        <f t="shared" si="34"/>
        <v>43052556.027890891</v>
      </c>
      <c r="N77" s="76">
        <f t="shared" si="34"/>
        <v>22451151.066181038</v>
      </c>
      <c r="O77" s="76">
        <f t="shared" si="34"/>
        <v>1442726.6433574967</v>
      </c>
      <c r="P77" s="76">
        <f t="shared" si="34"/>
        <v>3418873.4276591949</v>
      </c>
      <c r="Q77" s="76">
        <f t="shared" ref="Q77:Z79" si="35">IF(VLOOKUP($E77,$D$6:$AN$1150,3,)=0,0,(VLOOKUP($E77,$D$6:$AN$1150,Q$2,)/VLOOKUP($E77,$D$6:$AN$1150,3,))*$F77)</f>
        <v>119079.43123339163</v>
      </c>
      <c r="R77" s="76">
        <f t="shared" si="35"/>
        <v>54662.999720108528</v>
      </c>
      <c r="S77" s="76">
        <f t="shared" si="35"/>
        <v>5948.8228168402338</v>
      </c>
      <c r="T77" s="76">
        <f t="shared" si="35"/>
        <v>595.63509249507115</v>
      </c>
      <c r="U77" s="76">
        <f t="shared" si="35"/>
        <v>0</v>
      </c>
      <c r="V77" s="76">
        <f t="shared" si="35"/>
        <v>0</v>
      </c>
      <c r="W77" s="76">
        <f t="shared" si="35"/>
        <v>0</v>
      </c>
      <c r="X77" s="62">
        <f t="shared" si="35"/>
        <v>0</v>
      </c>
      <c r="Y77" s="62">
        <f t="shared" si="35"/>
        <v>0</v>
      </c>
      <c r="Z77" s="62">
        <f t="shared" si="35"/>
        <v>0</v>
      </c>
      <c r="AA77" s="64">
        <f>SUM(G77:Z77)</f>
        <v>422249551.01956159</v>
      </c>
      <c r="AB77" s="58" t="str">
        <f>IF(ABS(F77-AA77)&lt;0.01,"ok","err")</f>
        <v>ok</v>
      </c>
    </row>
    <row r="78" spans="1:28" hidden="1">
      <c r="A78" s="458" t="s">
        <v>1226</v>
      </c>
      <c r="C78" s="60" t="s">
        <v>897</v>
      </c>
      <c r="D78" s="60" t="s">
        <v>388</v>
      </c>
      <c r="E78" s="60" t="s">
        <v>1229</v>
      </c>
      <c r="F78" s="79">
        <f>VLOOKUP(C78,'Functional Assignment'!$C$2:$AP$780,'Functional Assignment'!$O$2,)</f>
        <v>0</v>
      </c>
      <c r="G78" s="79">
        <f t="shared" si="34"/>
        <v>0</v>
      </c>
      <c r="H78" s="79">
        <f t="shared" si="34"/>
        <v>0</v>
      </c>
      <c r="I78" s="79">
        <f t="shared" si="34"/>
        <v>0</v>
      </c>
      <c r="J78" s="79">
        <f t="shared" si="34"/>
        <v>0</v>
      </c>
      <c r="K78" s="79">
        <f t="shared" si="34"/>
        <v>0</v>
      </c>
      <c r="L78" s="79">
        <f t="shared" si="34"/>
        <v>0</v>
      </c>
      <c r="M78" s="79">
        <f t="shared" si="34"/>
        <v>0</v>
      </c>
      <c r="N78" s="79">
        <f t="shared" si="34"/>
        <v>0</v>
      </c>
      <c r="O78" s="79">
        <f t="shared" si="34"/>
        <v>0</v>
      </c>
      <c r="P78" s="79">
        <f t="shared" si="34"/>
        <v>0</v>
      </c>
      <c r="Q78" s="79">
        <f t="shared" si="35"/>
        <v>0</v>
      </c>
      <c r="R78" s="79">
        <f t="shared" si="35"/>
        <v>0</v>
      </c>
      <c r="S78" s="79">
        <f t="shared" si="35"/>
        <v>0</v>
      </c>
      <c r="T78" s="79">
        <f t="shared" si="35"/>
        <v>0</v>
      </c>
      <c r="U78" s="79">
        <f t="shared" si="35"/>
        <v>0</v>
      </c>
      <c r="V78" s="79">
        <f t="shared" si="35"/>
        <v>0</v>
      </c>
      <c r="W78" s="79">
        <f t="shared" si="35"/>
        <v>0</v>
      </c>
      <c r="X78" s="63">
        <f t="shared" si="35"/>
        <v>0</v>
      </c>
      <c r="Y78" s="63">
        <f t="shared" si="35"/>
        <v>0</v>
      </c>
      <c r="Z78" s="63">
        <f t="shared" si="35"/>
        <v>0</v>
      </c>
      <c r="AA78" s="63">
        <f>SUM(G78:Z78)</f>
        <v>0</v>
      </c>
      <c r="AB78" s="58" t="str">
        <f>IF(ABS(F78-AA78)&lt;0.01,"ok","err")</f>
        <v>ok</v>
      </c>
    </row>
    <row r="79" spans="1:28" hidden="1">
      <c r="A79" s="458" t="s">
        <v>1226</v>
      </c>
      <c r="C79" s="60" t="s">
        <v>897</v>
      </c>
      <c r="D79" s="60" t="s">
        <v>389</v>
      </c>
      <c r="E79" s="60" t="s">
        <v>1229</v>
      </c>
      <c r="F79" s="79">
        <f>VLOOKUP(C79,'Functional Assignment'!$C$2:$AP$780,'Functional Assignment'!$P$2,)</f>
        <v>0</v>
      </c>
      <c r="G79" s="79">
        <f t="shared" si="34"/>
        <v>0</v>
      </c>
      <c r="H79" s="79">
        <f t="shared" si="34"/>
        <v>0</v>
      </c>
      <c r="I79" s="79">
        <f t="shared" si="34"/>
        <v>0</v>
      </c>
      <c r="J79" s="79">
        <f t="shared" si="34"/>
        <v>0</v>
      </c>
      <c r="K79" s="79">
        <f t="shared" si="34"/>
        <v>0</v>
      </c>
      <c r="L79" s="79">
        <f t="shared" si="34"/>
        <v>0</v>
      </c>
      <c r="M79" s="79">
        <f t="shared" si="34"/>
        <v>0</v>
      </c>
      <c r="N79" s="79">
        <f t="shared" si="34"/>
        <v>0</v>
      </c>
      <c r="O79" s="79">
        <f t="shared" si="34"/>
        <v>0</v>
      </c>
      <c r="P79" s="79">
        <f t="shared" si="34"/>
        <v>0</v>
      </c>
      <c r="Q79" s="79">
        <f t="shared" si="35"/>
        <v>0</v>
      </c>
      <c r="R79" s="79">
        <f t="shared" si="35"/>
        <v>0</v>
      </c>
      <c r="S79" s="79">
        <f t="shared" si="35"/>
        <v>0</v>
      </c>
      <c r="T79" s="79">
        <f t="shared" si="35"/>
        <v>0</v>
      </c>
      <c r="U79" s="79">
        <f t="shared" si="35"/>
        <v>0</v>
      </c>
      <c r="V79" s="79">
        <f t="shared" si="35"/>
        <v>0</v>
      </c>
      <c r="W79" s="79">
        <f t="shared" si="35"/>
        <v>0</v>
      </c>
      <c r="X79" s="63">
        <f t="shared" si="35"/>
        <v>0</v>
      </c>
      <c r="Y79" s="63">
        <f t="shared" si="35"/>
        <v>0</v>
      </c>
      <c r="Z79" s="63">
        <f t="shared" si="35"/>
        <v>0</v>
      </c>
      <c r="AA79" s="63">
        <f>SUM(G79:Z79)</f>
        <v>0</v>
      </c>
      <c r="AB79" s="58" t="str">
        <f>IF(ABS(F79-AA79)&lt;0.01,"ok","err")</f>
        <v>ok</v>
      </c>
    </row>
    <row r="80" spans="1:28" hidden="1">
      <c r="A80" s="44" t="s">
        <v>1057</v>
      </c>
      <c r="D80" s="60" t="s">
        <v>390</v>
      </c>
      <c r="F80" s="76">
        <f>SUM(F77:F79)</f>
        <v>422249551.01956153</v>
      </c>
      <c r="G80" s="76">
        <f t="shared" ref="G80:W80" si="36">SUM(G77:G79)</f>
        <v>199341898.04226288</v>
      </c>
      <c r="H80" s="76">
        <f t="shared" si="36"/>
        <v>729966.71113348473</v>
      </c>
      <c r="I80" s="76">
        <f t="shared" si="36"/>
        <v>48733345.782282539</v>
      </c>
      <c r="J80" s="76">
        <f t="shared" si="36"/>
        <v>3199009.7575104441</v>
      </c>
      <c r="K80" s="76">
        <f t="shared" si="36"/>
        <v>54225186.790917225</v>
      </c>
      <c r="L80" s="76">
        <f t="shared" si="36"/>
        <v>45474549.881503537</v>
      </c>
      <c r="M80" s="76">
        <f t="shared" si="36"/>
        <v>43052556.027890891</v>
      </c>
      <c r="N80" s="76">
        <f t="shared" si="36"/>
        <v>22451151.066181038</v>
      </c>
      <c r="O80" s="76">
        <f>SUM(O77:O79)</f>
        <v>1442726.6433574967</v>
      </c>
      <c r="P80" s="76">
        <f t="shared" si="36"/>
        <v>3418873.4276591949</v>
      </c>
      <c r="Q80" s="76">
        <f t="shared" si="36"/>
        <v>119079.43123339163</v>
      </c>
      <c r="R80" s="76">
        <f t="shared" si="36"/>
        <v>54662.999720108528</v>
      </c>
      <c r="S80" s="76">
        <f t="shared" si="36"/>
        <v>5948.8228168402338</v>
      </c>
      <c r="T80" s="76">
        <f t="shared" si="36"/>
        <v>595.63509249507115</v>
      </c>
      <c r="U80" s="76">
        <f t="shared" si="36"/>
        <v>0</v>
      </c>
      <c r="V80" s="76">
        <f t="shared" si="36"/>
        <v>0</v>
      </c>
      <c r="W80" s="76">
        <f t="shared" si="36"/>
        <v>0</v>
      </c>
      <c r="X80" s="62">
        <f>SUM(X77:X79)</f>
        <v>0</v>
      </c>
      <c r="Y80" s="62">
        <f>SUM(Y77:Y79)</f>
        <v>0</v>
      </c>
      <c r="Z80" s="62">
        <f>SUM(Z77:Z79)</f>
        <v>0</v>
      </c>
      <c r="AA80" s="64">
        <f>SUM(G80:Z80)</f>
        <v>422249551.01956159</v>
      </c>
      <c r="AB80" s="58" t="str">
        <f>IF(ABS(F80-AA80)&lt;0.01,"ok","err")</f>
        <v>ok</v>
      </c>
    </row>
    <row r="81" spans="1:28">
      <c r="A81" s="44"/>
      <c r="F81" s="79"/>
      <c r="G81" s="79"/>
    </row>
    <row r="82" spans="1:28" ht="14.1">
      <c r="A82" s="45" t="s">
        <v>337</v>
      </c>
      <c r="F82" s="79"/>
      <c r="G82" s="79"/>
    </row>
    <row r="83" spans="1:28">
      <c r="A83" s="458" t="s">
        <v>359</v>
      </c>
      <c r="C83" s="60" t="s">
        <v>897</v>
      </c>
      <c r="D83" s="60" t="s">
        <v>391</v>
      </c>
      <c r="E83" s="60" t="s">
        <v>1230</v>
      </c>
      <c r="F83" s="76">
        <f>VLOOKUP(C83,'Functional Assignment'!$C$2:$AP$780,'Functional Assignment'!$Q$2,)</f>
        <v>0</v>
      </c>
      <c r="G83" s="76">
        <f t="shared" ref="G83:Z83" si="37">IF(VLOOKUP($E83,$D$6:$AN$1150,3,)=0,0,(VLOOKUP($E83,$D$6:$AN$1150,G$2,)/VLOOKUP($E83,$D$6:$AN$1150,3,))*$F83)</f>
        <v>0</v>
      </c>
      <c r="H83" s="76">
        <f t="shared" si="37"/>
        <v>0</v>
      </c>
      <c r="I83" s="76">
        <f t="shared" si="37"/>
        <v>0</v>
      </c>
      <c r="J83" s="76">
        <f t="shared" si="37"/>
        <v>0</v>
      </c>
      <c r="K83" s="76">
        <f t="shared" si="37"/>
        <v>0</v>
      </c>
      <c r="L83" s="76">
        <f t="shared" si="37"/>
        <v>0</v>
      </c>
      <c r="M83" s="76">
        <f t="shared" si="37"/>
        <v>0</v>
      </c>
      <c r="N83" s="76">
        <f t="shared" si="37"/>
        <v>0</v>
      </c>
      <c r="O83" s="76">
        <f t="shared" si="37"/>
        <v>0</v>
      </c>
      <c r="P83" s="76">
        <f t="shared" si="37"/>
        <v>0</v>
      </c>
      <c r="Q83" s="76">
        <f t="shared" si="37"/>
        <v>0</v>
      </c>
      <c r="R83" s="76">
        <f t="shared" si="37"/>
        <v>0</v>
      </c>
      <c r="S83" s="76">
        <f t="shared" si="37"/>
        <v>0</v>
      </c>
      <c r="T83" s="76">
        <f t="shared" si="37"/>
        <v>0</v>
      </c>
      <c r="U83" s="76">
        <f t="shared" si="37"/>
        <v>0</v>
      </c>
      <c r="V83" s="76">
        <f t="shared" si="37"/>
        <v>0</v>
      </c>
      <c r="W83" s="76">
        <f t="shared" si="37"/>
        <v>0</v>
      </c>
      <c r="X83" s="62">
        <f t="shared" si="37"/>
        <v>0</v>
      </c>
      <c r="Y83" s="62">
        <f t="shared" si="37"/>
        <v>0</v>
      </c>
      <c r="Z83" s="62">
        <f t="shared" si="37"/>
        <v>0</v>
      </c>
      <c r="AA83" s="64">
        <f>SUM(G83:Z83)</f>
        <v>0</v>
      </c>
      <c r="AB83" s="58" t="str">
        <f>IF(ABS(F83-AA83)&lt;0.01,"ok","err")</f>
        <v>ok</v>
      </c>
    </row>
    <row r="84" spans="1:28">
      <c r="A84" s="44"/>
      <c r="F84" s="79"/>
    </row>
    <row r="85" spans="1:28" ht="14.1">
      <c r="A85" s="45" t="s">
        <v>338</v>
      </c>
      <c r="F85" s="79"/>
      <c r="G85" s="79"/>
    </row>
    <row r="86" spans="1:28">
      <c r="A86" s="458" t="s">
        <v>361</v>
      </c>
      <c r="C86" s="60" t="s">
        <v>897</v>
      </c>
      <c r="D86" s="60" t="s">
        <v>392</v>
      </c>
      <c r="E86" s="60" t="s">
        <v>1230</v>
      </c>
      <c r="F86" s="76">
        <f>VLOOKUP(C86,'Functional Assignment'!$C$2:$AP$780,'Functional Assignment'!$R$2,)</f>
        <v>158088627.06224024</v>
      </c>
      <c r="G86" s="76">
        <f t="shared" ref="G86:Z86" si="38">IF(VLOOKUP($E86,$D$6:$AN$1150,3,)=0,0,(VLOOKUP($E86,$D$6:$AN$1150,G$2,)/VLOOKUP($E86,$D$6:$AN$1150,3,))*$F86)</f>
        <v>78823944.721032277</v>
      </c>
      <c r="H86" s="76">
        <f t="shared" si="38"/>
        <v>288644.06455275457</v>
      </c>
      <c r="I86" s="76">
        <f t="shared" si="38"/>
        <v>19270181.490893483</v>
      </c>
      <c r="J86" s="76">
        <f t="shared" si="38"/>
        <v>1264955.188871461</v>
      </c>
      <c r="K86" s="76">
        <f t="shared" si="38"/>
        <v>21441769.984495267</v>
      </c>
      <c r="L86" s="76">
        <f t="shared" si="38"/>
        <v>17981585.613845747</v>
      </c>
      <c r="M86" s="76">
        <f t="shared" si="38"/>
        <v>17023878.721783508</v>
      </c>
      <c r="N86" s="76">
        <f t="shared" si="38"/>
        <v>0</v>
      </c>
      <c r="O86" s="76">
        <f t="shared" si="38"/>
        <v>570484.20979447814</v>
      </c>
      <c r="P86" s="76">
        <f t="shared" si="38"/>
        <v>1351893.8703637687</v>
      </c>
      <c r="Q86" s="76">
        <f t="shared" si="38"/>
        <v>47086.491084592839</v>
      </c>
      <c r="R86" s="76">
        <f t="shared" si="38"/>
        <v>21614.890349394231</v>
      </c>
      <c r="S86" s="76">
        <f t="shared" si="38"/>
        <v>2352.288633122253</v>
      </c>
      <c r="T86" s="76">
        <f t="shared" si="38"/>
        <v>235.52654041040788</v>
      </c>
      <c r="U86" s="76">
        <f t="shared" si="38"/>
        <v>0</v>
      </c>
      <c r="V86" s="76">
        <f t="shared" si="38"/>
        <v>0</v>
      </c>
      <c r="W86" s="76">
        <f t="shared" si="38"/>
        <v>0</v>
      </c>
      <c r="X86" s="62">
        <f t="shared" si="38"/>
        <v>0</v>
      </c>
      <c r="Y86" s="62">
        <f t="shared" si="38"/>
        <v>0</v>
      </c>
      <c r="Z86" s="62">
        <f t="shared" si="38"/>
        <v>0</v>
      </c>
      <c r="AA86" s="64">
        <f>SUM(G86:Z86)</f>
        <v>158088627.06224027</v>
      </c>
      <c r="AB86" s="58" t="str">
        <f>IF(ABS(F86-AA86)&lt;0.01,"ok","err")</f>
        <v>ok</v>
      </c>
    </row>
    <row r="87" spans="1:28">
      <c r="A87" s="44"/>
      <c r="F87" s="79"/>
    </row>
    <row r="88" spans="1:28" ht="14.1">
      <c r="A88" s="45" t="s">
        <v>360</v>
      </c>
      <c r="F88" s="79"/>
    </row>
    <row r="89" spans="1:28">
      <c r="A89" s="458" t="s">
        <v>603</v>
      </c>
      <c r="C89" s="60" t="s">
        <v>897</v>
      </c>
      <c r="D89" s="60" t="s">
        <v>393</v>
      </c>
      <c r="E89" s="60" t="s">
        <v>1230</v>
      </c>
      <c r="F89" s="76">
        <f>VLOOKUP(C89,'Functional Assignment'!$C$2:$AP$780,'Functional Assignment'!$S$2,)</f>
        <v>0</v>
      </c>
      <c r="G89" s="76">
        <f t="shared" ref="G89:P93" si="39">IF(VLOOKUP($E89,$D$6:$AN$1150,3,)=0,0,(VLOOKUP($E89,$D$6:$AN$1150,G$2,)/VLOOKUP($E89,$D$6:$AN$1150,3,))*$F89)</f>
        <v>0</v>
      </c>
      <c r="H89" s="76">
        <f t="shared" si="39"/>
        <v>0</v>
      </c>
      <c r="I89" s="76">
        <f t="shared" si="39"/>
        <v>0</v>
      </c>
      <c r="J89" s="76">
        <f t="shared" si="39"/>
        <v>0</v>
      </c>
      <c r="K89" s="76">
        <f t="shared" si="39"/>
        <v>0</v>
      </c>
      <c r="L89" s="76">
        <f t="shared" si="39"/>
        <v>0</v>
      </c>
      <c r="M89" s="76">
        <f t="shared" si="39"/>
        <v>0</v>
      </c>
      <c r="N89" s="76">
        <f t="shared" si="39"/>
        <v>0</v>
      </c>
      <c r="O89" s="76">
        <f t="shared" si="39"/>
        <v>0</v>
      </c>
      <c r="P89" s="76">
        <f t="shared" si="39"/>
        <v>0</v>
      </c>
      <c r="Q89" s="76">
        <f t="shared" ref="Q89:Z93" si="40">IF(VLOOKUP($E89,$D$6:$AN$1150,3,)=0,0,(VLOOKUP($E89,$D$6:$AN$1150,Q$2,)/VLOOKUP($E89,$D$6:$AN$1150,3,))*$F89)</f>
        <v>0</v>
      </c>
      <c r="R89" s="76">
        <f t="shared" si="40"/>
        <v>0</v>
      </c>
      <c r="S89" s="76">
        <f t="shared" si="40"/>
        <v>0</v>
      </c>
      <c r="T89" s="76">
        <f t="shared" si="40"/>
        <v>0</v>
      </c>
      <c r="U89" s="76">
        <f t="shared" si="40"/>
        <v>0</v>
      </c>
      <c r="V89" s="76">
        <f t="shared" si="40"/>
        <v>0</v>
      </c>
      <c r="W89" s="76">
        <f t="shared" si="40"/>
        <v>0</v>
      </c>
      <c r="X89" s="62">
        <f t="shared" si="40"/>
        <v>0</v>
      </c>
      <c r="Y89" s="62">
        <f t="shared" si="40"/>
        <v>0</v>
      </c>
      <c r="Z89" s="62">
        <f t="shared" si="40"/>
        <v>0</v>
      </c>
      <c r="AA89" s="64">
        <f t="shared" ref="AA89:AA94" si="41">SUM(G89:Z89)</f>
        <v>0</v>
      </c>
      <c r="AB89" s="58" t="str">
        <f t="shared" ref="AB89:AB94" si="42">IF(ABS(F89-AA89)&lt;0.01,"ok","err")</f>
        <v>ok</v>
      </c>
    </row>
    <row r="90" spans="1:28">
      <c r="A90" s="458" t="s">
        <v>604</v>
      </c>
      <c r="C90" s="60" t="s">
        <v>897</v>
      </c>
      <c r="D90" s="60" t="s">
        <v>394</v>
      </c>
      <c r="E90" s="60" t="s">
        <v>1230</v>
      </c>
      <c r="F90" s="79">
        <f>VLOOKUP(C90,'Functional Assignment'!$C$2:$AP$780,'Functional Assignment'!$T$2,)</f>
        <v>242694289.6556775</v>
      </c>
      <c r="G90" s="79">
        <f t="shared" si="39"/>
        <v>121008839.329079</v>
      </c>
      <c r="H90" s="79">
        <f t="shared" si="39"/>
        <v>443120.2137164388</v>
      </c>
      <c r="I90" s="79">
        <f t="shared" si="39"/>
        <v>29583171.76495634</v>
      </c>
      <c r="J90" s="79">
        <f t="shared" si="39"/>
        <v>1941932.2358246318</v>
      </c>
      <c r="K90" s="79">
        <f t="shared" si="39"/>
        <v>32916948.119859044</v>
      </c>
      <c r="L90" s="79">
        <f t="shared" si="39"/>
        <v>27604946.848686997</v>
      </c>
      <c r="M90" s="79">
        <f t="shared" si="39"/>
        <v>26134695.647277787</v>
      </c>
      <c r="N90" s="79">
        <f t="shared" si="39"/>
        <v>0</v>
      </c>
      <c r="O90" s="79">
        <f t="shared" si="39"/>
        <v>875795.19557306077</v>
      </c>
      <c r="P90" s="79">
        <f t="shared" si="39"/>
        <v>2075398.6460305338</v>
      </c>
      <c r="Q90" s="79">
        <f t="shared" si="40"/>
        <v>72286.177181199397</v>
      </c>
      <c r="R90" s="79">
        <f t="shared" si="40"/>
        <v>33182.718812949723</v>
      </c>
      <c r="S90" s="79">
        <f t="shared" si="40"/>
        <v>3611.183356383814</v>
      </c>
      <c r="T90" s="79">
        <f t="shared" si="40"/>
        <v>361.57532317273285</v>
      </c>
      <c r="U90" s="79">
        <f t="shared" si="40"/>
        <v>0</v>
      </c>
      <c r="V90" s="79">
        <f t="shared" si="40"/>
        <v>0</v>
      </c>
      <c r="W90" s="79">
        <f t="shared" si="40"/>
        <v>0</v>
      </c>
      <c r="X90" s="63">
        <f t="shared" si="40"/>
        <v>0</v>
      </c>
      <c r="Y90" s="63">
        <f t="shared" si="40"/>
        <v>0</v>
      </c>
      <c r="Z90" s="63">
        <f t="shared" si="40"/>
        <v>0</v>
      </c>
      <c r="AA90" s="63">
        <f t="shared" si="41"/>
        <v>242694289.65567753</v>
      </c>
      <c r="AB90" s="58" t="str">
        <f t="shared" si="42"/>
        <v>ok</v>
      </c>
    </row>
    <row r="91" spans="1:28">
      <c r="A91" s="458" t="s">
        <v>605</v>
      </c>
      <c r="C91" s="60" t="s">
        <v>897</v>
      </c>
      <c r="D91" s="60" t="s">
        <v>395</v>
      </c>
      <c r="E91" s="60" t="s">
        <v>1368</v>
      </c>
      <c r="F91" s="79">
        <f>VLOOKUP(C91,'Functional Assignment'!$C$2:$AP$780,'Functional Assignment'!$U$2,)</f>
        <v>397151932.8434701</v>
      </c>
      <c r="G91" s="79">
        <f t="shared" si="39"/>
        <v>343367048.26436871</v>
      </c>
      <c r="H91" s="79">
        <f t="shared" si="39"/>
        <v>847643.1621020434</v>
      </c>
      <c r="I91" s="79">
        <f t="shared" si="39"/>
        <v>41328701.07492318</v>
      </c>
      <c r="J91" s="79">
        <f t="shared" si="39"/>
        <v>63818.253667268655</v>
      </c>
      <c r="K91" s="79">
        <f t="shared" si="39"/>
        <v>2537231.427942981</v>
      </c>
      <c r="L91" s="79">
        <f t="shared" si="39"/>
        <v>120342.9926297066</v>
      </c>
      <c r="M91" s="79">
        <f t="shared" si="39"/>
        <v>460403.11574243818</v>
      </c>
      <c r="N91" s="79">
        <f t="shared" si="39"/>
        <v>11851.961395349894</v>
      </c>
      <c r="O91" s="79">
        <f t="shared" si="39"/>
        <v>1823.3786762076759</v>
      </c>
      <c r="P91" s="79">
        <f t="shared" si="39"/>
        <v>8297193.4971492179</v>
      </c>
      <c r="Q91" s="79">
        <f t="shared" si="40"/>
        <v>14678.198343471793</v>
      </c>
      <c r="R91" s="79">
        <f t="shared" si="40"/>
        <v>91168.933810383794</v>
      </c>
      <c r="S91" s="79">
        <f t="shared" si="40"/>
        <v>911.68933810383794</v>
      </c>
      <c r="T91" s="79">
        <f t="shared" si="40"/>
        <v>9116.8933810383787</v>
      </c>
      <c r="U91" s="79">
        <f t="shared" si="40"/>
        <v>0</v>
      </c>
      <c r="V91" s="79">
        <f t="shared" si="40"/>
        <v>0</v>
      </c>
      <c r="W91" s="79">
        <f t="shared" si="40"/>
        <v>0</v>
      </c>
      <c r="X91" s="63">
        <f t="shared" si="40"/>
        <v>0</v>
      </c>
      <c r="Y91" s="63">
        <f t="shared" si="40"/>
        <v>0</v>
      </c>
      <c r="Z91" s="63">
        <f t="shared" si="40"/>
        <v>0</v>
      </c>
      <c r="AA91" s="63">
        <f t="shared" si="41"/>
        <v>397151932.84347016</v>
      </c>
      <c r="AB91" s="58" t="str">
        <f t="shared" si="42"/>
        <v>ok</v>
      </c>
    </row>
    <row r="92" spans="1:28">
      <c r="A92" s="458" t="s">
        <v>606</v>
      </c>
      <c r="C92" s="60" t="s">
        <v>897</v>
      </c>
      <c r="D92" s="60" t="s">
        <v>396</v>
      </c>
      <c r="E92" s="60" t="s">
        <v>646</v>
      </c>
      <c r="F92" s="79">
        <f>VLOOKUP(C92,'Functional Assignment'!$C$2:$AP$780,'Functional Assignment'!$V$2,)</f>
        <v>67713921.499038443</v>
      </c>
      <c r="G92" s="79">
        <f t="shared" si="39"/>
        <v>51236279.711493984</v>
      </c>
      <c r="H92" s="79">
        <f t="shared" si="39"/>
        <v>106446.93706329328</v>
      </c>
      <c r="I92" s="79">
        <f t="shared" si="39"/>
        <v>8195304.6624605693</v>
      </c>
      <c r="J92" s="79">
        <f t="shared" si="39"/>
        <v>0</v>
      </c>
      <c r="K92" s="79">
        <f t="shared" si="39"/>
        <v>7762096.593842322</v>
      </c>
      <c r="L92" s="79">
        <f t="shared" si="39"/>
        <v>0</v>
      </c>
      <c r="M92" s="79">
        <f t="shared" si="39"/>
        <v>0</v>
      </c>
      <c r="N92" s="79">
        <f t="shared" si="39"/>
        <v>0</v>
      </c>
      <c r="O92" s="79">
        <f t="shared" si="39"/>
        <v>0</v>
      </c>
      <c r="P92" s="79">
        <f t="shared" si="39"/>
        <v>393066.10410696571</v>
      </c>
      <c r="Q92" s="79">
        <f t="shared" si="40"/>
        <v>13690.500424939502</v>
      </c>
      <c r="R92" s="79">
        <f t="shared" si="40"/>
        <v>6284.5767161067979</v>
      </c>
      <c r="S92" s="79">
        <f t="shared" si="40"/>
        <v>683.93307272535401</v>
      </c>
      <c r="T92" s="79">
        <f t="shared" si="40"/>
        <v>68.47985754088819</v>
      </c>
      <c r="U92" s="79">
        <f t="shared" si="40"/>
        <v>0</v>
      </c>
      <c r="V92" s="79">
        <f t="shared" si="40"/>
        <v>0</v>
      </c>
      <c r="W92" s="79">
        <f t="shared" si="40"/>
        <v>0</v>
      </c>
      <c r="X92" s="63">
        <f t="shared" si="40"/>
        <v>0</v>
      </c>
      <c r="Y92" s="63">
        <f t="shared" si="40"/>
        <v>0</v>
      </c>
      <c r="Z92" s="63">
        <f t="shared" si="40"/>
        <v>0</v>
      </c>
      <c r="AA92" s="63">
        <f t="shared" si="41"/>
        <v>67713921.499038443</v>
      </c>
      <c r="AB92" s="58" t="str">
        <f t="shared" si="42"/>
        <v>ok</v>
      </c>
    </row>
    <row r="93" spans="1:28">
      <c r="A93" s="458" t="s">
        <v>607</v>
      </c>
      <c r="C93" s="60" t="s">
        <v>897</v>
      </c>
      <c r="D93" s="60" t="s">
        <v>397</v>
      </c>
      <c r="E93" s="60" t="s">
        <v>1367</v>
      </c>
      <c r="F93" s="79">
        <f>VLOOKUP(C93,'Functional Assignment'!$C$2:$AP$780,'Functional Assignment'!$W$2,)</f>
        <v>115706517.41808937</v>
      </c>
      <c r="G93" s="79">
        <f t="shared" si="39"/>
        <v>100801325.55723357</v>
      </c>
      <c r="H93" s="79">
        <f t="shared" si="39"/>
        <v>248840.28555246044</v>
      </c>
      <c r="I93" s="79">
        <f t="shared" si="39"/>
        <v>12132753.777536044</v>
      </c>
      <c r="J93" s="79">
        <f t="shared" si="39"/>
        <v>18734.950243261341</v>
      </c>
      <c r="K93" s="79">
        <f t="shared" si="39"/>
        <v>0</v>
      </c>
      <c r="L93" s="79">
        <f t="shared" si="39"/>
        <v>35328.763315864242</v>
      </c>
      <c r="M93" s="79">
        <f t="shared" si="39"/>
        <v>0</v>
      </c>
      <c r="N93" s="79">
        <f t="shared" si="39"/>
        <v>0</v>
      </c>
      <c r="O93" s="79">
        <f t="shared" si="39"/>
        <v>0</v>
      </c>
      <c r="P93" s="79">
        <f t="shared" si="39"/>
        <v>2435784.4095556731</v>
      </c>
      <c r="Q93" s="79">
        <f t="shared" si="40"/>
        <v>4309.0385559501083</v>
      </c>
      <c r="R93" s="79">
        <f t="shared" si="40"/>
        <v>26764.214633230487</v>
      </c>
      <c r="S93" s="79">
        <f t="shared" si="40"/>
        <v>0</v>
      </c>
      <c r="T93" s="79">
        <f t="shared" si="40"/>
        <v>2676.421463323049</v>
      </c>
      <c r="U93" s="79">
        <f t="shared" si="40"/>
        <v>0</v>
      </c>
      <c r="V93" s="79">
        <f t="shared" si="40"/>
        <v>0</v>
      </c>
      <c r="W93" s="79">
        <f t="shared" si="40"/>
        <v>0</v>
      </c>
      <c r="X93" s="63">
        <f t="shared" si="40"/>
        <v>0</v>
      </c>
      <c r="Y93" s="63">
        <f t="shared" si="40"/>
        <v>0</v>
      </c>
      <c r="Z93" s="63">
        <f t="shared" si="40"/>
        <v>0</v>
      </c>
      <c r="AA93" s="63">
        <f t="shared" si="41"/>
        <v>115706517.41808939</v>
      </c>
      <c r="AB93" s="58" t="str">
        <f t="shared" si="42"/>
        <v>ok</v>
      </c>
    </row>
    <row r="94" spans="1:28">
      <c r="A94" s="44" t="s">
        <v>365</v>
      </c>
      <c r="D94" s="60" t="s">
        <v>398</v>
      </c>
      <c r="F94" s="76">
        <f>SUM(F89:F93)</f>
        <v>823266661.4162755</v>
      </c>
      <c r="G94" s="76">
        <f t="shared" ref="G94:W94" si="43">SUM(G89:G93)</f>
        <v>616413492.86217523</v>
      </c>
      <c r="H94" s="76">
        <f t="shared" si="43"/>
        <v>1646050.5984342359</v>
      </c>
      <c r="I94" s="76">
        <f t="shared" si="43"/>
        <v>91239931.279876128</v>
      </c>
      <c r="J94" s="76">
        <f t="shared" si="43"/>
        <v>2024485.4397351618</v>
      </c>
      <c r="K94" s="76">
        <f t="shared" si="43"/>
        <v>43216276.141644344</v>
      </c>
      <c r="L94" s="76">
        <f t="shared" si="43"/>
        <v>27760618.604632568</v>
      </c>
      <c r="M94" s="76">
        <f t="shared" si="43"/>
        <v>26595098.763020225</v>
      </c>
      <c r="N94" s="76">
        <f t="shared" si="43"/>
        <v>11851.961395349894</v>
      </c>
      <c r="O94" s="76">
        <f>SUM(O89:O93)</f>
        <v>877618.57424926839</v>
      </c>
      <c r="P94" s="76">
        <f t="shared" si="43"/>
        <v>13201442.656842392</v>
      </c>
      <c r="Q94" s="76">
        <f t="shared" si="43"/>
        <v>104963.9145055608</v>
      </c>
      <c r="R94" s="76">
        <f t="shared" si="43"/>
        <v>157400.44397267079</v>
      </c>
      <c r="S94" s="76">
        <f t="shared" si="43"/>
        <v>5206.8057672130053</v>
      </c>
      <c r="T94" s="76">
        <f t="shared" si="43"/>
        <v>12223.370025075048</v>
      </c>
      <c r="U94" s="76">
        <f t="shared" si="43"/>
        <v>0</v>
      </c>
      <c r="V94" s="76">
        <f t="shared" si="43"/>
        <v>0</v>
      </c>
      <c r="W94" s="76">
        <f t="shared" si="43"/>
        <v>0</v>
      </c>
      <c r="X94" s="62">
        <f>SUM(X89:X93)</f>
        <v>0</v>
      </c>
      <c r="Y94" s="62">
        <f>SUM(Y89:Y93)</f>
        <v>0</v>
      </c>
      <c r="Z94" s="62">
        <f>SUM(Z89:Z93)</f>
        <v>0</v>
      </c>
      <c r="AA94" s="64">
        <f t="shared" si="41"/>
        <v>823266661.4162755</v>
      </c>
      <c r="AB94" s="58" t="str">
        <f t="shared" si="42"/>
        <v>ok</v>
      </c>
    </row>
    <row r="95" spans="1:28">
      <c r="A95" s="44"/>
      <c r="F95" s="79"/>
    </row>
    <row r="96" spans="1:28" ht="14.1">
      <c r="A96" s="45" t="s">
        <v>613</v>
      </c>
      <c r="F96" s="79"/>
    </row>
    <row r="97" spans="1:28">
      <c r="A97" s="458" t="s">
        <v>1014</v>
      </c>
      <c r="C97" s="60" t="s">
        <v>897</v>
      </c>
      <c r="D97" s="60" t="s">
        <v>399</v>
      </c>
      <c r="E97" s="60" t="s">
        <v>1207</v>
      </c>
      <c r="F97" s="76">
        <f>VLOOKUP(C97,'Functional Assignment'!$C$2:$AP$780,'Functional Assignment'!$X$2,)</f>
        <v>82953367.650094926</v>
      </c>
      <c r="G97" s="76">
        <f t="shared" ref="G97:P98" si="44">IF(VLOOKUP($E97,$D$6:$AN$1150,3,)=0,0,(VLOOKUP($E97,$D$6:$AN$1150,G$2,)/VLOOKUP($E97,$D$6:$AN$1150,3,))*$F97)</f>
        <v>57289314.062239289</v>
      </c>
      <c r="H97" s="76">
        <f t="shared" si="44"/>
        <v>119022.53720842238</v>
      </c>
      <c r="I97" s="76">
        <f t="shared" si="44"/>
        <v>9163494.7987473123</v>
      </c>
      <c r="J97" s="76">
        <f t="shared" si="44"/>
        <v>0</v>
      </c>
      <c r="K97" s="76">
        <f t="shared" si="44"/>
        <v>8679107.6957586594</v>
      </c>
      <c r="L97" s="76">
        <f t="shared" si="44"/>
        <v>0</v>
      </c>
      <c r="M97" s="76">
        <f t="shared" si="44"/>
        <v>7239749.5461251345</v>
      </c>
      <c r="N97" s="76">
        <f t="shared" si="44"/>
        <v>0</v>
      </c>
      <c r="O97" s="76">
        <f t="shared" si="44"/>
        <v>0</v>
      </c>
      <c r="P97" s="76">
        <f t="shared" si="44"/>
        <v>439502.78225124854</v>
      </c>
      <c r="Q97" s="76">
        <f t="shared" ref="Q97:Z98" si="45">IF(VLOOKUP($E97,$D$6:$AN$1150,3,)=0,0,(VLOOKUP($E97,$D$6:$AN$1150,Q$2,)/VLOOKUP($E97,$D$6:$AN$1150,3,))*$F97)</f>
        <v>15307.890872053908</v>
      </c>
      <c r="R97" s="76">
        <f t="shared" si="45"/>
        <v>7027.0341887549293</v>
      </c>
      <c r="S97" s="76">
        <f t="shared" si="45"/>
        <v>764.73266251072721</v>
      </c>
      <c r="T97" s="76">
        <f t="shared" si="45"/>
        <v>76.570041534792665</v>
      </c>
      <c r="U97" s="76">
        <f t="shared" si="45"/>
        <v>0</v>
      </c>
      <c r="V97" s="76">
        <f t="shared" si="45"/>
        <v>0</v>
      </c>
      <c r="W97" s="76">
        <f t="shared" si="45"/>
        <v>0</v>
      </c>
      <c r="X97" s="62">
        <f t="shared" si="45"/>
        <v>0</v>
      </c>
      <c r="Y97" s="62">
        <f t="shared" si="45"/>
        <v>0</v>
      </c>
      <c r="Z97" s="62">
        <f t="shared" si="45"/>
        <v>0</v>
      </c>
      <c r="AA97" s="64">
        <f>SUM(G97:Z97)</f>
        <v>82953367.650094941</v>
      </c>
      <c r="AB97" s="58" t="str">
        <f>IF(ABS(F97-AA97)&lt;0.01,"ok","err")</f>
        <v>ok</v>
      </c>
    </row>
    <row r="98" spans="1:28">
      <c r="A98" s="458" t="s">
        <v>1017</v>
      </c>
      <c r="C98" s="60" t="s">
        <v>897</v>
      </c>
      <c r="D98" s="60" t="s">
        <v>400</v>
      </c>
      <c r="E98" s="60" t="s">
        <v>1369</v>
      </c>
      <c r="F98" s="290">
        <f>VLOOKUP(C98,'Functional Assignment'!$C$2:$AP$780,'Functional Assignment'!$Y$2,)</f>
        <v>46238862.960672498</v>
      </c>
      <c r="G98" s="79">
        <f t="shared" si="44"/>
        <v>39996820.38755706</v>
      </c>
      <c r="H98" s="79">
        <f t="shared" si="44"/>
        <v>98736.997270726366</v>
      </c>
      <c r="I98" s="79">
        <f t="shared" si="44"/>
        <v>4814138.8118059346</v>
      </c>
      <c r="J98" s="79">
        <f t="shared" si="44"/>
        <v>0</v>
      </c>
      <c r="K98" s="79">
        <f t="shared" si="44"/>
        <v>295547.25830000691</v>
      </c>
      <c r="L98" s="79">
        <f t="shared" si="44"/>
        <v>0</v>
      </c>
      <c r="M98" s="79">
        <f t="shared" si="44"/>
        <v>53630.249686861403</v>
      </c>
      <c r="N98" s="79">
        <f t="shared" si="44"/>
        <v>0</v>
      </c>
      <c r="O98" s="79">
        <f t="shared" si="44"/>
        <v>0</v>
      </c>
      <c r="P98" s="79">
        <f t="shared" si="44"/>
        <v>966491.57134837692</v>
      </c>
      <c r="Q98" s="79">
        <f t="shared" si="45"/>
        <v>1709.7775273554123</v>
      </c>
      <c r="R98" s="79">
        <f t="shared" si="45"/>
        <v>10619.736194754112</v>
      </c>
      <c r="S98" s="79">
        <f t="shared" si="45"/>
        <v>106.19736194754113</v>
      </c>
      <c r="T98" s="79">
        <f t="shared" si="45"/>
        <v>1061.9736194754112</v>
      </c>
      <c r="U98" s="79">
        <f t="shared" si="45"/>
        <v>0</v>
      </c>
      <c r="V98" s="79">
        <f t="shared" si="45"/>
        <v>0</v>
      </c>
      <c r="W98" s="79">
        <f t="shared" si="45"/>
        <v>0</v>
      </c>
      <c r="X98" s="63">
        <f t="shared" si="45"/>
        <v>0</v>
      </c>
      <c r="Y98" s="63">
        <f t="shared" si="45"/>
        <v>0</v>
      </c>
      <c r="Z98" s="63">
        <f t="shared" si="45"/>
        <v>0</v>
      </c>
      <c r="AA98" s="454">
        <f>SUM(G98:Z98)</f>
        <v>46238862.96067249</v>
      </c>
      <c r="AB98" s="58" t="str">
        <f>IF(ABS(F98-AA98)&lt;0.01,"ok","err")</f>
        <v>ok</v>
      </c>
    </row>
    <row r="99" spans="1:28">
      <c r="A99" s="44" t="s">
        <v>672</v>
      </c>
      <c r="D99" s="60" t="s">
        <v>401</v>
      </c>
      <c r="F99" s="76">
        <f>F97+F98</f>
        <v>129192230.61076742</v>
      </c>
      <c r="G99" s="76">
        <f t="shared" ref="G99:W99" si="46">G97+G98</f>
        <v>97286134.449796349</v>
      </c>
      <c r="H99" s="76">
        <f t="shared" si="46"/>
        <v>217759.53447914874</v>
      </c>
      <c r="I99" s="76">
        <f t="shared" si="46"/>
        <v>13977633.610553246</v>
      </c>
      <c r="J99" s="76">
        <f t="shared" si="46"/>
        <v>0</v>
      </c>
      <c r="K99" s="76">
        <f t="shared" si="46"/>
        <v>8974654.9540586658</v>
      </c>
      <c r="L99" s="76">
        <f t="shared" si="46"/>
        <v>0</v>
      </c>
      <c r="M99" s="76">
        <f t="shared" si="46"/>
        <v>7293379.7958119959</v>
      </c>
      <c r="N99" s="76">
        <f t="shared" si="46"/>
        <v>0</v>
      </c>
      <c r="O99" s="76">
        <f>O97+O98</f>
        <v>0</v>
      </c>
      <c r="P99" s="76">
        <f t="shared" si="46"/>
        <v>1405994.3535996254</v>
      </c>
      <c r="Q99" s="76">
        <f t="shared" si="46"/>
        <v>17017.668399409318</v>
      </c>
      <c r="R99" s="76">
        <f t="shared" si="46"/>
        <v>17646.770383509043</v>
      </c>
      <c r="S99" s="76">
        <f t="shared" si="46"/>
        <v>870.93002445826835</v>
      </c>
      <c r="T99" s="76">
        <f t="shared" si="46"/>
        <v>1138.5436610102038</v>
      </c>
      <c r="U99" s="76">
        <f t="shared" si="46"/>
        <v>0</v>
      </c>
      <c r="V99" s="76">
        <f t="shared" si="46"/>
        <v>0</v>
      </c>
      <c r="W99" s="76">
        <f t="shared" si="46"/>
        <v>0</v>
      </c>
      <c r="X99" s="62">
        <f>X97+X98</f>
        <v>0</v>
      </c>
      <c r="Y99" s="62">
        <f>Y97+Y98</f>
        <v>0</v>
      </c>
      <c r="Z99" s="62">
        <f>Z97+Z98</f>
        <v>0</v>
      </c>
      <c r="AA99" s="64">
        <f>SUM(G99:Z99)</f>
        <v>129192230.61076742</v>
      </c>
      <c r="AB99" s="58" t="str">
        <f>IF(ABS(F99-AA99)&lt;0.01,"ok","err")</f>
        <v>ok</v>
      </c>
    </row>
    <row r="100" spans="1:28">
      <c r="A100" s="44"/>
      <c r="F100" s="79"/>
    </row>
    <row r="101" spans="1:28" ht="14.1">
      <c r="A101" s="45" t="s">
        <v>343</v>
      </c>
      <c r="F101" s="79"/>
    </row>
    <row r="102" spans="1:28">
      <c r="A102" s="458" t="s">
        <v>1017</v>
      </c>
      <c r="C102" s="60" t="s">
        <v>897</v>
      </c>
      <c r="D102" s="60" t="s">
        <v>402</v>
      </c>
      <c r="E102" s="60" t="s">
        <v>1019</v>
      </c>
      <c r="F102" s="76">
        <f>VLOOKUP(C102,'Functional Assignment'!$C$2:$AP$780,'Functional Assignment'!$Z$2,)</f>
        <v>29563786.729864359</v>
      </c>
      <c r="G102" s="76">
        <f t="shared" ref="G102:Z102" si="47">IF(VLOOKUP($E102,$D$6:$AN$1150,3,)=0,0,(VLOOKUP($E102,$D$6:$AN$1150,G$2,)/VLOOKUP($E102,$D$6:$AN$1150,3,))*$F102)</f>
        <v>25401232.559805542</v>
      </c>
      <c r="H102" s="76">
        <f t="shared" si="47"/>
        <v>62699.061153819122</v>
      </c>
      <c r="I102" s="76">
        <f t="shared" si="47"/>
        <v>3626678.4798732474</v>
      </c>
      <c r="J102" s="76">
        <f t="shared" si="47"/>
        <v>0</v>
      </c>
      <c r="K102" s="76">
        <f t="shared" si="47"/>
        <v>373035.93610055814</v>
      </c>
      <c r="L102" s="76">
        <f t="shared" si="47"/>
        <v>0</v>
      </c>
      <c r="M102" s="76">
        <f t="shared" si="47"/>
        <v>100006.62295439834</v>
      </c>
      <c r="N102" s="76">
        <f t="shared" si="47"/>
        <v>0</v>
      </c>
      <c r="O102" s="76">
        <f t="shared" si="47"/>
        <v>0</v>
      </c>
      <c r="P102" s="76">
        <f t="shared" si="47"/>
        <v>0</v>
      </c>
      <c r="Q102" s="76">
        <f t="shared" si="47"/>
        <v>0</v>
      </c>
      <c r="R102" s="76">
        <f t="shared" si="47"/>
        <v>0</v>
      </c>
      <c r="S102" s="76">
        <f t="shared" si="47"/>
        <v>134.06997678822705</v>
      </c>
      <c r="T102" s="76">
        <f t="shared" si="47"/>
        <v>0</v>
      </c>
      <c r="U102" s="76">
        <f t="shared" si="47"/>
        <v>0</v>
      </c>
      <c r="V102" s="76">
        <f t="shared" si="47"/>
        <v>0</v>
      </c>
      <c r="W102" s="76">
        <f t="shared" si="47"/>
        <v>0</v>
      </c>
      <c r="X102" s="62">
        <f t="shared" si="47"/>
        <v>0</v>
      </c>
      <c r="Y102" s="62">
        <f t="shared" si="47"/>
        <v>0</v>
      </c>
      <c r="Z102" s="62">
        <f t="shared" si="47"/>
        <v>0</v>
      </c>
      <c r="AA102" s="64">
        <f>SUM(G102:Z102)</f>
        <v>29563786.729864351</v>
      </c>
      <c r="AB102" s="58" t="str">
        <f>IF(ABS(F102-AA102)&lt;0.01,"ok","err")</f>
        <v>ok</v>
      </c>
    </row>
    <row r="103" spans="1:28">
      <c r="A103" s="44"/>
      <c r="F103" s="79"/>
    </row>
    <row r="104" spans="1:28" ht="14.1">
      <c r="A104" s="45" t="s">
        <v>342</v>
      </c>
      <c r="F104" s="79"/>
    </row>
    <row r="105" spans="1:28">
      <c r="A105" s="458" t="s">
        <v>1017</v>
      </c>
      <c r="C105" s="60" t="s">
        <v>897</v>
      </c>
      <c r="D105" s="60" t="s">
        <v>403</v>
      </c>
      <c r="E105" s="60" t="s">
        <v>1289</v>
      </c>
      <c r="F105" s="76">
        <f>VLOOKUP(C105,'Functional Assignment'!$C$2:$AP$780,'Functional Assignment'!$AA$2,)</f>
        <v>30149961.984803911</v>
      </c>
      <c r="G105" s="76">
        <f t="shared" ref="G105:Z105" si="48">IF(VLOOKUP($E105,$D$6:$AN$1150,3,)=0,0,(VLOOKUP($E105,$D$6:$AN$1150,G$2,)/VLOOKUP($E105,$D$6:$AN$1150,3,))*$F105)</f>
        <v>20463237.698221985</v>
      </c>
      <c r="H105" s="76">
        <f t="shared" si="48"/>
        <v>50510.375385334431</v>
      </c>
      <c r="I105" s="76">
        <f t="shared" si="48"/>
        <v>6373699.4619441861</v>
      </c>
      <c r="J105" s="76">
        <f t="shared" si="48"/>
        <v>208332.25048325656</v>
      </c>
      <c r="K105" s="76">
        <f t="shared" si="48"/>
        <v>1782389.3974183898</v>
      </c>
      <c r="L105" s="76">
        <f t="shared" si="48"/>
        <v>416122.19068734231</v>
      </c>
      <c r="M105" s="76">
        <f t="shared" si="48"/>
        <v>352367.34707506798</v>
      </c>
      <c r="N105" s="76">
        <f t="shared" si="48"/>
        <v>294071.22383137897</v>
      </c>
      <c r="O105" s="76">
        <f t="shared" si="48"/>
        <v>6324.3087775183194</v>
      </c>
      <c r="P105" s="76">
        <f t="shared" si="48"/>
        <v>0</v>
      </c>
      <c r="Q105" s="76">
        <f t="shared" si="48"/>
        <v>8746.6205292162867</v>
      </c>
      <c r="R105" s="76">
        <f t="shared" si="48"/>
        <v>54326.835585194334</v>
      </c>
      <c r="S105" s="76">
        <f t="shared" si="48"/>
        <v>640.59486503479536</v>
      </c>
      <c r="T105" s="76">
        <f t="shared" si="48"/>
        <v>139193.68000000005</v>
      </c>
      <c r="U105" s="76">
        <f t="shared" si="48"/>
        <v>0</v>
      </c>
      <c r="V105" s="76">
        <f t="shared" si="48"/>
        <v>0</v>
      </c>
      <c r="W105" s="76">
        <f t="shared" si="48"/>
        <v>0</v>
      </c>
      <c r="X105" s="62">
        <f t="shared" si="48"/>
        <v>0</v>
      </c>
      <c r="Y105" s="62">
        <f t="shared" si="48"/>
        <v>0</v>
      </c>
      <c r="Z105" s="62">
        <f t="shared" si="48"/>
        <v>0</v>
      </c>
      <c r="AA105" s="64">
        <f>SUM(G105:Z105)</f>
        <v>30149961.984803904</v>
      </c>
      <c r="AB105" s="58" t="str">
        <f>IF(ABS(F105-AA105)&lt;0.01,"ok","err")</f>
        <v>ok</v>
      </c>
    </row>
    <row r="106" spans="1:28">
      <c r="A106" s="44"/>
      <c r="F106" s="79"/>
    </row>
    <row r="107" spans="1:28" ht="14.1">
      <c r="A107" s="45" t="s">
        <v>358</v>
      </c>
      <c r="F107" s="79"/>
    </row>
    <row r="108" spans="1:28">
      <c r="A108" s="458" t="s">
        <v>1017</v>
      </c>
      <c r="C108" s="60" t="s">
        <v>897</v>
      </c>
      <c r="D108" s="60" t="s">
        <v>404</v>
      </c>
      <c r="E108" s="60" t="s">
        <v>1365</v>
      </c>
      <c r="F108" s="76">
        <f>VLOOKUP(C108,'Functional Assignment'!$C$2:$AP$780,'Functional Assignment'!$AB$2,)</f>
        <v>97473132.05472216</v>
      </c>
      <c r="G108" s="76">
        <f t="shared" ref="G108:Z108" si="49">IF(VLOOKUP($E108,$D$6:$AN$1150,3,)=0,0,(VLOOKUP($E108,$D$6:$AN$1150,G$2,)/VLOOKUP($E108,$D$6:$AN$1150,3,))*$F108)</f>
        <v>0</v>
      </c>
      <c r="H108" s="76">
        <f t="shared" si="49"/>
        <v>0</v>
      </c>
      <c r="I108" s="76">
        <f t="shared" si="49"/>
        <v>0</v>
      </c>
      <c r="J108" s="76">
        <f t="shared" si="49"/>
        <v>0</v>
      </c>
      <c r="K108" s="76">
        <f t="shared" si="49"/>
        <v>0</v>
      </c>
      <c r="L108" s="76">
        <f t="shared" si="49"/>
        <v>0</v>
      </c>
      <c r="M108" s="76">
        <f t="shared" si="49"/>
        <v>0</v>
      </c>
      <c r="N108" s="76">
        <f t="shared" si="49"/>
        <v>0</v>
      </c>
      <c r="O108" s="76">
        <f t="shared" si="49"/>
        <v>0</v>
      </c>
      <c r="P108" s="76">
        <f t="shared" si="49"/>
        <v>97473132.05472216</v>
      </c>
      <c r="Q108" s="76">
        <f t="shared" si="49"/>
        <v>0</v>
      </c>
      <c r="R108" s="76">
        <f t="shared" si="49"/>
        <v>0</v>
      </c>
      <c r="S108" s="76">
        <f t="shared" si="49"/>
        <v>0</v>
      </c>
      <c r="T108" s="76">
        <f t="shared" si="49"/>
        <v>0</v>
      </c>
      <c r="U108" s="76">
        <f t="shared" si="49"/>
        <v>0</v>
      </c>
      <c r="V108" s="76">
        <f t="shared" si="49"/>
        <v>0</v>
      </c>
      <c r="W108" s="76">
        <f t="shared" si="49"/>
        <v>0</v>
      </c>
      <c r="X108" s="62">
        <f t="shared" si="49"/>
        <v>0</v>
      </c>
      <c r="Y108" s="62">
        <f t="shared" si="49"/>
        <v>0</v>
      </c>
      <c r="Z108" s="62">
        <f t="shared" si="49"/>
        <v>0</v>
      </c>
      <c r="AA108" s="64">
        <f>SUM(G108:Z108)</f>
        <v>97473132.05472216</v>
      </c>
      <c r="AB108" s="58" t="str">
        <f>IF(ABS(F108-AA108)&lt;0.01,"ok","err")</f>
        <v>ok</v>
      </c>
    </row>
    <row r="109" spans="1:28">
      <c r="A109" s="44"/>
      <c r="F109" s="79"/>
    </row>
    <row r="110" spans="1:28" ht="14.1">
      <c r="A110" s="45" t="s">
        <v>949</v>
      </c>
      <c r="F110" s="79"/>
    </row>
    <row r="111" spans="1:28">
      <c r="A111" s="458" t="s">
        <v>1017</v>
      </c>
      <c r="C111" s="60" t="s">
        <v>897</v>
      </c>
      <c r="D111" s="60" t="s">
        <v>405</v>
      </c>
      <c r="E111" s="60" t="s">
        <v>1364</v>
      </c>
      <c r="F111" s="76">
        <f>VLOOKUP(C111,'Functional Assignment'!$C$2:$AP$780,'Functional Assignment'!$AC$2,)</f>
        <v>0</v>
      </c>
      <c r="G111" s="76">
        <f t="shared" ref="G111:Z111" si="50">IF(VLOOKUP($E111,$D$6:$AN$1150,3,)=0,0,(VLOOKUP($E111,$D$6:$AN$1150,G$2,)/VLOOKUP($E111,$D$6:$AN$1150,3,))*$F111)</f>
        <v>0</v>
      </c>
      <c r="H111" s="76">
        <f t="shared" si="50"/>
        <v>0</v>
      </c>
      <c r="I111" s="76">
        <f t="shared" si="50"/>
        <v>0</v>
      </c>
      <c r="J111" s="76">
        <f t="shared" si="50"/>
        <v>0</v>
      </c>
      <c r="K111" s="76">
        <f t="shared" si="50"/>
        <v>0</v>
      </c>
      <c r="L111" s="76">
        <f t="shared" si="50"/>
        <v>0</v>
      </c>
      <c r="M111" s="76">
        <f t="shared" si="50"/>
        <v>0</v>
      </c>
      <c r="N111" s="76">
        <f t="shared" si="50"/>
        <v>0</v>
      </c>
      <c r="O111" s="76">
        <f t="shared" si="50"/>
        <v>0</v>
      </c>
      <c r="P111" s="76">
        <f t="shared" si="50"/>
        <v>0</v>
      </c>
      <c r="Q111" s="76">
        <f t="shared" si="50"/>
        <v>0</v>
      </c>
      <c r="R111" s="76">
        <f t="shared" si="50"/>
        <v>0</v>
      </c>
      <c r="S111" s="76">
        <f t="shared" si="50"/>
        <v>0</v>
      </c>
      <c r="T111" s="76">
        <f t="shared" si="50"/>
        <v>0</v>
      </c>
      <c r="U111" s="76">
        <f t="shared" si="50"/>
        <v>0</v>
      </c>
      <c r="V111" s="76">
        <f t="shared" si="50"/>
        <v>0</v>
      </c>
      <c r="W111" s="76">
        <f t="shared" si="50"/>
        <v>0</v>
      </c>
      <c r="X111" s="62">
        <f t="shared" si="50"/>
        <v>0</v>
      </c>
      <c r="Y111" s="62">
        <f t="shared" si="50"/>
        <v>0</v>
      </c>
      <c r="Z111" s="62">
        <f t="shared" si="50"/>
        <v>0</v>
      </c>
      <c r="AA111" s="64">
        <f>SUM(G111:Z111)</f>
        <v>0</v>
      </c>
      <c r="AB111" s="58" t="str">
        <f>IF(ABS(F111-AA111)&lt;0.01,"ok","err")</f>
        <v>ok</v>
      </c>
    </row>
    <row r="112" spans="1:28">
      <c r="A112" s="44"/>
      <c r="F112" s="79"/>
    </row>
    <row r="113" spans="1:28" ht="14.1">
      <c r="A113" s="45" t="s">
        <v>340</v>
      </c>
      <c r="F113" s="79"/>
    </row>
    <row r="114" spans="1:28">
      <c r="A114" s="458" t="s">
        <v>1017</v>
      </c>
      <c r="C114" s="60" t="s">
        <v>897</v>
      </c>
      <c r="D114" s="60" t="s">
        <v>406</v>
      </c>
      <c r="E114" s="60" t="s">
        <v>1370</v>
      </c>
      <c r="F114" s="76">
        <f>VLOOKUP(C114,'Functional Assignment'!$C$2:$AP$780,'Functional Assignment'!$AD$2,)</f>
        <v>0</v>
      </c>
      <c r="G114" s="76">
        <f t="shared" ref="G114:Z114" si="51">IF(VLOOKUP($E114,$D$6:$AN$1150,3,)=0,0,(VLOOKUP($E114,$D$6:$AN$1150,G$2,)/VLOOKUP($E114,$D$6:$AN$1150,3,))*$F114)</f>
        <v>0</v>
      </c>
      <c r="H114" s="76">
        <f t="shared" si="51"/>
        <v>0</v>
      </c>
      <c r="I114" s="76">
        <f t="shared" si="51"/>
        <v>0</v>
      </c>
      <c r="J114" s="76">
        <f t="shared" si="51"/>
        <v>0</v>
      </c>
      <c r="K114" s="76">
        <f t="shared" si="51"/>
        <v>0</v>
      </c>
      <c r="L114" s="76">
        <f t="shared" si="51"/>
        <v>0</v>
      </c>
      <c r="M114" s="76">
        <f t="shared" si="51"/>
        <v>0</v>
      </c>
      <c r="N114" s="76">
        <f t="shared" si="51"/>
        <v>0</v>
      </c>
      <c r="O114" s="76">
        <f t="shared" si="51"/>
        <v>0</v>
      </c>
      <c r="P114" s="76">
        <f t="shared" si="51"/>
        <v>0</v>
      </c>
      <c r="Q114" s="76">
        <f t="shared" si="51"/>
        <v>0</v>
      </c>
      <c r="R114" s="76">
        <f t="shared" si="51"/>
        <v>0</v>
      </c>
      <c r="S114" s="76">
        <f t="shared" si="51"/>
        <v>0</v>
      </c>
      <c r="T114" s="76">
        <f t="shared" si="51"/>
        <v>0</v>
      </c>
      <c r="U114" s="76">
        <f t="shared" si="51"/>
        <v>0</v>
      </c>
      <c r="V114" s="76">
        <f t="shared" si="51"/>
        <v>0</v>
      </c>
      <c r="W114" s="76">
        <f t="shared" si="51"/>
        <v>0</v>
      </c>
      <c r="X114" s="62">
        <f t="shared" si="51"/>
        <v>0</v>
      </c>
      <c r="Y114" s="62">
        <f t="shared" si="51"/>
        <v>0</v>
      </c>
      <c r="Z114" s="62">
        <f t="shared" si="51"/>
        <v>0</v>
      </c>
      <c r="AA114" s="64">
        <f>SUM(G114:Z114)</f>
        <v>0</v>
      </c>
      <c r="AB114" s="58" t="str">
        <f>IF(ABS(F114-AA114)&lt;0.01,"ok","err")</f>
        <v>ok</v>
      </c>
    </row>
    <row r="115" spans="1:28">
      <c r="A115" s="44"/>
      <c r="F115" s="79"/>
    </row>
    <row r="116" spans="1:28" ht="14.1">
      <c r="A116" s="45" t="s">
        <v>339</v>
      </c>
      <c r="F116" s="79"/>
    </row>
    <row r="117" spans="1:28">
      <c r="A117" s="458" t="s">
        <v>1017</v>
      </c>
      <c r="C117" s="60" t="s">
        <v>897</v>
      </c>
      <c r="D117" s="60" t="s">
        <v>407</v>
      </c>
      <c r="E117" s="60" t="s">
        <v>1370</v>
      </c>
      <c r="F117" s="76">
        <f>VLOOKUP(C117,'Functional Assignment'!$C$2:$AP$780,'Functional Assignment'!$AE$2,)</f>
        <v>0</v>
      </c>
      <c r="G117" s="76">
        <f t="shared" ref="G117:Z117" si="52">IF(VLOOKUP($E117,$D$6:$AN$1150,3,)=0,0,(VLOOKUP($E117,$D$6:$AN$1150,G$2,)/VLOOKUP($E117,$D$6:$AN$1150,3,))*$F117)</f>
        <v>0</v>
      </c>
      <c r="H117" s="76">
        <f t="shared" si="52"/>
        <v>0</v>
      </c>
      <c r="I117" s="76">
        <f t="shared" si="52"/>
        <v>0</v>
      </c>
      <c r="J117" s="76">
        <f t="shared" si="52"/>
        <v>0</v>
      </c>
      <c r="K117" s="76">
        <f t="shared" si="52"/>
        <v>0</v>
      </c>
      <c r="L117" s="76">
        <f t="shared" si="52"/>
        <v>0</v>
      </c>
      <c r="M117" s="76">
        <f t="shared" si="52"/>
        <v>0</v>
      </c>
      <c r="N117" s="76">
        <f t="shared" si="52"/>
        <v>0</v>
      </c>
      <c r="O117" s="76">
        <f t="shared" si="52"/>
        <v>0</v>
      </c>
      <c r="P117" s="76">
        <f t="shared" si="52"/>
        <v>0</v>
      </c>
      <c r="Q117" s="76">
        <f t="shared" si="52"/>
        <v>0</v>
      </c>
      <c r="R117" s="76">
        <f t="shared" si="52"/>
        <v>0</v>
      </c>
      <c r="S117" s="76">
        <f t="shared" si="52"/>
        <v>0</v>
      </c>
      <c r="T117" s="76">
        <f t="shared" si="52"/>
        <v>0</v>
      </c>
      <c r="U117" s="76">
        <f t="shared" si="52"/>
        <v>0</v>
      </c>
      <c r="V117" s="76">
        <f t="shared" si="52"/>
        <v>0</v>
      </c>
      <c r="W117" s="76">
        <f t="shared" si="52"/>
        <v>0</v>
      </c>
      <c r="X117" s="62">
        <f t="shared" si="52"/>
        <v>0</v>
      </c>
      <c r="Y117" s="62">
        <f t="shared" si="52"/>
        <v>0</v>
      </c>
      <c r="Z117" s="62">
        <f t="shared" si="52"/>
        <v>0</v>
      </c>
      <c r="AA117" s="64">
        <f>SUM(G117:Z117)</f>
        <v>0</v>
      </c>
      <c r="AB117" s="58" t="str">
        <f>IF(ABS(F117-AA117)&lt;0.01,"ok","err")</f>
        <v>ok</v>
      </c>
    </row>
    <row r="118" spans="1:28">
      <c r="A118" s="44"/>
      <c r="F118" s="79"/>
    </row>
    <row r="119" spans="1:28">
      <c r="A119" s="44" t="s">
        <v>846</v>
      </c>
      <c r="D119" s="60" t="s">
        <v>408</v>
      </c>
      <c r="F119" s="76">
        <f>F74+F80+F83+F86+F94+F99+F102+F105+F108+F111+F114+F117</f>
        <v>4185367363.7841148</v>
      </c>
      <c r="G119" s="76">
        <f t="shared" ref="G119:Y119" si="53">G74+G80+G83+G86+G94+G99+G102+G105+G108+G111+G114+G117</f>
        <v>2129398136.9659035</v>
      </c>
      <c r="H119" s="76">
        <f t="shared" si="53"/>
        <v>3411328.4120547809</v>
      </c>
      <c r="I119" s="76">
        <f t="shared" si="53"/>
        <v>488224299.68847674</v>
      </c>
      <c r="J119" s="76">
        <f t="shared" si="53"/>
        <v>27365066.361483749</v>
      </c>
      <c r="K119" s="76">
        <f t="shared" si="53"/>
        <v>470049076.60630137</v>
      </c>
      <c r="L119" s="76">
        <f t="shared" si="53"/>
        <v>398572822.62607384</v>
      </c>
      <c r="M119" s="76">
        <f t="shared" si="53"/>
        <v>355557661.70281255</v>
      </c>
      <c r="N119" s="76">
        <f t="shared" si="53"/>
        <v>171124801.25285923</v>
      </c>
      <c r="O119" s="76">
        <f>O74+O80+O83+O86+O94+O99+O102+O105+O108+O111+O114+O117</f>
        <v>11704425.945746867</v>
      </c>
      <c r="P119" s="76">
        <f t="shared" si="53"/>
        <v>125877877.04562356</v>
      </c>
      <c r="Q119" s="76">
        <f t="shared" si="53"/>
        <v>611288.72187079187</v>
      </c>
      <c r="R119" s="76">
        <f t="shared" si="53"/>
        <v>738617.18535082962</v>
      </c>
      <c r="S119" s="76">
        <f t="shared" si="53"/>
        <v>15580.041282568769</v>
      </c>
      <c r="T119" s="76">
        <f t="shared" si="53"/>
        <v>157318.25827461109</v>
      </c>
      <c r="U119" s="76">
        <f t="shared" si="53"/>
        <v>2486734.1800000006</v>
      </c>
      <c r="V119" s="76">
        <f t="shared" si="53"/>
        <v>72328.790000000008</v>
      </c>
      <c r="W119" s="76">
        <f t="shared" si="53"/>
        <v>0</v>
      </c>
      <c r="X119" s="62">
        <f t="shared" si="53"/>
        <v>0</v>
      </c>
      <c r="Y119" s="62">
        <f t="shared" si="53"/>
        <v>0</v>
      </c>
      <c r="Z119" s="62">
        <f>Z74+Z80+Z83+Z86+Z94+Z99+Z102+Z105+Z108+Z111+Z114+Z117</f>
        <v>0</v>
      </c>
      <c r="AA119" s="64">
        <f>SUM(G119:Z119)</f>
        <v>4185367363.7841148</v>
      </c>
      <c r="AB119" s="58" t="str">
        <f>IF(ABS(F119-AA119)&lt;0.01,"ok","err")</f>
        <v>ok</v>
      </c>
    </row>
    <row r="120" spans="1:28">
      <c r="A120" s="44"/>
    </row>
    <row r="121" spans="1:28">
      <c r="A121" s="44"/>
    </row>
    <row r="122" spans="1:28" ht="14.1">
      <c r="A122" s="45" t="s">
        <v>1026</v>
      </c>
    </row>
    <row r="123" spans="1:28">
      <c r="A123" s="44"/>
    </row>
    <row r="124" spans="1:28" ht="14.1">
      <c r="A124" s="45" t="s">
        <v>352</v>
      </c>
    </row>
    <row r="125" spans="1:28">
      <c r="A125" s="458" t="s">
        <v>1441</v>
      </c>
      <c r="C125" s="60" t="s">
        <v>908</v>
      </c>
      <c r="D125" s="44" t="s">
        <v>1434</v>
      </c>
      <c r="E125" s="44" t="s">
        <v>1420</v>
      </c>
      <c r="F125" s="76">
        <f>VLOOKUP(C125,'Functional Assignment'!$C$2:$AP$780,'Functional Assignment'!$H$2,)</f>
        <v>2009588145.2784369</v>
      </c>
      <c r="G125" s="76">
        <f t="shared" ref="G125:P130" si="54">IF(VLOOKUP($E125,$D$6:$AN$1150,3,)=0,0,(VLOOKUP($E125,$D$6:$AN$1150,G$2,)/VLOOKUP($E125,$D$6:$AN$1150,3,))*$F125)</f>
        <v>879007150.50976884</v>
      </c>
      <c r="H125" s="76">
        <f t="shared" si="54"/>
        <v>334718.5293108137</v>
      </c>
      <c r="I125" s="76">
        <f t="shared" si="54"/>
        <v>245587138.06649747</v>
      </c>
      <c r="J125" s="76">
        <f t="shared" si="54"/>
        <v>16642024.782784197</v>
      </c>
      <c r="K125" s="76">
        <f t="shared" si="54"/>
        <v>273795525.39964962</v>
      </c>
      <c r="L125" s="76">
        <f t="shared" si="54"/>
        <v>247146897.23319376</v>
      </c>
      <c r="M125" s="76">
        <f t="shared" si="54"/>
        <v>210269253.16116762</v>
      </c>
      <c r="N125" s="76">
        <f t="shared" si="54"/>
        <v>119465139.07929438</v>
      </c>
      <c r="O125" s="76">
        <f t="shared" si="54"/>
        <v>7091582.6554043312</v>
      </c>
      <c r="P125" s="76">
        <f t="shared" si="54"/>
        <v>7268136.8099790653</v>
      </c>
      <c r="Q125" s="76">
        <f t="shared" ref="Q125:Z130" si="55">IF(VLOOKUP($E125,$D$6:$AN$1150,3,)=0,0,(VLOOKUP($E125,$D$6:$AN$1150,Q$2,)/VLOOKUP($E125,$D$6:$AN$1150,3,))*$F125)</f>
        <v>253149.35336794783</v>
      </c>
      <c r="R125" s="76">
        <f t="shared" si="55"/>
        <v>348621.996820995</v>
      </c>
      <c r="S125" s="76">
        <f t="shared" si="55"/>
        <v>343.43971646067638</v>
      </c>
      <c r="T125" s="76">
        <f t="shared" si="55"/>
        <v>3165.6314811592501</v>
      </c>
      <c r="U125" s="76">
        <f t="shared" si="55"/>
        <v>2314621.8400000003</v>
      </c>
      <c r="V125" s="76">
        <f t="shared" si="55"/>
        <v>60676.790000000008</v>
      </c>
      <c r="W125" s="76">
        <f t="shared" si="55"/>
        <v>0</v>
      </c>
      <c r="X125" s="62">
        <f t="shared" si="55"/>
        <v>0</v>
      </c>
      <c r="Y125" s="62">
        <f t="shared" si="55"/>
        <v>0</v>
      </c>
      <c r="Z125" s="62">
        <f t="shared" si="55"/>
        <v>0</v>
      </c>
      <c r="AA125" s="64">
        <f t="shared" ref="AA125:AA131" si="56">SUM(G125:Z125)</f>
        <v>2009588145.2784369</v>
      </c>
      <c r="AB125" s="58" t="str">
        <f t="shared" ref="AB125:AB131" si="57">IF(ABS(F125-AA125)&lt;0.01,"ok","err")</f>
        <v>ok</v>
      </c>
    </row>
    <row r="126" spans="1:28" hidden="1">
      <c r="A126" s="458" t="s">
        <v>1256</v>
      </c>
      <c r="C126" s="60" t="s">
        <v>908</v>
      </c>
      <c r="D126" s="44" t="s">
        <v>409</v>
      </c>
      <c r="E126" s="44" t="s">
        <v>1417</v>
      </c>
      <c r="F126" s="79">
        <f>VLOOKUP(C126,'Functional Assignment'!$C$2:$AP$780,'Functional Assignment'!$I$2,)</f>
        <v>0</v>
      </c>
      <c r="G126" s="79">
        <f t="shared" si="54"/>
        <v>0</v>
      </c>
      <c r="H126" s="79">
        <f t="shared" si="54"/>
        <v>0</v>
      </c>
      <c r="I126" s="79">
        <f t="shared" si="54"/>
        <v>0</v>
      </c>
      <c r="J126" s="79">
        <f t="shared" si="54"/>
        <v>0</v>
      </c>
      <c r="K126" s="79">
        <f t="shared" si="54"/>
        <v>0</v>
      </c>
      <c r="L126" s="79">
        <f t="shared" si="54"/>
        <v>0</v>
      </c>
      <c r="M126" s="79">
        <f t="shared" si="54"/>
        <v>0</v>
      </c>
      <c r="N126" s="79">
        <f t="shared" si="54"/>
        <v>0</v>
      </c>
      <c r="O126" s="79">
        <f t="shared" si="54"/>
        <v>0</v>
      </c>
      <c r="P126" s="79">
        <f t="shared" si="54"/>
        <v>0</v>
      </c>
      <c r="Q126" s="79">
        <f t="shared" si="55"/>
        <v>0</v>
      </c>
      <c r="R126" s="79">
        <f t="shared" si="55"/>
        <v>0</v>
      </c>
      <c r="S126" s="79">
        <f t="shared" si="55"/>
        <v>0</v>
      </c>
      <c r="T126" s="79">
        <f t="shared" si="55"/>
        <v>0</v>
      </c>
      <c r="U126" s="79">
        <f t="shared" si="55"/>
        <v>0</v>
      </c>
      <c r="V126" s="79">
        <f t="shared" si="55"/>
        <v>0</v>
      </c>
      <c r="W126" s="79">
        <f t="shared" si="55"/>
        <v>0</v>
      </c>
      <c r="X126" s="63">
        <f t="shared" si="55"/>
        <v>0</v>
      </c>
      <c r="Y126" s="63">
        <f t="shared" si="55"/>
        <v>0</v>
      </c>
      <c r="Z126" s="63">
        <f t="shared" si="55"/>
        <v>0</v>
      </c>
      <c r="AA126" s="63">
        <f t="shared" si="56"/>
        <v>0</v>
      </c>
      <c r="AB126" s="58" t="str">
        <f t="shared" si="57"/>
        <v>ok</v>
      </c>
    </row>
    <row r="127" spans="1:28" hidden="1">
      <c r="A127" s="458" t="s">
        <v>1256</v>
      </c>
      <c r="C127" s="60" t="s">
        <v>908</v>
      </c>
      <c r="D127" s="44" t="s">
        <v>410</v>
      </c>
      <c r="E127" s="44" t="s">
        <v>1417</v>
      </c>
      <c r="F127" s="79">
        <f>VLOOKUP(C127,'Functional Assignment'!$C$2:$AP$780,'Functional Assignment'!$J$2,)</f>
        <v>0</v>
      </c>
      <c r="G127" s="79">
        <f t="shared" si="54"/>
        <v>0</v>
      </c>
      <c r="H127" s="79">
        <f t="shared" si="54"/>
        <v>0</v>
      </c>
      <c r="I127" s="79">
        <f t="shared" si="54"/>
        <v>0</v>
      </c>
      <c r="J127" s="79">
        <f t="shared" si="54"/>
        <v>0</v>
      </c>
      <c r="K127" s="79">
        <f t="shared" si="54"/>
        <v>0</v>
      </c>
      <c r="L127" s="79">
        <f t="shared" si="54"/>
        <v>0</v>
      </c>
      <c r="M127" s="79">
        <f t="shared" si="54"/>
        <v>0</v>
      </c>
      <c r="N127" s="79">
        <f t="shared" si="54"/>
        <v>0</v>
      </c>
      <c r="O127" s="79">
        <f t="shared" si="54"/>
        <v>0</v>
      </c>
      <c r="P127" s="79">
        <f t="shared" si="54"/>
        <v>0</v>
      </c>
      <c r="Q127" s="79">
        <f t="shared" si="55"/>
        <v>0</v>
      </c>
      <c r="R127" s="79">
        <f t="shared" si="55"/>
        <v>0</v>
      </c>
      <c r="S127" s="79">
        <f t="shared" si="55"/>
        <v>0</v>
      </c>
      <c r="T127" s="79">
        <f t="shared" si="55"/>
        <v>0</v>
      </c>
      <c r="U127" s="79">
        <f t="shared" si="55"/>
        <v>0</v>
      </c>
      <c r="V127" s="79">
        <f t="shared" si="55"/>
        <v>0</v>
      </c>
      <c r="W127" s="79">
        <f t="shared" si="55"/>
        <v>0</v>
      </c>
      <c r="X127" s="63">
        <f t="shared" si="55"/>
        <v>0</v>
      </c>
      <c r="Y127" s="63">
        <f t="shared" si="55"/>
        <v>0</v>
      </c>
      <c r="Z127" s="63">
        <f t="shared" si="55"/>
        <v>0</v>
      </c>
      <c r="AA127" s="63">
        <f t="shared" si="56"/>
        <v>0</v>
      </c>
      <c r="AB127" s="58" t="str">
        <f t="shared" si="57"/>
        <v>ok</v>
      </c>
    </row>
    <row r="128" spans="1:28">
      <c r="A128" s="458" t="s">
        <v>1160</v>
      </c>
      <c r="C128" s="60" t="s">
        <v>908</v>
      </c>
      <c r="D128" s="44" t="s">
        <v>411</v>
      </c>
      <c r="E128" s="44" t="s">
        <v>1015</v>
      </c>
      <c r="F128" s="79">
        <f>VLOOKUP(C128,'Functional Assignment'!$C$2:$AP$780,'Functional Assignment'!$K$2,)</f>
        <v>78365698.835726827</v>
      </c>
      <c r="G128" s="79">
        <f t="shared" si="54"/>
        <v>28132037.963979956</v>
      </c>
      <c r="H128" s="79">
        <f t="shared" si="54"/>
        <v>36127.409646677283</v>
      </c>
      <c r="I128" s="79">
        <f t="shared" si="54"/>
        <v>8327707.1263278788</v>
      </c>
      <c r="J128" s="79">
        <f t="shared" si="54"/>
        <v>705536.78388060012</v>
      </c>
      <c r="K128" s="79">
        <f t="shared" si="54"/>
        <v>10496680.563933097</v>
      </c>
      <c r="L128" s="79">
        <f t="shared" si="54"/>
        <v>13568786.402307633</v>
      </c>
      <c r="M128" s="79">
        <f t="shared" si="54"/>
        <v>8961060.6950090025</v>
      </c>
      <c r="N128" s="79">
        <f t="shared" si="54"/>
        <v>7018768.0220372546</v>
      </c>
      <c r="O128" s="79">
        <f t="shared" si="54"/>
        <v>383711.43889834936</v>
      </c>
      <c r="P128" s="79">
        <f t="shared" si="54"/>
        <v>688716.57683398772</v>
      </c>
      <c r="Q128" s="79">
        <f t="shared" si="55"/>
        <v>23988.012421066487</v>
      </c>
      <c r="R128" s="79">
        <f t="shared" si="55"/>
        <v>22370.532809832133</v>
      </c>
      <c r="S128" s="79">
        <f t="shared" si="55"/>
        <v>80.349102657345725</v>
      </c>
      <c r="T128" s="79">
        <f t="shared" si="55"/>
        <v>126.95853883087094</v>
      </c>
      <c r="U128" s="79">
        <f t="shared" si="55"/>
        <v>0</v>
      </c>
      <c r="V128" s="79">
        <f t="shared" si="55"/>
        <v>0</v>
      </c>
      <c r="W128" s="79">
        <f t="shared" si="55"/>
        <v>0</v>
      </c>
      <c r="X128" s="63">
        <f t="shared" si="55"/>
        <v>0</v>
      </c>
      <c r="Y128" s="63">
        <f t="shared" si="55"/>
        <v>0</v>
      </c>
      <c r="Z128" s="63">
        <f t="shared" si="55"/>
        <v>0</v>
      </c>
      <c r="AA128" s="63">
        <f t="shared" si="56"/>
        <v>78365698.835726857</v>
      </c>
      <c r="AB128" s="58" t="str">
        <f t="shared" si="57"/>
        <v>ok</v>
      </c>
    </row>
    <row r="129" spans="1:28" hidden="1">
      <c r="A129" s="458" t="s">
        <v>1161</v>
      </c>
      <c r="C129" s="60" t="s">
        <v>908</v>
      </c>
      <c r="D129" s="44" t="s">
        <v>412</v>
      </c>
      <c r="E129" s="44" t="s">
        <v>1015</v>
      </c>
      <c r="F129" s="79">
        <f>VLOOKUP(C129,'Functional Assignment'!$C$2:$AP$780,'Functional Assignment'!$L$2,)</f>
        <v>0</v>
      </c>
      <c r="G129" s="79">
        <f t="shared" si="54"/>
        <v>0</v>
      </c>
      <c r="H129" s="79">
        <f t="shared" si="54"/>
        <v>0</v>
      </c>
      <c r="I129" s="79">
        <f t="shared" si="54"/>
        <v>0</v>
      </c>
      <c r="J129" s="79">
        <f t="shared" si="54"/>
        <v>0</v>
      </c>
      <c r="K129" s="79">
        <f t="shared" si="54"/>
        <v>0</v>
      </c>
      <c r="L129" s="79">
        <f t="shared" si="54"/>
        <v>0</v>
      </c>
      <c r="M129" s="79">
        <f t="shared" si="54"/>
        <v>0</v>
      </c>
      <c r="N129" s="79">
        <f t="shared" si="54"/>
        <v>0</v>
      </c>
      <c r="O129" s="79">
        <f t="shared" si="54"/>
        <v>0</v>
      </c>
      <c r="P129" s="79">
        <f t="shared" si="54"/>
        <v>0</v>
      </c>
      <c r="Q129" s="79">
        <f t="shared" si="55"/>
        <v>0</v>
      </c>
      <c r="R129" s="79">
        <f t="shared" si="55"/>
        <v>0</v>
      </c>
      <c r="S129" s="79">
        <f t="shared" si="55"/>
        <v>0</v>
      </c>
      <c r="T129" s="79">
        <f t="shared" si="55"/>
        <v>0</v>
      </c>
      <c r="U129" s="79">
        <f t="shared" si="55"/>
        <v>0</v>
      </c>
      <c r="V129" s="79">
        <f t="shared" si="55"/>
        <v>0</v>
      </c>
      <c r="W129" s="79">
        <f t="shared" si="55"/>
        <v>0</v>
      </c>
      <c r="X129" s="63">
        <f t="shared" si="55"/>
        <v>0</v>
      </c>
      <c r="Y129" s="63">
        <f t="shared" si="55"/>
        <v>0</v>
      </c>
      <c r="Z129" s="63">
        <f t="shared" si="55"/>
        <v>0</v>
      </c>
      <c r="AA129" s="63">
        <f t="shared" si="56"/>
        <v>0</v>
      </c>
      <c r="AB129" s="58" t="str">
        <f t="shared" si="57"/>
        <v>ok</v>
      </c>
    </row>
    <row r="130" spans="1:28" hidden="1">
      <c r="A130" s="458" t="s">
        <v>1161</v>
      </c>
      <c r="C130" s="60" t="s">
        <v>908</v>
      </c>
      <c r="D130" s="44" t="s">
        <v>413</v>
      </c>
      <c r="E130" s="44" t="s">
        <v>1015</v>
      </c>
      <c r="F130" s="79">
        <f>VLOOKUP(C130,'Functional Assignment'!$C$2:$AP$780,'Functional Assignment'!$M$2,)</f>
        <v>0</v>
      </c>
      <c r="G130" s="79">
        <f t="shared" si="54"/>
        <v>0</v>
      </c>
      <c r="H130" s="79">
        <f t="shared" si="54"/>
        <v>0</v>
      </c>
      <c r="I130" s="79">
        <f t="shared" si="54"/>
        <v>0</v>
      </c>
      <c r="J130" s="79">
        <f t="shared" si="54"/>
        <v>0</v>
      </c>
      <c r="K130" s="79">
        <f t="shared" si="54"/>
        <v>0</v>
      </c>
      <c r="L130" s="79">
        <f t="shared" si="54"/>
        <v>0</v>
      </c>
      <c r="M130" s="79">
        <f t="shared" si="54"/>
        <v>0</v>
      </c>
      <c r="N130" s="79">
        <f t="shared" si="54"/>
        <v>0</v>
      </c>
      <c r="O130" s="79">
        <f t="shared" si="54"/>
        <v>0</v>
      </c>
      <c r="P130" s="79">
        <f t="shared" si="54"/>
        <v>0</v>
      </c>
      <c r="Q130" s="79">
        <f t="shared" si="55"/>
        <v>0</v>
      </c>
      <c r="R130" s="79">
        <f t="shared" si="55"/>
        <v>0</v>
      </c>
      <c r="S130" s="79">
        <f t="shared" si="55"/>
        <v>0</v>
      </c>
      <c r="T130" s="79">
        <f t="shared" si="55"/>
        <v>0</v>
      </c>
      <c r="U130" s="79">
        <f t="shared" si="55"/>
        <v>0</v>
      </c>
      <c r="V130" s="79">
        <f t="shared" si="55"/>
        <v>0</v>
      </c>
      <c r="W130" s="79">
        <f t="shared" si="55"/>
        <v>0</v>
      </c>
      <c r="X130" s="63">
        <f t="shared" si="55"/>
        <v>0</v>
      </c>
      <c r="Y130" s="63">
        <f t="shared" si="55"/>
        <v>0</v>
      </c>
      <c r="Z130" s="63">
        <f t="shared" si="55"/>
        <v>0</v>
      </c>
      <c r="AA130" s="63">
        <f t="shared" si="56"/>
        <v>0</v>
      </c>
      <c r="AB130" s="58" t="str">
        <f t="shared" si="57"/>
        <v>ok</v>
      </c>
    </row>
    <row r="131" spans="1:28">
      <c r="A131" s="44" t="s">
        <v>374</v>
      </c>
      <c r="D131" s="44" t="s">
        <v>1027</v>
      </c>
      <c r="E131" s="44"/>
      <c r="F131" s="76">
        <f>SUM(F125:F130)</f>
        <v>2087953844.1141636</v>
      </c>
      <c r="G131" s="76">
        <f t="shared" ref="G131:P131" si="58">SUM(G125:G130)</f>
        <v>907139188.4737488</v>
      </c>
      <c r="H131" s="76">
        <f t="shared" si="58"/>
        <v>370845.93895749096</v>
      </c>
      <c r="I131" s="76">
        <f t="shared" si="58"/>
        <v>253914845.19282535</v>
      </c>
      <c r="J131" s="76">
        <f t="shared" si="58"/>
        <v>17347561.566664796</v>
      </c>
      <c r="K131" s="76">
        <f t="shared" si="58"/>
        <v>284292205.96358269</v>
      </c>
      <c r="L131" s="76">
        <f t="shared" si="58"/>
        <v>260715683.63550138</v>
      </c>
      <c r="M131" s="76">
        <f t="shared" si="58"/>
        <v>219230313.85617661</v>
      </c>
      <c r="N131" s="76">
        <f t="shared" si="58"/>
        <v>126483907.10133164</v>
      </c>
      <c r="O131" s="76">
        <f>SUM(O125:O130)</f>
        <v>7475294.0943026803</v>
      </c>
      <c r="P131" s="76">
        <f t="shared" si="58"/>
        <v>7956853.3868130529</v>
      </c>
      <c r="Q131" s="76">
        <f t="shared" ref="Q131:W131" si="59">SUM(Q125:Q130)</f>
        <v>277137.36578901432</v>
      </c>
      <c r="R131" s="76">
        <f t="shared" si="59"/>
        <v>370992.52963082714</v>
      </c>
      <c r="S131" s="76">
        <f t="shared" si="59"/>
        <v>423.7888191180221</v>
      </c>
      <c r="T131" s="76">
        <f t="shared" si="59"/>
        <v>3292.5900199901212</v>
      </c>
      <c r="U131" s="76">
        <f t="shared" si="59"/>
        <v>2314621.8400000003</v>
      </c>
      <c r="V131" s="76">
        <f t="shared" si="59"/>
        <v>60676.790000000008</v>
      </c>
      <c r="W131" s="76">
        <f t="shared" si="59"/>
        <v>0</v>
      </c>
      <c r="X131" s="62">
        <f>SUM(X125:X130)</f>
        <v>0</v>
      </c>
      <c r="Y131" s="62">
        <f>SUM(Y125:Y130)</f>
        <v>0</v>
      </c>
      <c r="Z131" s="62">
        <f>SUM(Z125:Z130)</f>
        <v>0</v>
      </c>
      <c r="AA131" s="64">
        <f t="shared" si="56"/>
        <v>2087953844.1141634</v>
      </c>
      <c r="AB131" s="58" t="str">
        <f t="shared" si="57"/>
        <v>ok</v>
      </c>
    </row>
    <row r="132" spans="1:28">
      <c r="A132" s="44"/>
      <c r="F132" s="79"/>
      <c r="G132" s="79"/>
    </row>
    <row r="133" spans="1:28" ht="14.1">
      <c r="A133" s="45" t="s">
        <v>1055</v>
      </c>
      <c r="F133" s="79"/>
      <c r="G133" s="79"/>
    </row>
    <row r="134" spans="1:28">
      <c r="A134" s="458" t="s">
        <v>1225</v>
      </c>
      <c r="C134" s="60" t="s">
        <v>908</v>
      </c>
      <c r="D134" s="60" t="s">
        <v>414</v>
      </c>
      <c r="E134" s="60" t="s">
        <v>1229</v>
      </c>
      <c r="F134" s="76">
        <f>VLOOKUP(C134,'Functional Assignment'!$C$2:$AP$780,'Functional Assignment'!$N$2,)</f>
        <v>346878037.48055124</v>
      </c>
      <c r="G134" s="76">
        <f t="shared" ref="G134:P136" si="60">IF(VLOOKUP($E134,$D$6:$AN$1150,3,)=0,0,(VLOOKUP($E134,$D$6:$AN$1150,G$2,)/VLOOKUP($E134,$D$6:$AN$1150,3,))*$F134)</f>
        <v>163759384.02678114</v>
      </c>
      <c r="H134" s="76">
        <f t="shared" si="60"/>
        <v>599667.70733732579</v>
      </c>
      <c r="I134" s="76">
        <f t="shared" si="60"/>
        <v>40034447.174666457</v>
      </c>
      <c r="J134" s="76">
        <f t="shared" si="60"/>
        <v>2627986.7530633551</v>
      </c>
      <c r="K134" s="76">
        <f t="shared" si="60"/>
        <v>44545994.970586218</v>
      </c>
      <c r="L134" s="76">
        <f t="shared" si="60"/>
        <v>37357346.100473687</v>
      </c>
      <c r="M134" s="76">
        <f t="shared" si="60"/>
        <v>35367677.970093146</v>
      </c>
      <c r="N134" s="76">
        <f t="shared" si="60"/>
        <v>18443622.26605536</v>
      </c>
      <c r="O134" s="76">
        <f t="shared" si="60"/>
        <v>1185200.0445243036</v>
      </c>
      <c r="P134" s="76">
        <f t="shared" si="60"/>
        <v>2808604.7743977029</v>
      </c>
      <c r="Q134" s="76">
        <f t="shared" ref="Q134:Z136" si="61">IF(VLOOKUP($E134,$D$6:$AN$1150,3,)=0,0,(VLOOKUP($E134,$D$6:$AN$1150,Q$2,)/VLOOKUP($E134,$D$6:$AN$1150,3,))*$F134)</f>
        <v>97823.761590277136</v>
      </c>
      <c r="R134" s="76">
        <f t="shared" si="61"/>
        <v>44905.65832438918</v>
      </c>
      <c r="S134" s="76">
        <f t="shared" si="61"/>
        <v>4886.9583852546684</v>
      </c>
      <c r="T134" s="76">
        <f t="shared" si="61"/>
        <v>489.31427266257805</v>
      </c>
      <c r="U134" s="76">
        <f t="shared" si="61"/>
        <v>0</v>
      </c>
      <c r="V134" s="76">
        <f t="shared" si="61"/>
        <v>0</v>
      </c>
      <c r="W134" s="76">
        <f t="shared" si="61"/>
        <v>0</v>
      </c>
      <c r="X134" s="62">
        <f t="shared" si="61"/>
        <v>0</v>
      </c>
      <c r="Y134" s="62">
        <f t="shared" si="61"/>
        <v>0</v>
      </c>
      <c r="Z134" s="62">
        <f t="shared" si="61"/>
        <v>0</v>
      </c>
      <c r="AA134" s="64">
        <f>SUM(G134:Z134)</f>
        <v>346878037.48055124</v>
      </c>
      <c r="AB134" s="58" t="str">
        <f>IF(ABS(F134-AA134)&lt;0.01,"ok","err")</f>
        <v>ok</v>
      </c>
    </row>
    <row r="135" spans="1:28" hidden="1">
      <c r="A135" s="458" t="s">
        <v>1226</v>
      </c>
      <c r="C135" s="60" t="s">
        <v>908</v>
      </c>
      <c r="D135" s="60" t="s">
        <v>415</v>
      </c>
      <c r="E135" s="60" t="s">
        <v>1229</v>
      </c>
      <c r="F135" s="79">
        <f>VLOOKUP(C135,'Functional Assignment'!$C$2:$AP$780,'Functional Assignment'!$O$2,)</f>
        <v>0</v>
      </c>
      <c r="G135" s="79">
        <f t="shared" si="60"/>
        <v>0</v>
      </c>
      <c r="H135" s="79">
        <f t="shared" si="60"/>
        <v>0</v>
      </c>
      <c r="I135" s="79">
        <f t="shared" si="60"/>
        <v>0</v>
      </c>
      <c r="J135" s="79">
        <f t="shared" si="60"/>
        <v>0</v>
      </c>
      <c r="K135" s="79">
        <f t="shared" si="60"/>
        <v>0</v>
      </c>
      <c r="L135" s="79">
        <f t="shared" si="60"/>
        <v>0</v>
      </c>
      <c r="M135" s="79">
        <f t="shared" si="60"/>
        <v>0</v>
      </c>
      <c r="N135" s="79">
        <f t="shared" si="60"/>
        <v>0</v>
      </c>
      <c r="O135" s="79">
        <f t="shared" si="60"/>
        <v>0</v>
      </c>
      <c r="P135" s="79">
        <f t="shared" si="60"/>
        <v>0</v>
      </c>
      <c r="Q135" s="79">
        <f t="shared" si="61"/>
        <v>0</v>
      </c>
      <c r="R135" s="79">
        <f t="shared" si="61"/>
        <v>0</v>
      </c>
      <c r="S135" s="79">
        <f t="shared" si="61"/>
        <v>0</v>
      </c>
      <c r="T135" s="79">
        <f t="shared" si="61"/>
        <v>0</v>
      </c>
      <c r="U135" s="79">
        <f t="shared" si="61"/>
        <v>0</v>
      </c>
      <c r="V135" s="79">
        <f t="shared" si="61"/>
        <v>0</v>
      </c>
      <c r="W135" s="79">
        <f t="shared" si="61"/>
        <v>0</v>
      </c>
      <c r="X135" s="63">
        <f t="shared" si="61"/>
        <v>0</v>
      </c>
      <c r="Y135" s="63">
        <f t="shared" si="61"/>
        <v>0</v>
      </c>
      <c r="Z135" s="63">
        <f t="shared" si="61"/>
        <v>0</v>
      </c>
      <c r="AA135" s="63">
        <f>SUM(G135:Z135)</f>
        <v>0</v>
      </c>
      <c r="AB135" s="58" t="str">
        <f>IF(ABS(F135-AA135)&lt;0.01,"ok","err")</f>
        <v>ok</v>
      </c>
    </row>
    <row r="136" spans="1:28" hidden="1">
      <c r="A136" s="458" t="s">
        <v>1226</v>
      </c>
      <c r="C136" s="60" t="s">
        <v>908</v>
      </c>
      <c r="D136" s="60" t="s">
        <v>416</v>
      </c>
      <c r="E136" s="60" t="s">
        <v>1229</v>
      </c>
      <c r="F136" s="79">
        <f>VLOOKUP(C136,'Functional Assignment'!$C$2:$AP$780,'Functional Assignment'!$P$2,)</f>
        <v>0</v>
      </c>
      <c r="G136" s="79">
        <f t="shared" si="60"/>
        <v>0</v>
      </c>
      <c r="H136" s="79">
        <f t="shared" si="60"/>
        <v>0</v>
      </c>
      <c r="I136" s="79">
        <f t="shared" si="60"/>
        <v>0</v>
      </c>
      <c r="J136" s="79">
        <f t="shared" si="60"/>
        <v>0</v>
      </c>
      <c r="K136" s="79">
        <f t="shared" si="60"/>
        <v>0</v>
      </c>
      <c r="L136" s="79">
        <f t="shared" si="60"/>
        <v>0</v>
      </c>
      <c r="M136" s="79">
        <f t="shared" si="60"/>
        <v>0</v>
      </c>
      <c r="N136" s="79">
        <f t="shared" si="60"/>
        <v>0</v>
      </c>
      <c r="O136" s="79">
        <f t="shared" si="60"/>
        <v>0</v>
      </c>
      <c r="P136" s="79">
        <f t="shared" si="60"/>
        <v>0</v>
      </c>
      <c r="Q136" s="79">
        <f t="shared" si="61"/>
        <v>0</v>
      </c>
      <c r="R136" s="79">
        <f t="shared" si="61"/>
        <v>0</v>
      </c>
      <c r="S136" s="79">
        <f t="shared" si="61"/>
        <v>0</v>
      </c>
      <c r="T136" s="79">
        <f t="shared" si="61"/>
        <v>0</v>
      </c>
      <c r="U136" s="79">
        <f t="shared" si="61"/>
        <v>0</v>
      </c>
      <c r="V136" s="79">
        <f t="shared" si="61"/>
        <v>0</v>
      </c>
      <c r="W136" s="79">
        <f t="shared" si="61"/>
        <v>0</v>
      </c>
      <c r="X136" s="63">
        <f t="shared" si="61"/>
        <v>0</v>
      </c>
      <c r="Y136" s="63">
        <f t="shared" si="61"/>
        <v>0</v>
      </c>
      <c r="Z136" s="63">
        <f t="shared" si="61"/>
        <v>0</v>
      </c>
      <c r="AA136" s="63">
        <f>SUM(G136:Z136)</f>
        <v>0</v>
      </c>
      <c r="AB136" s="58" t="str">
        <f>IF(ABS(F136-AA136)&lt;0.01,"ok","err")</f>
        <v>ok</v>
      </c>
    </row>
    <row r="137" spans="1:28" hidden="1">
      <c r="A137" s="44" t="s">
        <v>1057</v>
      </c>
      <c r="D137" s="60" t="s">
        <v>417</v>
      </c>
      <c r="F137" s="76">
        <f>SUM(F134:F136)</f>
        <v>346878037.48055124</v>
      </c>
      <c r="G137" s="76">
        <f t="shared" ref="G137:W137" si="62">SUM(G134:G136)</f>
        <v>163759384.02678114</v>
      </c>
      <c r="H137" s="76">
        <f t="shared" si="62"/>
        <v>599667.70733732579</v>
      </c>
      <c r="I137" s="76">
        <f t="shared" si="62"/>
        <v>40034447.174666457</v>
      </c>
      <c r="J137" s="76">
        <f t="shared" si="62"/>
        <v>2627986.7530633551</v>
      </c>
      <c r="K137" s="76">
        <f t="shared" si="62"/>
        <v>44545994.970586218</v>
      </c>
      <c r="L137" s="76">
        <f t="shared" si="62"/>
        <v>37357346.100473687</v>
      </c>
      <c r="M137" s="76">
        <f t="shared" si="62"/>
        <v>35367677.970093146</v>
      </c>
      <c r="N137" s="76">
        <f t="shared" si="62"/>
        <v>18443622.26605536</v>
      </c>
      <c r="O137" s="76">
        <f>SUM(O134:O136)</f>
        <v>1185200.0445243036</v>
      </c>
      <c r="P137" s="76">
        <f t="shared" si="62"/>
        <v>2808604.7743977029</v>
      </c>
      <c r="Q137" s="76">
        <f t="shared" si="62"/>
        <v>97823.761590277136</v>
      </c>
      <c r="R137" s="76">
        <f t="shared" si="62"/>
        <v>44905.65832438918</v>
      </c>
      <c r="S137" s="76">
        <f t="shared" si="62"/>
        <v>4886.9583852546684</v>
      </c>
      <c r="T137" s="76">
        <f t="shared" si="62"/>
        <v>489.31427266257805</v>
      </c>
      <c r="U137" s="76">
        <f t="shared" si="62"/>
        <v>0</v>
      </c>
      <c r="V137" s="76">
        <f t="shared" si="62"/>
        <v>0</v>
      </c>
      <c r="W137" s="76">
        <f t="shared" si="62"/>
        <v>0</v>
      </c>
      <c r="X137" s="62">
        <f>SUM(X134:X136)</f>
        <v>0</v>
      </c>
      <c r="Y137" s="62">
        <f>SUM(Y134:Y136)</f>
        <v>0</v>
      </c>
      <c r="Z137" s="62">
        <f>SUM(Z134:Z136)</f>
        <v>0</v>
      </c>
      <c r="AA137" s="64">
        <f>SUM(G137:Z137)</f>
        <v>346878037.48055124</v>
      </c>
      <c r="AB137" s="58" t="str">
        <f>IF(ABS(F137-AA137)&lt;0.01,"ok","err")</f>
        <v>ok</v>
      </c>
    </row>
    <row r="138" spans="1:28">
      <c r="A138" s="44"/>
      <c r="F138" s="79"/>
      <c r="G138" s="79"/>
    </row>
    <row r="139" spans="1:28" ht="14.1">
      <c r="A139" s="45" t="s">
        <v>337</v>
      </c>
      <c r="F139" s="79"/>
      <c r="G139" s="79"/>
    </row>
    <row r="140" spans="1:28">
      <c r="A140" s="458" t="s">
        <v>359</v>
      </c>
      <c r="C140" s="60" t="s">
        <v>908</v>
      </c>
      <c r="D140" s="60" t="s">
        <v>418</v>
      </c>
      <c r="E140" s="60" t="s">
        <v>1230</v>
      </c>
      <c r="F140" s="76">
        <f>VLOOKUP(C140,'Functional Assignment'!$C$2:$AP$780,'Functional Assignment'!$Q$2,)</f>
        <v>0</v>
      </c>
      <c r="G140" s="76">
        <f t="shared" ref="G140:Z140" si="63">IF(VLOOKUP($E140,$D$6:$AN$1150,3,)=0,0,(VLOOKUP($E140,$D$6:$AN$1150,G$2,)/VLOOKUP($E140,$D$6:$AN$1150,3,))*$F140)</f>
        <v>0</v>
      </c>
      <c r="H140" s="76">
        <f t="shared" si="63"/>
        <v>0</v>
      </c>
      <c r="I140" s="76">
        <f t="shared" si="63"/>
        <v>0</v>
      </c>
      <c r="J140" s="76">
        <f t="shared" si="63"/>
        <v>0</v>
      </c>
      <c r="K140" s="76">
        <f t="shared" si="63"/>
        <v>0</v>
      </c>
      <c r="L140" s="76">
        <f t="shared" si="63"/>
        <v>0</v>
      </c>
      <c r="M140" s="76">
        <f t="shared" si="63"/>
        <v>0</v>
      </c>
      <c r="N140" s="76">
        <f t="shared" si="63"/>
        <v>0</v>
      </c>
      <c r="O140" s="76">
        <f t="shared" si="63"/>
        <v>0</v>
      </c>
      <c r="P140" s="76">
        <f t="shared" si="63"/>
        <v>0</v>
      </c>
      <c r="Q140" s="76">
        <f t="shared" si="63"/>
        <v>0</v>
      </c>
      <c r="R140" s="76">
        <f t="shared" si="63"/>
        <v>0</v>
      </c>
      <c r="S140" s="76">
        <f t="shared" si="63"/>
        <v>0</v>
      </c>
      <c r="T140" s="76">
        <f t="shared" si="63"/>
        <v>0</v>
      </c>
      <c r="U140" s="76">
        <f t="shared" si="63"/>
        <v>0</v>
      </c>
      <c r="V140" s="76">
        <f t="shared" si="63"/>
        <v>0</v>
      </c>
      <c r="W140" s="76">
        <f t="shared" si="63"/>
        <v>0</v>
      </c>
      <c r="X140" s="62">
        <f t="shared" si="63"/>
        <v>0</v>
      </c>
      <c r="Y140" s="62">
        <f t="shared" si="63"/>
        <v>0</v>
      </c>
      <c r="Z140" s="62">
        <f t="shared" si="63"/>
        <v>0</v>
      </c>
      <c r="AA140" s="64">
        <f>SUM(G140:Z140)</f>
        <v>0</v>
      </c>
      <c r="AB140" s="58" t="str">
        <f>IF(ABS(F140-AA140)&lt;0.01,"ok","err")</f>
        <v>ok</v>
      </c>
    </row>
    <row r="141" spans="1:28">
      <c r="A141" s="44"/>
      <c r="F141" s="79"/>
    </row>
    <row r="142" spans="1:28" ht="14.1">
      <c r="A142" s="45" t="s">
        <v>338</v>
      </c>
      <c r="F142" s="79"/>
      <c r="G142" s="79"/>
    </row>
    <row r="143" spans="1:28">
      <c r="A143" s="458" t="s">
        <v>361</v>
      </c>
      <c r="C143" s="60" t="s">
        <v>908</v>
      </c>
      <c r="D143" s="60" t="s">
        <v>419</v>
      </c>
      <c r="E143" s="60" t="s">
        <v>1230</v>
      </c>
      <c r="F143" s="76">
        <f>VLOOKUP(C143,'Functional Assignment'!$C$2:$AP$780,'Functional Assignment'!$R$2,)</f>
        <v>127246319.14306201</v>
      </c>
      <c r="G143" s="76">
        <f t="shared" ref="G143:Z143" si="64">IF(VLOOKUP($E143,$D$6:$AN$1150,3,)=0,0,(VLOOKUP($E143,$D$6:$AN$1150,G$2,)/VLOOKUP($E143,$D$6:$AN$1150,3,))*$F143)</f>
        <v>63445783.624515064</v>
      </c>
      <c r="H143" s="76">
        <f t="shared" si="64"/>
        <v>232331.03759178109</v>
      </c>
      <c r="I143" s="76">
        <f t="shared" si="64"/>
        <v>15510664.55254603</v>
      </c>
      <c r="J143" s="76">
        <f t="shared" si="64"/>
        <v>1018168.6985075728</v>
      </c>
      <c r="K143" s="76">
        <f t="shared" si="64"/>
        <v>17258586.889776923</v>
      </c>
      <c r="L143" s="76">
        <f t="shared" si="64"/>
        <v>14473467.347001983</v>
      </c>
      <c r="M143" s="76">
        <f t="shared" si="64"/>
        <v>13702604.324800629</v>
      </c>
      <c r="N143" s="76">
        <f t="shared" si="64"/>
        <v>0</v>
      </c>
      <c r="O143" s="76">
        <f t="shared" si="64"/>
        <v>459185.56682136207</v>
      </c>
      <c r="P143" s="76">
        <f t="shared" si="64"/>
        <v>1088146.0739622398</v>
      </c>
      <c r="Q143" s="76">
        <f t="shared" si="64"/>
        <v>37900.149955240806</v>
      </c>
      <c r="R143" s="76">
        <f t="shared" si="64"/>
        <v>17397.93232917671</v>
      </c>
      <c r="S143" s="76">
        <f t="shared" si="64"/>
        <v>1893.3687747761107</v>
      </c>
      <c r="T143" s="76">
        <f t="shared" si="64"/>
        <v>189.57647924872398</v>
      </c>
      <c r="U143" s="76">
        <f t="shared" si="64"/>
        <v>0</v>
      </c>
      <c r="V143" s="76">
        <f t="shared" si="64"/>
        <v>0</v>
      </c>
      <c r="W143" s="76">
        <f t="shared" si="64"/>
        <v>0</v>
      </c>
      <c r="X143" s="62">
        <f t="shared" si="64"/>
        <v>0</v>
      </c>
      <c r="Y143" s="62">
        <f t="shared" si="64"/>
        <v>0</v>
      </c>
      <c r="Z143" s="62">
        <f t="shared" si="64"/>
        <v>0</v>
      </c>
      <c r="AA143" s="64">
        <f>SUM(G143:Z143)</f>
        <v>127246319.14306203</v>
      </c>
      <c r="AB143" s="58" t="str">
        <f>IF(ABS(F143-AA143)&lt;0.01,"ok","err")</f>
        <v>ok</v>
      </c>
    </row>
    <row r="144" spans="1:28">
      <c r="A144" s="44"/>
      <c r="F144" s="79"/>
    </row>
    <row r="145" spans="1:28" ht="14.1">
      <c r="A145" s="45" t="s">
        <v>360</v>
      </c>
      <c r="F145" s="79"/>
    </row>
    <row r="146" spans="1:28">
      <c r="A146" s="458" t="s">
        <v>603</v>
      </c>
      <c r="C146" s="60" t="s">
        <v>908</v>
      </c>
      <c r="D146" s="60" t="s">
        <v>420</v>
      </c>
      <c r="E146" s="60" t="s">
        <v>1230</v>
      </c>
      <c r="F146" s="76">
        <f>VLOOKUP(C146,'Functional Assignment'!$C$2:$AP$780,'Functional Assignment'!$S$2,)</f>
        <v>0</v>
      </c>
      <c r="G146" s="76">
        <f t="shared" ref="G146:P150" si="65">IF(VLOOKUP($E146,$D$6:$AN$1150,3,)=0,0,(VLOOKUP($E146,$D$6:$AN$1150,G$2,)/VLOOKUP($E146,$D$6:$AN$1150,3,))*$F146)</f>
        <v>0</v>
      </c>
      <c r="H146" s="76">
        <f t="shared" si="65"/>
        <v>0</v>
      </c>
      <c r="I146" s="76">
        <f t="shared" si="65"/>
        <v>0</v>
      </c>
      <c r="J146" s="76">
        <f t="shared" si="65"/>
        <v>0</v>
      </c>
      <c r="K146" s="76">
        <f t="shared" si="65"/>
        <v>0</v>
      </c>
      <c r="L146" s="76">
        <f t="shared" si="65"/>
        <v>0</v>
      </c>
      <c r="M146" s="76">
        <f t="shared" si="65"/>
        <v>0</v>
      </c>
      <c r="N146" s="76">
        <f t="shared" si="65"/>
        <v>0</v>
      </c>
      <c r="O146" s="76">
        <f t="shared" si="65"/>
        <v>0</v>
      </c>
      <c r="P146" s="76">
        <f t="shared" si="65"/>
        <v>0</v>
      </c>
      <c r="Q146" s="76">
        <f t="shared" ref="Q146:Z150" si="66">IF(VLOOKUP($E146,$D$6:$AN$1150,3,)=0,0,(VLOOKUP($E146,$D$6:$AN$1150,Q$2,)/VLOOKUP($E146,$D$6:$AN$1150,3,))*$F146)</f>
        <v>0</v>
      </c>
      <c r="R146" s="76">
        <f t="shared" si="66"/>
        <v>0</v>
      </c>
      <c r="S146" s="76">
        <f t="shared" si="66"/>
        <v>0</v>
      </c>
      <c r="T146" s="76">
        <f t="shared" si="66"/>
        <v>0</v>
      </c>
      <c r="U146" s="76">
        <f t="shared" si="66"/>
        <v>0</v>
      </c>
      <c r="V146" s="76">
        <f t="shared" si="66"/>
        <v>0</v>
      </c>
      <c r="W146" s="76">
        <f t="shared" si="66"/>
        <v>0</v>
      </c>
      <c r="X146" s="62">
        <f t="shared" si="66"/>
        <v>0</v>
      </c>
      <c r="Y146" s="62">
        <f t="shared" si="66"/>
        <v>0</v>
      </c>
      <c r="Z146" s="62">
        <f t="shared" si="66"/>
        <v>0</v>
      </c>
      <c r="AA146" s="64">
        <f t="shared" ref="AA146:AA151" si="67">SUM(G146:Z146)</f>
        <v>0</v>
      </c>
      <c r="AB146" s="58" t="str">
        <f t="shared" ref="AB146:AB151" si="68">IF(ABS(F146-AA146)&lt;0.01,"ok","err")</f>
        <v>ok</v>
      </c>
    </row>
    <row r="147" spans="1:28">
      <c r="A147" s="458" t="s">
        <v>604</v>
      </c>
      <c r="C147" s="60" t="s">
        <v>908</v>
      </c>
      <c r="D147" s="60" t="s">
        <v>421</v>
      </c>
      <c r="E147" s="60" t="s">
        <v>1230</v>
      </c>
      <c r="F147" s="79">
        <f>VLOOKUP(C147,'Functional Assignment'!$C$2:$AP$780,'Functional Assignment'!$T$2,)</f>
        <v>194814176.9478766</v>
      </c>
      <c r="G147" s="79">
        <f t="shared" si="65"/>
        <v>97135525.81215781</v>
      </c>
      <c r="H147" s="79">
        <f t="shared" si="65"/>
        <v>355698.93237541907</v>
      </c>
      <c r="I147" s="79">
        <f t="shared" si="65"/>
        <v>23746835.028851323</v>
      </c>
      <c r="J147" s="79">
        <f t="shared" si="65"/>
        <v>1558816.7762309576</v>
      </c>
      <c r="K147" s="79">
        <f t="shared" si="65"/>
        <v>26422904.983484756</v>
      </c>
      <c r="L147" s="79">
        <f t="shared" si="65"/>
        <v>22158885.599025179</v>
      </c>
      <c r="M147" s="79">
        <f t="shared" si="65"/>
        <v>20978693.934377737</v>
      </c>
      <c r="N147" s="79">
        <f t="shared" si="65"/>
        <v>0</v>
      </c>
      <c r="O147" s="79">
        <f t="shared" si="65"/>
        <v>703013.3277652876</v>
      </c>
      <c r="P147" s="79">
        <f t="shared" si="65"/>
        <v>1665952.1723350012</v>
      </c>
      <c r="Q147" s="79">
        <f t="shared" si="66"/>
        <v>58025.14814931617</v>
      </c>
      <c r="R147" s="79">
        <f t="shared" si="66"/>
        <v>26636.242919473214</v>
      </c>
      <c r="S147" s="79">
        <f t="shared" si="66"/>
        <v>2898.7485217715162</v>
      </c>
      <c r="T147" s="79">
        <f t="shared" si="66"/>
        <v>290.24168260610992</v>
      </c>
      <c r="U147" s="79">
        <f t="shared" si="66"/>
        <v>0</v>
      </c>
      <c r="V147" s="79">
        <f t="shared" si="66"/>
        <v>0</v>
      </c>
      <c r="W147" s="79">
        <f t="shared" si="66"/>
        <v>0</v>
      </c>
      <c r="X147" s="63">
        <f t="shared" si="66"/>
        <v>0</v>
      </c>
      <c r="Y147" s="63">
        <f t="shared" si="66"/>
        <v>0</v>
      </c>
      <c r="Z147" s="63">
        <f t="shared" si="66"/>
        <v>0</v>
      </c>
      <c r="AA147" s="63">
        <f t="shared" si="67"/>
        <v>194814176.94787663</v>
      </c>
      <c r="AB147" s="58" t="str">
        <f t="shared" si="68"/>
        <v>ok</v>
      </c>
    </row>
    <row r="148" spans="1:28">
      <c r="A148" s="458" t="s">
        <v>605</v>
      </c>
      <c r="C148" s="60" t="s">
        <v>908</v>
      </c>
      <c r="D148" s="60" t="s">
        <v>422</v>
      </c>
      <c r="E148" s="60" t="s">
        <v>1368</v>
      </c>
      <c r="F148" s="79">
        <f>VLOOKUP(C148,'Functional Assignment'!$C$2:$AP$780,'Functional Assignment'!$U$2,)</f>
        <v>318901473.53138095</v>
      </c>
      <c r="G148" s="79">
        <f t="shared" si="65"/>
        <v>275713772.48410732</v>
      </c>
      <c r="H148" s="79">
        <f t="shared" si="65"/>
        <v>680632.85374889569</v>
      </c>
      <c r="I148" s="79">
        <f t="shared" si="65"/>
        <v>33185747.272003163</v>
      </c>
      <c r="J148" s="79">
        <f t="shared" si="65"/>
        <v>51244.205176039468</v>
      </c>
      <c r="K148" s="79">
        <f t="shared" si="65"/>
        <v>2037323.1857845408</v>
      </c>
      <c r="L148" s="79">
        <f t="shared" si="65"/>
        <v>96631.929760531566</v>
      </c>
      <c r="M148" s="79">
        <f t="shared" si="65"/>
        <v>369690.33734142763</v>
      </c>
      <c r="N148" s="79">
        <f t="shared" si="65"/>
        <v>9516.7809612644742</v>
      </c>
      <c r="O148" s="79">
        <f t="shared" si="65"/>
        <v>1464.120147886842</v>
      </c>
      <c r="P148" s="79">
        <f t="shared" si="65"/>
        <v>6662405.52695168</v>
      </c>
      <c r="Q148" s="79">
        <f t="shared" si="66"/>
        <v>11786.167190489081</v>
      </c>
      <c r="R148" s="79">
        <f t="shared" si="66"/>
        <v>73206.007394342101</v>
      </c>
      <c r="S148" s="79">
        <f t="shared" si="66"/>
        <v>732.060073943421</v>
      </c>
      <c r="T148" s="79">
        <f t="shared" si="66"/>
        <v>7320.6007394342096</v>
      </c>
      <c r="U148" s="79">
        <f t="shared" si="66"/>
        <v>0</v>
      </c>
      <c r="V148" s="79">
        <f t="shared" si="66"/>
        <v>0</v>
      </c>
      <c r="W148" s="79">
        <f t="shared" si="66"/>
        <v>0</v>
      </c>
      <c r="X148" s="63">
        <f t="shared" si="66"/>
        <v>0</v>
      </c>
      <c r="Y148" s="63">
        <f t="shared" si="66"/>
        <v>0</v>
      </c>
      <c r="Z148" s="63">
        <f t="shared" si="66"/>
        <v>0</v>
      </c>
      <c r="AA148" s="63">
        <f t="shared" si="67"/>
        <v>318901473.53138095</v>
      </c>
      <c r="AB148" s="58" t="str">
        <f t="shared" si="68"/>
        <v>ok</v>
      </c>
    </row>
    <row r="149" spans="1:28">
      <c r="A149" s="458" t="s">
        <v>606</v>
      </c>
      <c r="C149" s="60" t="s">
        <v>908</v>
      </c>
      <c r="D149" s="60" t="s">
        <v>423</v>
      </c>
      <c r="E149" s="60" t="s">
        <v>646</v>
      </c>
      <c r="F149" s="79">
        <f>VLOOKUP(C149,'Functional Assignment'!$C$2:$AP$780,'Functional Assignment'!$V$2,)</f>
        <v>54455747.298117355</v>
      </c>
      <c r="G149" s="79">
        <f t="shared" si="65"/>
        <v>41204376.274447404</v>
      </c>
      <c r="H149" s="79">
        <f t="shared" si="65"/>
        <v>85604.959468484114</v>
      </c>
      <c r="I149" s="79">
        <f t="shared" si="65"/>
        <v>6590689.6226114007</v>
      </c>
      <c r="J149" s="79">
        <f t="shared" si="65"/>
        <v>0</v>
      </c>
      <c r="K149" s="79">
        <f t="shared" si="65"/>
        <v>6242302.339908896</v>
      </c>
      <c r="L149" s="79">
        <f t="shared" si="65"/>
        <v>0</v>
      </c>
      <c r="M149" s="79">
        <f t="shared" si="65"/>
        <v>0</v>
      </c>
      <c r="N149" s="79">
        <f t="shared" si="65"/>
        <v>0</v>
      </c>
      <c r="O149" s="79">
        <f t="shared" si="65"/>
        <v>0</v>
      </c>
      <c r="P149" s="79">
        <f t="shared" si="65"/>
        <v>316104.98938550422</v>
      </c>
      <c r="Q149" s="79">
        <f t="shared" si="66"/>
        <v>11009.943229116636</v>
      </c>
      <c r="R149" s="79">
        <f t="shared" si="66"/>
        <v>5054.0762364915436</v>
      </c>
      <c r="S149" s="79">
        <f t="shared" si="66"/>
        <v>550.02111460470758</v>
      </c>
      <c r="T149" s="79">
        <f t="shared" si="66"/>
        <v>55.071715456778527</v>
      </c>
      <c r="U149" s="79">
        <f t="shared" si="66"/>
        <v>0</v>
      </c>
      <c r="V149" s="79">
        <f t="shared" si="66"/>
        <v>0</v>
      </c>
      <c r="W149" s="79">
        <f t="shared" si="66"/>
        <v>0</v>
      </c>
      <c r="X149" s="63">
        <f t="shared" si="66"/>
        <v>0</v>
      </c>
      <c r="Y149" s="63">
        <f t="shared" si="66"/>
        <v>0</v>
      </c>
      <c r="Z149" s="63">
        <f t="shared" si="66"/>
        <v>0</v>
      </c>
      <c r="AA149" s="63">
        <f t="shared" si="67"/>
        <v>54455747.298117362</v>
      </c>
      <c r="AB149" s="58" t="str">
        <f t="shared" si="68"/>
        <v>ok</v>
      </c>
    </row>
    <row r="150" spans="1:28">
      <c r="A150" s="458" t="s">
        <v>607</v>
      </c>
      <c r="C150" s="60" t="s">
        <v>908</v>
      </c>
      <c r="D150" s="60" t="s">
        <v>424</v>
      </c>
      <c r="E150" s="60" t="s">
        <v>1367</v>
      </c>
      <c r="F150" s="79">
        <f>VLOOKUP(C150,'Functional Assignment'!$C$2:$AP$780,'Functional Assignment'!$W$2,)</f>
        <v>93072232.121397987</v>
      </c>
      <c r="G150" s="79">
        <f t="shared" si="65"/>
        <v>81082765.083211407</v>
      </c>
      <c r="H150" s="79">
        <f t="shared" si="65"/>
        <v>200162.62985781248</v>
      </c>
      <c r="I150" s="79">
        <f t="shared" si="65"/>
        <v>9759367.9340837374</v>
      </c>
      <c r="J150" s="79">
        <f t="shared" si="65"/>
        <v>15070.055488084834</v>
      </c>
      <c r="K150" s="79">
        <f t="shared" si="65"/>
        <v>0</v>
      </c>
      <c r="L150" s="79">
        <f t="shared" si="65"/>
        <v>28417.818920388541</v>
      </c>
      <c r="M150" s="79">
        <f t="shared" si="65"/>
        <v>0</v>
      </c>
      <c r="N150" s="79">
        <f t="shared" si="65"/>
        <v>0</v>
      </c>
      <c r="O150" s="79">
        <f t="shared" si="65"/>
        <v>0</v>
      </c>
      <c r="P150" s="79">
        <f t="shared" si="65"/>
        <v>1959300.9713073035</v>
      </c>
      <c r="Q150" s="79">
        <f t="shared" si="66"/>
        <v>3466.1127622595118</v>
      </c>
      <c r="R150" s="79">
        <f t="shared" si="66"/>
        <v>21528.650697264049</v>
      </c>
      <c r="S150" s="79">
        <f t="shared" si="66"/>
        <v>0</v>
      </c>
      <c r="T150" s="79">
        <f t="shared" si="66"/>
        <v>2152.8650697264047</v>
      </c>
      <c r="U150" s="79">
        <f t="shared" si="66"/>
        <v>0</v>
      </c>
      <c r="V150" s="79">
        <f t="shared" si="66"/>
        <v>0</v>
      </c>
      <c r="W150" s="79">
        <f t="shared" si="66"/>
        <v>0</v>
      </c>
      <c r="X150" s="63">
        <f t="shared" si="66"/>
        <v>0</v>
      </c>
      <c r="Y150" s="63">
        <f t="shared" si="66"/>
        <v>0</v>
      </c>
      <c r="Z150" s="63">
        <f t="shared" si="66"/>
        <v>0</v>
      </c>
      <c r="AA150" s="63">
        <f t="shared" si="67"/>
        <v>93072232.121397987</v>
      </c>
      <c r="AB150" s="58" t="str">
        <f t="shared" si="68"/>
        <v>ok</v>
      </c>
    </row>
    <row r="151" spans="1:28">
      <c r="A151" s="44" t="s">
        <v>365</v>
      </c>
      <c r="D151" s="60" t="s">
        <v>425</v>
      </c>
      <c r="F151" s="76">
        <f>SUM(F146:F150)</f>
        <v>661243629.89877295</v>
      </c>
      <c r="G151" s="76">
        <f t="shared" ref="G151:W151" si="69">SUM(G146:G150)</f>
        <v>495136439.65392393</v>
      </c>
      <c r="H151" s="76">
        <f t="shared" si="69"/>
        <v>1322099.3754506113</v>
      </c>
      <c r="I151" s="76">
        <f t="shared" si="69"/>
        <v>73282639.857549638</v>
      </c>
      <c r="J151" s="76">
        <f t="shared" si="69"/>
        <v>1625131.0368950819</v>
      </c>
      <c r="K151" s="76">
        <f t="shared" si="69"/>
        <v>34702530.509178191</v>
      </c>
      <c r="L151" s="76">
        <f t="shared" si="69"/>
        <v>22283935.347706098</v>
      </c>
      <c r="M151" s="76">
        <f t="shared" si="69"/>
        <v>21348384.271719165</v>
      </c>
      <c r="N151" s="76">
        <f t="shared" si="69"/>
        <v>9516.7809612644742</v>
      </c>
      <c r="O151" s="76">
        <f>SUM(O146:O150)</f>
        <v>704477.4479131744</v>
      </c>
      <c r="P151" s="76">
        <f t="shared" si="69"/>
        <v>10603763.659979489</v>
      </c>
      <c r="Q151" s="76">
        <f t="shared" si="69"/>
        <v>84287.371331181392</v>
      </c>
      <c r="R151" s="76">
        <f t="shared" si="69"/>
        <v>126424.9772475709</v>
      </c>
      <c r="S151" s="76">
        <f t="shared" si="69"/>
        <v>4180.8297103196446</v>
      </c>
      <c r="T151" s="76">
        <f t="shared" si="69"/>
        <v>9818.7792072235025</v>
      </c>
      <c r="U151" s="76">
        <f t="shared" si="69"/>
        <v>0</v>
      </c>
      <c r="V151" s="76">
        <f t="shared" si="69"/>
        <v>0</v>
      </c>
      <c r="W151" s="76">
        <f t="shared" si="69"/>
        <v>0</v>
      </c>
      <c r="X151" s="62">
        <f>SUM(X146:X150)</f>
        <v>0</v>
      </c>
      <c r="Y151" s="62">
        <f>SUM(Y146:Y150)</f>
        <v>0</v>
      </c>
      <c r="Z151" s="62">
        <f>SUM(Z146:Z150)</f>
        <v>0</v>
      </c>
      <c r="AA151" s="64">
        <f t="shared" si="67"/>
        <v>661243629.89877295</v>
      </c>
      <c r="AB151" s="58" t="str">
        <f t="shared" si="68"/>
        <v>ok</v>
      </c>
    </row>
    <row r="152" spans="1:28">
      <c r="A152" s="44"/>
      <c r="F152" s="79"/>
    </row>
    <row r="153" spans="1:28" ht="14.1">
      <c r="A153" s="45" t="s">
        <v>613</v>
      </c>
      <c r="F153" s="79"/>
    </row>
    <row r="154" spans="1:28">
      <c r="A154" s="458" t="s">
        <v>1014</v>
      </c>
      <c r="C154" s="60" t="s">
        <v>908</v>
      </c>
      <c r="D154" s="60" t="s">
        <v>426</v>
      </c>
      <c r="E154" s="60" t="s">
        <v>1207</v>
      </c>
      <c r="F154" s="76">
        <f>VLOOKUP(C154,'Functional Assignment'!$C$2:$AP$780,'Functional Assignment'!$X$2,)</f>
        <v>66122625.303167246</v>
      </c>
      <c r="G154" s="76">
        <f t="shared" ref="G154:P155" si="70">IF(VLOOKUP($E154,$D$6:$AN$1150,3,)=0,0,(VLOOKUP($E154,$D$6:$AN$1150,G$2,)/VLOOKUP($E154,$D$6:$AN$1150,3,))*$F154)</f>
        <v>45665654.751854837</v>
      </c>
      <c r="H154" s="76">
        <f t="shared" si="70"/>
        <v>94873.576003105016</v>
      </c>
      <c r="I154" s="76">
        <f t="shared" si="70"/>
        <v>7304276.489423478</v>
      </c>
      <c r="J154" s="76">
        <f t="shared" si="70"/>
        <v>0</v>
      </c>
      <c r="K154" s="76">
        <f t="shared" si="70"/>
        <v>6918168.6336495383</v>
      </c>
      <c r="L154" s="76">
        <f t="shared" si="70"/>
        <v>0</v>
      </c>
      <c r="M154" s="76">
        <f t="shared" si="70"/>
        <v>5770847.6471558847</v>
      </c>
      <c r="N154" s="76">
        <f t="shared" si="70"/>
        <v>0</v>
      </c>
      <c r="O154" s="76">
        <f t="shared" si="70"/>
        <v>0</v>
      </c>
      <c r="P154" s="76">
        <f t="shared" si="70"/>
        <v>350330.29536644201</v>
      </c>
      <c r="Q154" s="76">
        <f t="shared" ref="Q154:Z155" si="71">IF(VLOOKUP($E154,$D$6:$AN$1150,3,)=0,0,(VLOOKUP($E154,$D$6:$AN$1150,Q$2,)/VLOOKUP($E154,$D$6:$AN$1150,3,))*$F154)</f>
        <v>12202.011334659013</v>
      </c>
      <c r="R154" s="76">
        <f t="shared" si="71"/>
        <v>5601.2909640451026</v>
      </c>
      <c r="S154" s="76">
        <f t="shared" si="71"/>
        <v>609.57297735738643</v>
      </c>
      <c r="T154" s="76">
        <f t="shared" si="71"/>
        <v>61.034437892977515</v>
      </c>
      <c r="U154" s="76">
        <f t="shared" si="71"/>
        <v>0</v>
      </c>
      <c r="V154" s="76">
        <f t="shared" si="71"/>
        <v>0</v>
      </c>
      <c r="W154" s="76">
        <f t="shared" si="71"/>
        <v>0</v>
      </c>
      <c r="X154" s="62">
        <f t="shared" si="71"/>
        <v>0</v>
      </c>
      <c r="Y154" s="62">
        <f t="shared" si="71"/>
        <v>0</v>
      </c>
      <c r="Z154" s="62">
        <f t="shared" si="71"/>
        <v>0</v>
      </c>
      <c r="AA154" s="64">
        <f>SUM(G154:Z154)</f>
        <v>66122625.303167231</v>
      </c>
      <c r="AB154" s="58" t="str">
        <f>IF(ABS(F154-AA154)&lt;0.01,"ok","err")</f>
        <v>ok</v>
      </c>
    </row>
    <row r="155" spans="1:28">
      <c r="A155" s="458" t="s">
        <v>1017</v>
      </c>
      <c r="C155" s="60" t="s">
        <v>908</v>
      </c>
      <c r="D155" s="60" t="s">
        <v>427</v>
      </c>
      <c r="E155" s="60" t="s">
        <v>1369</v>
      </c>
      <c r="F155" s="79">
        <f>VLOOKUP(C155,'Functional Assignment'!$C$2:$AP$780,'Functional Assignment'!$Y$2,)</f>
        <v>36857274.11199981</v>
      </c>
      <c r="G155" s="79">
        <f t="shared" si="70"/>
        <v>31881704.65797225</v>
      </c>
      <c r="H155" s="79">
        <f t="shared" si="70"/>
        <v>78703.8508385936</v>
      </c>
      <c r="I155" s="79">
        <f t="shared" si="70"/>
        <v>3837378.8289487762</v>
      </c>
      <c r="J155" s="79">
        <f t="shared" si="70"/>
        <v>0</v>
      </c>
      <c r="K155" s="79">
        <f t="shared" si="70"/>
        <v>235582.486564997</v>
      </c>
      <c r="L155" s="79">
        <f t="shared" si="70"/>
        <v>0</v>
      </c>
      <c r="M155" s="79">
        <f t="shared" si="70"/>
        <v>42748.992661970377</v>
      </c>
      <c r="N155" s="79">
        <f t="shared" si="70"/>
        <v>0</v>
      </c>
      <c r="O155" s="79">
        <f t="shared" si="70"/>
        <v>0</v>
      </c>
      <c r="P155" s="79">
        <f t="shared" si="70"/>
        <v>770396.20983808162</v>
      </c>
      <c r="Q155" s="79">
        <f t="shared" si="71"/>
        <v>1362.8738892189913</v>
      </c>
      <c r="R155" s="79">
        <f t="shared" si="71"/>
        <v>8465.0552125403174</v>
      </c>
      <c r="S155" s="79">
        <f t="shared" si="71"/>
        <v>84.650552125403166</v>
      </c>
      <c r="T155" s="79">
        <f t="shared" si="71"/>
        <v>846.50552125403158</v>
      </c>
      <c r="U155" s="79">
        <f t="shared" si="71"/>
        <v>0</v>
      </c>
      <c r="V155" s="79">
        <f t="shared" si="71"/>
        <v>0</v>
      </c>
      <c r="W155" s="79">
        <f t="shared" si="71"/>
        <v>0</v>
      </c>
      <c r="X155" s="63">
        <f t="shared" si="71"/>
        <v>0</v>
      </c>
      <c r="Y155" s="63">
        <f t="shared" si="71"/>
        <v>0</v>
      </c>
      <c r="Z155" s="63">
        <f t="shared" si="71"/>
        <v>0</v>
      </c>
      <c r="AA155" s="63">
        <f>SUM(G155:Z155)</f>
        <v>36857274.111999802</v>
      </c>
      <c r="AB155" s="58" t="str">
        <f>IF(ABS(F155-AA155)&lt;0.01,"ok","err")</f>
        <v>ok</v>
      </c>
    </row>
    <row r="156" spans="1:28">
      <c r="A156" s="44" t="s">
        <v>672</v>
      </c>
      <c r="D156" s="60" t="s">
        <v>428</v>
      </c>
      <c r="F156" s="76">
        <f>F154+F155</f>
        <v>102979899.41516706</v>
      </c>
      <c r="G156" s="76">
        <f t="shared" ref="G156:W156" si="72">G154+G155</f>
        <v>77547359.409827083</v>
      </c>
      <c r="H156" s="76">
        <f t="shared" si="72"/>
        <v>173577.42684169862</v>
      </c>
      <c r="I156" s="76">
        <f t="shared" si="72"/>
        <v>11141655.318372253</v>
      </c>
      <c r="J156" s="76">
        <f t="shared" si="72"/>
        <v>0</v>
      </c>
      <c r="K156" s="76">
        <f t="shared" si="72"/>
        <v>7153751.1202145349</v>
      </c>
      <c r="L156" s="76">
        <f t="shared" si="72"/>
        <v>0</v>
      </c>
      <c r="M156" s="76">
        <f t="shared" si="72"/>
        <v>5813596.6398178553</v>
      </c>
      <c r="N156" s="76">
        <f t="shared" si="72"/>
        <v>0</v>
      </c>
      <c r="O156" s="76">
        <f>O154+O155</f>
        <v>0</v>
      </c>
      <c r="P156" s="76">
        <f t="shared" si="72"/>
        <v>1120726.5052045237</v>
      </c>
      <c r="Q156" s="76">
        <f t="shared" si="72"/>
        <v>13564.885223878005</v>
      </c>
      <c r="R156" s="76">
        <f t="shared" si="72"/>
        <v>14066.346176585419</v>
      </c>
      <c r="S156" s="76">
        <f t="shared" si="72"/>
        <v>694.22352948278956</v>
      </c>
      <c r="T156" s="76">
        <f t="shared" si="72"/>
        <v>907.53995914700909</v>
      </c>
      <c r="U156" s="76">
        <f t="shared" si="72"/>
        <v>0</v>
      </c>
      <c r="V156" s="76">
        <f t="shared" si="72"/>
        <v>0</v>
      </c>
      <c r="W156" s="76">
        <f t="shared" si="72"/>
        <v>0</v>
      </c>
      <c r="X156" s="62">
        <f>X154+X155</f>
        <v>0</v>
      </c>
      <c r="Y156" s="62">
        <f>Y154+Y155</f>
        <v>0</v>
      </c>
      <c r="Z156" s="62">
        <f>Z154+Z155</f>
        <v>0</v>
      </c>
      <c r="AA156" s="64">
        <f>SUM(G156:Z156)</f>
        <v>102979899.41516705</v>
      </c>
      <c r="AB156" s="58" t="str">
        <f>IF(ABS(F156-AA156)&lt;0.01,"ok","err")</f>
        <v>ok</v>
      </c>
    </row>
    <row r="157" spans="1:28">
      <c r="A157" s="44"/>
      <c r="F157" s="79"/>
    </row>
    <row r="158" spans="1:28" ht="14.1">
      <c r="A158" s="45" t="s">
        <v>343</v>
      </c>
      <c r="F158" s="79"/>
    </row>
    <row r="159" spans="1:28">
      <c r="A159" s="458" t="s">
        <v>1017</v>
      </c>
      <c r="C159" s="60" t="s">
        <v>908</v>
      </c>
      <c r="D159" s="60" t="s">
        <v>429</v>
      </c>
      <c r="E159" s="60" t="s">
        <v>1019</v>
      </c>
      <c r="F159" s="76">
        <f>VLOOKUP(C159,'Functional Assignment'!$C$2:$AP$780,'Functional Assignment'!$Z$2,)</f>
        <v>23551953.643023651</v>
      </c>
      <c r="G159" s="76">
        <f t="shared" ref="G159:Z159" si="73">IF(VLOOKUP($E159,$D$6:$AN$1150,3,)=0,0,(VLOOKUP($E159,$D$6:$AN$1150,G$2,)/VLOOKUP($E159,$D$6:$AN$1150,3,))*$F159)</f>
        <v>20235860.0808019</v>
      </c>
      <c r="H159" s="76">
        <f t="shared" si="73"/>
        <v>49949.128481032989</v>
      </c>
      <c r="I159" s="76">
        <f t="shared" si="73"/>
        <v>2889188.8653033217</v>
      </c>
      <c r="J159" s="76">
        <f t="shared" si="73"/>
        <v>0</v>
      </c>
      <c r="K159" s="76">
        <f t="shared" si="73"/>
        <v>297178.61093035247</v>
      </c>
      <c r="L159" s="76">
        <f t="shared" si="73"/>
        <v>0</v>
      </c>
      <c r="M159" s="76">
        <f t="shared" si="73"/>
        <v>79670.150828074969</v>
      </c>
      <c r="N159" s="76">
        <f t="shared" si="73"/>
        <v>0</v>
      </c>
      <c r="O159" s="76">
        <f t="shared" si="73"/>
        <v>0</v>
      </c>
      <c r="P159" s="76">
        <f t="shared" si="73"/>
        <v>0</v>
      </c>
      <c r="Q159" s="76">
        <f t="shared" si="73"/>
        <v>0</v>
      </c>
      <c r="R159" s="76">
        <f t="shared" si="73"/>
        <v>0</v>
      </c>
      <c r="S159" s="76">
        <f t="shared" si="73"/>
        <v>106.80667896470338</v>
      </c>
      <c r="T159" s="76">
        <f t="shared" si="73"/>
        <v>0</v>
      </c>
      <c r="U159" s="76">
        <f t="shared" si="73"/>
        <v>0</v>
      </c>
      <c r="V159" s="76">
        <f t="shared" si="73"/>
        <v>0</v>
      </c>
      <c r="W159" s="76">
        <f t="shared" si="73"/>
        <v>0</v>
      </c>
      <c r="X159" s="62">
        <f t="shared" si="73"/>
        <v>0</v>
      </c>
      <c r="Y159" s="62">
        <f t="shared" si="73"/>
        <v>0</v>
      </c>
      <c r="Z159" s="62">
        <f t="shared" si="73"/>
        <v>0</v>
      </c>
      <c r="AA159" s="64">
        <f>SUM(G159:Z159)</f>
        <v>23551953.643023651</v>
      </c>
      <c r="AB159" s="58" t="str">
        <f>IF(ABS(F159-AA159)&lt;0.01,"ok","err")</f>
        <v>ok</v>
      </c>
    </row>
    <row r="160" spans="1:28">
      <c r="A160" s="44"/>
      <c r="F160" s="79"/>
    </row>
    <row r="161" spans="1:28" ht="14.1">
      <c r="A161" s="45" t="s">
        <v>342</v>
      </c>
      <c r="F161" s="79"/>
    </row>
    <row r="162" spans="1:28">
      <c r="A162" s="458" t="s">
        <v>1017</v>
      </c>
      <c r="C162" s="60" t="s">
        <v>908</v>
      </c>
      <c r="D162" s="60" t="s">
        <v>430</v>
      </c>
      <c r="E162" s="60" t="s">
        <v>1348</v>
      </c>
      <c r="F162" s="76">
        <f>VLOOKUP(C162,'Functional Assignment'!$C$2:$AP$780,'Functional Assignment'!$AA$2,)</f>
        <v>26834744.844464965</v>
      </c>
      <c r="G162" s="76">
        <f t="shared" ref="G162:Z162" si="74">IF(VLOOKUP($E162,$D$6:$AN$1150,3,)=0,0,(VLOOKUP($E162,$D$6:$AN$1150,G$2,)/VLOOKUP($E162,$D$6:$AN$1150,3,))*$F162)</f>
        <v>18225852.246749282</v>
      </c>
      <c r="H162" s="76">
        <f t="shared" si="74"/>
        <v>44987.73128071204</v>
      </c>
      <c r="I162" s="76">
        <f t="shared" si="74"/>
        <v>5676819.3954309383</v>
      </c>
      <c r="J162" s="76">
        <f t="shared" si="74"/>
        <v>185553.8635447954</v>
      </c>
      <c r="K162" s="76">
        <f t="shared" si="74"/>
        <v>1587508.5987171361</v>
      </c>
      <c r="L162" s="76">
        <f t="shared" si="74"/>
        <v>370624.71129483613</v>
      </c>
      <c r="M162" s="76">
        <f t="shared" si="74"/>
        <v>313840.61989991076</v>
      </c>
      <c r="N162" s="76">
        <f t="shared" si="74"/>
        <v>261918.40971661801</v>
      </c>
      <c r="O162" s="76">
        <f t="shared" si="74"/>
        <v>5632.8289316545306</v>
      </c>
      <c r="P162" s="76">
        <f t="shared" si="74"/>
        <v>0</v>
      </c>
      <c r="Q162" s="76">
        <f t="shared" si="74"/>
        <v>7790.2928058022471</v>
      </c>
      <c r="R162" s="76">
        <f t="shared" si="74"/>
        <v>48386.911837281034</v>
      </c>
      <c r="S162" s="76">
        <f t="shared" si="74"/>
        <v>570.55425599463808</v>
      </c>
      <c r="T162" s="76">
        <f t="shared" si="74"/>
        <v>105258.68000000004</v>
      </c>
      <c r="U162" s="76">
        <f t="shared" si="74"/>
        <v>0</v>
      </c>
      <c r="V162" s="76">
        <f t="shared" si="74"/>
        <v>0</v>
      </c>
      <c r="W162" s="76">
        <f t="shared" si="74"/>
        <v>0</v>
      </c>
      <c r="X162" s="62">
        <f t="shared" si="74"/>
        <v>0</v>
      </c>
      <c r="Y162" s="62">
        <f t="shared" si="74"/>
        <v>0</v>
      </c>
      <c r="Z162" s="62">
        <f t="shared" si="74"/>
        <v>0</v>
      </c>
      <c r="AA162" s="64">
        <f>SUM(G162:Z162)</f>
        <v>26834744.844464958</v>
      </c>
      <c r="AB162" s="58" t="str">
        <f>IF(ABS(F162-AA162)&lt;0.01,"ok","err")</f>
        <v>ok</v>
      </c>
    </row>
    <row r="163" spans="1:28">
      <c r="A163" s="44"/>
      <c r="F163" s="79"/>
    </row>
    <row r="164" spans="1:28" ht="14.1">
      <c r="A164" s="45" t="s">
        <v>358</v>
      </c>
      <c r="F164" s="79"/>
    </row>
    <row r="165" spans="1:28">
      <c r="A165" s="458" t="s">
        <v>1017</v>
      </c>
      <c r="C165" s="60" t="s">
        <v>908</v>
      </c>
      <c r="D165" s="60" t="s">
        <v>431</v>
      </c>
      <c r="E165" s="60" t="s">
        <v>1365</v>
      </c>
      <c r="F165" s="76">
        <f>VLOOKUP(C165,'Functional Assignment'!$C$2:$AP$780,'Functional Assignment'!$AB$2,)</f>
        <v>77771356.537982255</v>
      </c>
      <c r="G165" s="76">
        <f t="shared" ref="G165:Z165" si="75">IF(VLOOKUP($E165,$D$6:$AN$1150,3,)=0,0,(VLOOKUP($E165,$D$6:$AN$1150,G$2,)/VLOOKUP($E165,$D$6:$AN$1150,3,))*$F165)</f>
        <v>0</v>
      </c>
      <c r="H165" s="76">
        <f t="shared" si="75"/>
        <v>0</v>
      </c>
      <c r="I165" s="76">
        <f t="shared" si="75"/>
        <v>0</v>
      </c>
      <c r="J165" s="76">
        <f t="shared" si="75"/>
        <v>0</v>
      </c>
      <c r="K165" s="76">
        <f t="shared" si="75"/>
        <v>0</v>
      </c>
      <c r="L165" s="76">
        <f t="shared" si="75"/>
        <v>0</v>
      </c>
      <c r="M165" s="76">
        <f t="shared" si="75"/>
        <v>0</v>
      </c>
      <c r="N165" s="76">
        <f t="shared" si="75"/>
        <v>0</v>
      </c>
      <c r="O165" s="76">
        <f t="shared" si="75"/>
        <v>0</v>
      </c>
      <c r="P165" s="76">
        <f t="shared" si="75"/>
        <v>77771356.537982255</v>
      </c>
      <c r="Q165" s="76">
        <f t="shared" si="75"/>
        <v>0</v>
      </c>
      <c r="R165" s="76">
        <f t="shared" si="75"/>
        <v>0</v>
      </c>
      <c r="S165" s="76">
        <f t="shared" si="75"/>
        <v>0</v>
      </c>
      <c r="T165" s="76">
        <f t="shared" si="75"/>
        <v>0</v>
      </c>
      <c r="U165" s="76">
        <f t="shared" si="75"/>
        <v>0</v>
      </c>
      <c r="V165" s="76">
        <f t="shared" si="75"/>
        <v>0</v>
      </c>
      <c r="W165" s="76">
        <f t="shared" si="75"/>
        <v>0</v>
      </c>
      <c r="X165" s="62">
        <f t="shared" si="75"/>
        <v>0</v>
      </c>
      <c r="Y165" s="62">
        <f t="shared" si="75"/>
        <v>0</v>
      </c>
      <c r="Z165" s="62">
        <f t="shared" si="75"/>
        <v>0</v>
      </c>
      <c r="AA165" s="64">
        <f>SUM(G165:Z165)</f>
        <v>77771356.537982255</v>
      </c>
      <c r="AB165" s="58" t="str">
        <f>IF(ABS(F165-AA165)&lt;0.01,"ok","err")</f>
        <v>ok</v>
      </c>
    </row>
    <row r="166" spans="1:28">
      <c r="A166" s="44"/>
      <c r="F166" s="79"/>
    </row>
    <row r="167" spans="1:28" ht="14.1">
      <c r="A167" s="45" t="s">
        <v>949</v>
      </c>
      <c r="F167" s="79"/>
    </row>
    <row r="168" spans="1:28">
      <c r="A168" s="458" t="s">
        <v>1017</v>
      </c>
      <c r="C168" s="60" t="s">
        <v>908</v>
      </c>
      <c r="D168" s="60" t="s">
        <v>432</v>
      </c>
      <c r="E168" s="60" t="s">
        <v>1364</v>
      </c>
      <c r="F168" s="76">
        <f>VLOOKUP(C168,'Functional Assignment'!$C$2:$AP$780,'Functional Assignment'!$AC$2,)</f>
        <v>4604270.2204592507</v>
      </c>
      <c r="G168" s="76">
        <f t="shared" ref="G168:Z168" si="76">IF(VLOOKUP($E168,$D$6:$AN$1150,3,)=0,0,(VLOOKUP($E168,$D$6:$AN$1150,G$2,)/VLOOKUP($E168,$D$6:$AN$1150,3,))*$F168)</f>
        <v>3413650.7779484186</v>
      </c>
      <c r="H168" s="76">
        <f t="shared" si="76"/>
        <v>8427.0105543280315</v>
      </c>
      <c r="I168" s="76">
        <f t="shared" si="76"/>
        <v>821754.75654487405</v>
      </c>
      <c r="J168" s="76">
        <f t="shared" si="76"/>
        <v>3172.3083560256105</v>
      </c>
      <c r="K168" s="76">
        <f t="shared" si="76"/>
        <v>126121.91649741819</v>
      </c>
      <c r="L168" s="76">
        <f t="shared" si="76"/>
        <v>29910.335928241468</v>
      </c>
      <c r="M168" s="76">
        <f t="shared" si="76"/>
        <v>114429.69427092381</v>
      </c>
      <c r="N168" s="76">
        <f t="shared" si="76"/>
        <v>2945.7149020237807</v>
      </c>
      <c r="O168" s="76">
        <f t="shared" si="76"/>
        <v>90.637381600731729</v>
      </c>
      <c r="P168" s="76">
        <f t="shared" si="76"/>
        <v>82488.174621009923</v>
      </c>
      <c r="Q168" s="76">
        <f t="shared" si="76"/>
        <v>145.92618437717806</v>
      </c>
      <c r="R168" s="76">
        <f t="shared" si="76"/>
        <v>906.37381600731726</v>
      </c>
      <c r="S168" s="76">
        <f t="shared" si="76"/>
        <v>45.318690800365864</v>
      </c>
      <c r="T168" s="76">
        <f t="shared" si="76"/>
        <v>181.27476320146346</v>
      </c>
      <c r="U168" s="76">
        <f t="shared" si="76"/>
        <v>0</v>
      </c>
      <c r="V168" s="76">
        <f t="shared" si="76"/>
        <v>0</v>
      </c>
      <c r="W168" s="76">
        <f t="shared" si="76"/>
        <v>0</v>
      </c>
      <c r="X168" s="62">
        <f t="shared" si="76"/>
        <v>0</v>
      </c>
      <c r="Y168" s="62">
        <f t="shared" si="76"/>
        <v>0</v>
      </c>
      <c r="Z168" s="62">
        <f t="shared" si="76"/>
        <v>0</v>
      </c>
      <c r="AA168" s="64">
        <f>SUM(G168:Z168)</f>
        <v>4604270.2204592507</v>
      </c>
      <c r="AB168" s="58" t="str">
        <f>IF(ABS(F168-AA168)&lt;0.01,"ok","err")</f>
        <v>ok</v>
      </c>
    </row>
    <row r="169" spans="1:28">
      <c r="A169" s="44"/>
      <c r="F169" s="79"/>
    </row>
    <row r="170" spans="1:28" ht="14.1">
      <c r="A170" s="45" t="s">
        <v>340</v>
      </c>
      <c r="F170" s="79"/>
    </row>
    <row r="171" spans="1:28">
      <c r="A171" s="458" t="s">
        <v>1017</v>
      </c>
      <c r="C171" s="60" t="s">
        <v>908</v>
      </c>
      <c r="D171" s="60" t="s">
        <v>433</v>
      </c>
      <c r="E171" s="60" t="s">
        <v>1370</v>
      </c>
      <c r="F171" s="76">
        <f>VLOOKUP(C171,'Functional Assignment'!$C$2:$AP$780,'Functional Assignment'!$AD$2,)</f>
        <v>1013760.8624949354</v>
      </c>
      <c r="G171" s="76">
        <f t="shared" ref="G171:Z171" si="77">IF(VLOOKUP($E171,$D$6:$AN$1150,3,)=0,0,(VLOOKUP($E171,$D$6:$AN$1150,G$2,)/VLOOKUP($E171,$D$6:$AN$1150,3,))*$F171)</f>
        <v>876470.80679831526</v>
      </c>
      <c r="H171" s="76">
        <f t="shared" si="77"/>
        <v>2163.6743826176507</v>
      </c>
      <c r="I171" s="76">
        <f t="shared" si="77"/>
        <v>105494.68901621226</v>
      </c>
      <c r="J171" s="76">
        <f t="shared" si="77"/>
        <v>162.90100218686263</v>
      </c>
      <c r="K171" s="76">
        <f t="shared" si="77"/>
        <v>6476.4784155148391</v>
      </c>
      <c r="L171" s="76">
        <f t="shared" si="77"/>
        <v>307.18474698094099</v>
      </c>
      <c r="M171" s="76">
        <f t="shared" si="77"/>
        <v>1175.2143729195091</v>
      </c>
      <c r="N171" s="76">
        <f t="shared" si="77"/>
        <v>30.253043263274492</v>
      </c>
      <c r="O171" s="76">
        <f t="shared" si="77"/>
        <v>4.6543143481960758</v>
      </c>
      <c r="P171" s="76">
        <f t="shared" si="77"/>
        <v>21179.224725748831</v>
      </c>
      <c r="Q171" s="76">
        <f t="shared" si="77"/>
        <v>37.467230502978417</v>
      </c>
      <c r="R171" s="76">
        <f t="shared" si="77"/>
        <v>232.71571740980377</v>
      </c>
      <c r="S171" s="76">
        <f t="shared" si="77"/>
        <v>2.3271571740980379</v>
      </c>
      <c r="T171" s="76">
        <f t="shared" si="77"/>
        <v>23.271571740980377</v>
      </c>
      <c r="U171" s="76">
        <f t="shared" si="77"/>
        <v>0</v>
      </c>
      <c r="V171" s="76">
        <f t="shared" si="77"/>
        <v>0</v>
      </c>
      <c r="W171" s="76">
        <f t="shared" si="77"/>
        <v>0</v>
      </c>
      <c r="X171" s="62">
        <f t="shared" si="77"/>
        <v>0</v>
      </c>
      <c r="Y171" s="62">
        <f t="shared" si="77"/>
        <v>0</v>
      </c>
      <c r="Z171" s="62">
        <f t="shared" si="77"/>
        <v>0</v>
      </c>
      <c r="AA171" s="64">
        <f>SUM(G171:Z171)</f>
        <v>1013760.8624949355</v>
      </c>
      <c r="AB171" s="58" t="str">
        <f>IF(ABS(F171-AA171)&lt;0.01,"ok","err")</f>
        <v>ok</v>
      </c>
    </row>
    <row r="172" spans="1:28">
      <c r="A172" s="44"/>
      <c r="F172" s="79"/>
    </row>
    <row r="173" spans="1:28" ht="14.1">
      <c r="A173" s="45" t="s">
        <v>339</v>
      </c>
      <c r="F173" s="79"/>
    </row>
    <row r="174" spans="1:28">
      <c r="A174" s="458" t="s">
        <v>1017</v>
      </c>
      <c r="C174" s="60" t="s">
        <v>908</v>
      </c>
      <c r="D174" s="60" t="s">
        <v>434</v>
      </c>
      <c r="E174" s="60" t="s">
        <v>1370</v>
      </c>
      <c r="F174" s="76">
        <f>VLOOKUP(C174,'Functional Assignment'!$C$2:$AP$780,'Functional Assignment'!$AE$2,)</f>
        <v>0</v>
      </c>
      <c r="G174" s="76">
        <f t="shared" ref="G174:Z174" si="78">IF(VLOOKUP($E174,$D$6:$AN$1150,3,)=0,0,(VLOOKUP($E174,$D$6:$AN$1150,G$2,)/VLOOKUP($E174,$D$6:$AN$1150,3,))*$F174)</f>
        <v>0</v>
      </c>
      <c r="H174" s="76">
        <f t="shared" si="78"/>
        <v>0</v>
      </c>
      <c r="I174" s="76">
        <f t="shared" si="78"/>
        <v>0</v>
      </c>
      <c r="J174" s="76">
        <f t="shared" si="78"/>
        <v>0</v>
      </c>
      <c r="K174" s="76">
        <f t="shared" si="78"/>
        <v>0</v>
      </c>
      <c r="L174" s="76">
        <f t="shared" si="78"/>
        <v>0</v>
      </c>
      <c r="M174" s="76">
        <f t="shared" si="78"/>
        <v>0</v>
      </c>
      <c r="N174" s="76">
        <f t="shared" si="78"/>
        <v>0</v>
      </c>
      <c r="O174" s="76">
        <f t="shared" si="78"/>
        <v>0</v>
      </c>
      <c r="P174" s="76">
        <f t="shared" si="78"/>
        <v>0</v>
      </c>
      <c r="Q174" s="76">
        <f t="shared" si="78"/>
        <v>0</v>
      </c>
      <c r="R174" s="76">
        <f t="shared" si="78"/>
        <v>0</v>
      </c>
      <c r="S174" s="76">
        <f t="shared" si="78"/>
        <v>0</v>
      </c>
      <c r="T174" s="76">
        <f t="shared" si="78"/>
        <v>0</v>
      </c>
      <c r="U174" s="76">
        <f t="shared" si="78"/>
        <v>0</v>
      </c>
      <c r="V174" s="76">
        <f t="shared" si="78"/>
        <v>0</v>
      </c>
      <c r="W174" s="76">
        <f t="shared" si="78"/>
        <v>0</v>
      </c>
      <c r="X174" s="62">
        <f t="shared" si="78"/>
        <v>0</v>
      </c>
      <c r="Y174" s="62">
        <f t="shared" si="78"/>
        <v>0</v>
      </c>
      <c r="Z174" s="62">
        <f t="shared" si="78"/>
        <v>0</v>
      </c>
      <c r="AA174" s="64">
        <f>SUM(G174:Z174)</f>
        <v>0</v>
      </c>
      <c r="AB174" s="58" t="str">
        <f>IF(ABS(F174-AA174)&lt;0.01,"ok","err")</f>
        <v>ok</v>
      </c>
    </row>
    <row r="175" spans="1:28">
      <c r="A175" s="44"/>
      <c r="F175" s="79"/>
    </row>
    <row r="176" spans="1:28">
      <c r="A176" s="44" t="s">
        <v>846</v>
      </c>
      <c r="D176" s="60" t="s">
        <v>1028</v>
      </c>
      <c r="F176" s="76">
        <f>F131+F137+F140+F143+F151+F156+F159+F162+F165+F168+F171+F174</f>
        <v>3460077816.1601419</v>
      </c>
      <c r="G176" s="76">
        <f t="shared" ref="G176:Z176" si="79">G131+G137+G140+G143+G151+G156+G159+G162+G165+G168+G171+G174</f>
        <v>1749779989.101094</v>
      </c>
      <c r="H176" s="76">
        <f t="shared" si="79"/>
        <v>2804049.0308775981</v>
      </c>
      <c r="I176" s="76">
        <f t="shared" si="79"/>
        <v>403377509.80225503</v>
      </c>
      <c r="J176" s="76">
        <f t="shared" si="79"/>
        <v>22807737.128033813</v>
      </c>
      <c r="K176" s="76">
        <f t="shared" si="79"/>
        <v>389970355.05789894</v>
      </c>
      <c r="L176" s="76">
        <f t="shared" si="79"/>
        <v>335231274.66265321</v>
      </c>
      <c r="M176" s="76">
        <f t="shared" si="79"/>
        <v>295971692.74197924</v>
      </c>
      <c r="N176" s="76">
        <f t="shared" si="79"/>
        <v>145201940.52601016</v>
      </c>
      <c r="O176" s="76">
        <f>O131+O137+O140+O143+O151+O156+O159+O162+O165+O168+O171+O174</f>
        <v>9829885.2741891239</v>
      </c>
      <c r="P176" s="76">
        <f t="shared" si="79"/>
        <v>101453118.33768603</v>
      </c>
      <c r="Q176" s="76">
        <f t="shared" si="79"/>
        <v>518687.22011027404</v>
      </c>
      <c r="R176" s="76">
        <f t="shared" si="79"/>
        <v>623313.44507924758</v>
      </c>
      <c r="S176" s="76">
        <f t="shared" si="79"/>
        <v>12804.176001885042</v>
      </c>
      <c r="T176" s="76">
        <f t="shared" si="79"/>
        <v>120161.0262732144</v>
      </c>
      <c r="U176" s="76">
        <f t="shared" si="79"/>
        <v>2314621.8400000003</v>
      </c>
      <c r="V176" s="76">
        <f t="shared" si="79"/>
        <v>60676.790000000008</v>
      </c>
      <c r="W176" s="76">
        <f t="shared" si="79"/>
        <v>0</v>
      </c>
      <c r="X176" s="62">
        <f t="shared" si="79"/>
        <v>0</v>
      </c>
      <c r="Y176" s="62">
        <f t="shared" si="79"/>
        <v>0</v>
      </c>
      <c r="Z176" s="62">
        <f t="shared" si="79"/>
        <v>0</v>
      </c>
      <c r="AA176" s="64">
        <f>SUM(G176:Z176)</f>
        <v>3460077816.1601415</v>
      </c>
      <c r="AB176" s="58" t="str">
        <f>IF(ABS(F176-AA176)&lt;0.01,"ok","err")</f>
        <v>ok</v>
      </c>
    </row>
    <row r="177" spans="1:28">
      <c r="A177" s="44"/>
    </row>
    <row r="178" spans="1:28">
      <c r="A178" s="44"/>
    </row>
    <row r="179" spans="1:28" ht="14.1">
      <c r="A179" s="45" t="s">
        <v>899</v>
      </c>
    </row>
    <row r="180" spans="1:28">
      <c r="A180" s="44"/>
    </row>
    <row r="181" spans="1:28" ht="14.1">
      <c r="A181" s="45" t="s">
        <v>352</v>
      </c>
    </row>
    <row r="182" spans="1:28">
      <c r="A182" s="458" t="s">
        <v>1441</v>
      </c>
      <c r="C182" s="60" t="s">
        <v>992</v>
      </c>
      <c r="D182" s="44" t="s">
        <v>1435</v>
      </c>
      <c r="E182" s="44" t="s">
        <v>1423</v>
      </c>
      <c r="F182" s="76">
        <f>VLOOKUP(C182,'Functional Assignment'!$C$2:$AP$780,'Functional Assignment'!$H$2,)</f>
        <v>111958098.21523491</v>
      </c>
      <c r="G182" s="76">
        <f t="shared" ref="G182:P187" si="80">IF(VLOOKUP($E182,$D$6:$AN$1150,3,)=0,0,(VLOOKUP($E182,$D$6:$AN$1150,G$2,)/VLOOKUP($E182,$D$6:$AN$1150,3,))*$F182)</f>
        <v>48997676.455559842</v>
      </c>
      <c r="H182" s="76">
        <f t="shared" si="80"/>
        <v>18657.90305953809</v>
      </c>
      <c r="I182" s="76">
        <f t="shared" si="80"/>
        <v>13689534.977787893</v>
      </c>
      <c r="J182" s="76">
        <f t="shared" si="80"/>
        <v>927660.87898076372</v>
      </c>
      <c r="K182" s="76">
        <f t="shared" si="80"/>
        <v>15261928.825871319</v>
      </c>
      <c r="L182" s="76">
        <f t="shared" si="80"/>
        <v>13776479.179497808</v>
      </c>
      <c r="M182" s="76">
        <f t="shared" si="80"/>
        <v>11720843.031786686</v>
      </c>
      <c r="N182" s="76">
        <f t="shared" si="80"/>
        <v>6659233.9196911594</v>
      </c>
      <c r="O182" s="76">
        <f t="shared" si="80"/>
        <v>395299.48340676184</v>
      </c>
      <c r="P182" s="76">
        <f t="shared" si="80"/>
        <v>405140.97711670585</v>
      </c>
      <c r="Q182" s="76">
        <f t="shared" ref="Q182:Z187" si="81">IF(VLOOKUP($E182,$D$6:$AN$1150,3,)=0,0,(VLOOKUP($E182,$D$6:$AN$1150,Q$2,)/VLOOKUP($E182,$D$6:$AN$1150,3,))*$F182)</f>
        <v>14111.068498206771</v>
      </c>
      <c r="R182" s="76">
        <f t="shared" si="81"/>
        <v>19432.91109249798</v>
      </c>
      <c r="S182" s="76">
        <f t="shared" si="81"/>
        <v>19.144040067672258</v>
      </c>
      <c r="T182" s="76">
        <f t="shared" si="81"/>
        <v>176.458845643545</v>
      </c>
      <c r="U182" s="76">
        <f t="shared" si="81"/>
        <v>71903</v>
      </c>
      <c r="V182" s="76">
        <f t="shared" si="81"/>
        <v>0</v>
      </c>
      <c r="W182" s="76">
        <f t="shared" si="81"/>
        <v>0</v>
      </c>
      <c r="X182" s="62">
        <f t="shared" si="81"/>
        <v>0</v>
      </c>
      <c r="Y182" s="62">
        <f t="shared" si="81"/>
        <v>0</v>
      </c>
      <c r="Z182" s="62">
        <f t="shared" si="81"/>
        <v>0</v>
      </c>
      <c r="AA182" s="64">
        <f t="shared" ref="AA182:AA188" si="82">SUM(G182:Z182)</f>
        <v>111958098.21523489</v>
      </c>
      <c r="AB182" s="58" t="str">
        <f t="shared" ref="AB182:AB188" si="83">IF(ABS(F182-AA182)&lt;0.01,"ok","err")</f>
        <v>ok</v>
      </c>
    </row>
    <row r="183" spans="1:28" hidden="1">
      <c r="A183" s="458" t="s">
        <v>1256</v>
      </c>
      <c r="C183" s="60" t="s">
        <v>992</v>
      </c>
      <c r="D183" s="44" t="s">
        <v>435</v>
      </c>
      <c r="E183" s="44" t="s">
        <v>1423</v>
      </c>
      <c r="F183" s="79">
        <f>VLOOKUP(C183,'Functional Assignment'!$C$2:$AP$780,'Functional Assignment'!$I$2,)</f>
        <v>0</v>
      </c>
      <c r="G183" s="79">
        <f t="shared" si="80"/>
        <v>0</v>
      </c>
      <c r="H183" s="79">
        <f t="shared" si="80"/>
        <v>0</v>
      </c>
      <c r="I183" s="79">
        <f t="shared" si="80"/>
        <v>0</v>
      </c>
      <c r="J183" s="79">
        <f t="shared" si="80"/>
        <v>0</v>
      </c>
      <c r="K183" s="79">
        <f t="shared" si="80"/>
        <v>0</v>
      </c>
      <c r="L183" s="79">
        <f t="shared" si="80"/>
        <v>0</v>
      </c>
      <c r="M183" s="79">
        <f t="shared" si="80"/>
        <v>0</v>
      </c>
      <c r="N183" s="79">
        <f t="shared" si="80"/>
        <v>0</v>
      </c>
      <c r="O183" s="79">
        <f t="shared" si="80"/>
        <v>0</v>
      </c>
      <c r="P183" s="79">
        <f t="shared" si="80"/>
        <v>0</v>
      </c>
      <c r="Q183" s="79">
        <f t="shared" si="81"/>
        <v>0</v>
      </c>
      <c r="R183" s="79">
        <f t="shared" si="81"/>
        <v>0</v>
      </c>
      <c r="S183" s="79">
        <f t="shared" si="81"/>
        <v>0</v>
      </c>
      <c r="T183" s="79">
        <f t="shared" si="81"/>
        <v>0</v>
      </c>
      <c r="U183" s="79">
        <f t="shared" si="81"/>
        <v>0</v>
      </c>
      <c r="V183" s="79">
        <f t="shared" si="81"/>
        <v>0</v>
      </c>
      <c r="W183" s="79">
        <f t="shared" si="81"/>
        <v>0</v>
      </c>
      <c r="X183" s="63">
        <f t="shared" si="81"/>
        <v>0</v>
      </c>
      <c r="Y183" s="63">
        <f t="shared" si="81"/>
        <v>0</v>
      </c>
      <c r="Z183" s="63">
        <f t="shared" si="81"/>
        <v>0</v>
      </c>
      <c r="AA183" s="63">
        <f t="shared" si="82"/>
        <v>0</v>
      </c>
      <c r="AB183" s="58" t="str">
        <f t="shared" si="83"/>
        <v>ok</v>
      </c>
    </row>
    <row r="184" spans="1:28" hidden="1">
      <c r="A184" s="458" t="s">
        <v>1256</v>
      </c>
      <c r="C184" s="60" t="s">
        <v>992</v>
      </c>
      <c r="D184" s="44" t="s">
        <v>436</v>
      </c>
      <c r="E184" s="44" t="s">
        <v>1423</v>
      </c>
      <c r="F184" s="79">
        <f>VLOOKUP(C184,'Functional Assignment'!$C$2:$AP$780,'Functional Assignment'!$J$2,)</f>
        <v>0</v>
      </c>
      <c r="G184" s="79">
        <f t="shared" si="80"/>
        <v>0</v>
      </c>
      <c r="H184" s="79">
        <f t="shared" si="80"/>
        <v>0</v>
      </c>
      <c r="I184" s="79">
        <f t="shared" si="80"/>
        <v>0</v>
      </c>
      <c r="J184" s="79">
        <f t="shared" si="80"/>
        <v>0</v>
      </c>
      <c r="K184" s="79">
        <f t="shared" si="80"/>
        <v>0</v>
      </c>
      <c r="L184" s="79">
        <f t="shared" si="80"/>
        <v>0</v>
      </c>
      <c r="M184" s="79">
        <f t="shared" si="80"/>
        <v>0</v>
      </c>
      <c r="N184" s="79">
        <f t="shared" si="80"/>
        <v>0</v>
      </c>
      <c r="O184" s="79">
        <f t="shared" si="80"/>
        <v>0</v>
      </c>
      <c r="P184" s="79">
        <f t="shared" si="80"/>
        <v>0</v>
      </c>
      <c r="Q184" s="79">
        <f t="shared" si="81"/>
        <v>0</v>
      </c>
      <c r="R184" s="79">
        <f t="shared" si="81"/>
        <v>0</v>
      </c>
      <c r="S184" s="79">
        <f t="shared" si="81"/>
        <v>0</v>
      </c>
      <c r="T184" s="79">
        <f t="shared" si="81"/>
        <v>0</v>
      </c>
      <c r="U184" s="79">
        <f t="shared" si="81"/>
        <v>0</v>
      </c>
      <c r="V184" s="79">
        <f t="shared" si="81"/>
        <v>0</v>
      </c>
      <c r="W184" s="79">
        <f t="shared" si="81"/>
        <v>0</v>
      </c>
      <c r="X184" s="63">
        <f t="shared" si="81"/>
        <v>0</v>
      </c>
      <c r="Y184" s="63">
        <f t="shared" si="81"/>
        <v>0</v>
      </c>
      <c r="Z184" s="63">
        <f t="shared" si="81"/>
        <v>0</v>
      </c>
      <c r="AA184" s="63">
        <f t="shared" si="82"/>
        <v>0</v>
      </c>
      <c r="AB184" s="58" t="str">
        <f t="shared" si="83"/>
        <v>ok</v>
      </c>
    </row>
    <row r="185" spans="1:28">
      <c r="A185" s="458" t="s">
        <v>1160</v>
      </c>
      <c r="C185" s="60" t="s">
        <v>992</v>
      </c>
      <c r="D185" s="44" t="s">
        <v>437</v>
      </c>
      <c r="E185" s="44" t="s">
        <v>1015</v>
      </c>
      <c r="F185" s="79">
        <f>VLOOKUP(C185,'Functional Assignment'!$C$2:$AP$780,'Functional Assignment'!$K$2,)</f>
        <v>397495518.54181111</v>
      </c>
      <c r="G185" s="79">
        <f t="shared" si="80"/>
        <v>142694561.32294586</v>
      </c>
      <c r="H185" s="79">
        <f t="shared" si="80"/>
        <v>183249.6059427915</v>
      </c>
      <c r="I185" s="79">
        <f t="shared" si="80"/>
        <v>42240754.713143803</v>
      </c>
      <c r="J185" s="79">
        <f t="shared" si="80"/>
        <v>3578704.8916238984</v>
      </c>
      <c r="K185" s="79">
        <f t="shared" si="80"/>
        <v>53242471.460308753</v>
      </c>
      <c r="L185" s="79">
        <f t="shared" si="80"/>
        <v>68825160.332896098</v>
      </c>
      <c r="M185" s="79">
        <f t="shared" si="80"/>
        <v>45453323.591409646</v>
      </c>
      <c r="N185" s="79">
        <f t="shared" si="80"/>
        <v>35601403.112511456</v>
      </c>
      <c r="O185" s="79">
        <f t="shared" si="80"/>
        <v>1946305.3305381683</v>
      </c>
      <c r="P185" s="79">
        <f t="shared" si="80"/>
        <v>3493387.5012183185</v>
      </c>
      <c r="Q185" s="79">
        <f t="shared" si="81"/>
        <v>121674.75793315042</v>
      </c>
      <c r="R185" s="79">
        <f t="shared" si="81"/>
        <v>113470.39165618831</v>
      </c>
      <c r="S185" s="79">
        <f t="shared" si="81"/>
        <v>407.5559677213032</v>
      </c>
      <c r="T185" s="79">
        <f t="shared" si="81"/>
        <v>643.97371523063055</v>
      </c>
      <c r="U185" s="79">
        <f t="shared" si="81"/>
        <v>0</v>
      </c>
      <c r="V185" s="79">
        <f t="shared" si="81"/>
        <v>0</v>
      </c>
      <c r="W185" s="79">
        <f t="shared" si="81"/>
        <v>0</v>
      </c>
      <c r="X185" s="63">
        <f t="shared" si="81"/>
        <v>0</v>
      </c>
      <c r="Y185" s="63">
        <f t="shared" si="81"/>
        <v>0</v>
      </c>
      <c r="Z185" s="63">
        <f t="shared" si="81"/>
        <v>0</v>
      </c>
      <c r="AA185" s="63">
        <f t="shared" si="82"/>
        <v>397495518.54181105</v>
      </c>
      <c r="AB185" s="58" t="str">
        <f t="shared" si="83"/>
        <v>ok</v>
      </c>
    </row>
    <row r="186" spans="1:28" hidden="1">
      <c r="A186" s="458" t="s">
        <v>1161</v>
      </c>
      <c r="C186" s="60" t="s">
        <v>992</v>
      </c>
      <c r="D186" s="44" t="s">
        <v>438</v>
      </c>
      <c r="E186" s="44" t="s">
        <v>1015</v>
      </c>
      <c r="F186" s="79">
        <f>VLOOKUP(C186,'Functional Assignment'!$C$2:$AP$780,'Functional Assignment'!$L$2,)</f>
        <v>0</v>
      </c>
      <c r="G186" s="79">
        <f t="shared" si="80"/>
        <v>0</v>
      </c>
      <c r="H186" s="79">
        <f t="shared" si="80"/>
        <v>0</v>
      </c>
      <c r="I186" s="79">
        <f t="shared" si="80"/>
        <v>0</v>
      </c>
      <c r="J186" s="79">
        <f t="shared" si="80"/>
        <v>0</v>
      </c>
      <c r="K186" s="79">
        <f t="shared" si="80"/>
        <v>0</v>
      </c>
      <c r="L186" s="79">
        <f t="shared" si="80"/>
        <v>0</v>
      </c>
      <c r="M186" s="79">
        <f t="shared" si="80"/>
        <v>0</v>
      </c>
      <c r="N186" s="79">
        <f t="shared" si="80"/>
        <v>0</v>
      </c>
      <c r="O186" s="79">
        <f t="shared" si="80"/>
        <v>0</v>
      </c>
      <c r="P186" s="79">
        <f t="shared" si="80"/>
        <v>0</v>
      </c>
      <c r="Q186" s="79">
        <f t="shared" si="81"/>
        <v>0</v>
      </c>
      <c r="R186" s="79">
        <f t="shared" si="81"/>
        <v>0</v>
      </c>
      <c r="S186" s="79">
        <f t="shared" si="81"/>
        <v>0</v>
      </c>
      <c r="T186" s="79">
        <f t="shared" si="81"/>
        <v>0</v>
      </c>
      <c r="U186" s="79">
        <f t="shared" si="81"/>
        <v>0</v>
      </c>
      <c r="V186" s="79">
        <f t="shared" si="81"/>
        <v>0</v>
      </c>
      <c r="W186" s="79">
        <f t="shared" si="81"/>
        <v>0</v>
      </c>
      <c r="X186" s="63">
        <f t="shared" si="81"/>
        <v>0</v>
      </c>
      <c r="Y186" s="63">
        <f t="shared" si="81"/>
        <v>0</v>
      </c>
      <c r="Z186" s="63">
        <f t="shared" si="81"/>
        <v>0</v>
      </c>
      <c r="AA186" s="63">
        <f t="shared" si="82"/>
        <v>0</v>
      </c>
      <c r="AB186" s="58" t="str">
        <f t="shared" si="83"/>
        <v>ok</v>
      </c>
    </row>
    <row r="187" spans="1:28" hidden="1">
      <c r="A187" s="458" t="s">
        <v>1161</v>
      </c>
      <c r="C187" s="60" t="s">
        <v>992</v>
      </c>
      <c r="D187" s="44" t="s">
        <v>439</v>
      </c>
      <c r="E187" s="44" t="s">
        <v>1015</v>
      </c>
      <c r="F187" s="79">
        <f>VLOOKUP(C187,'Functional Assignment'!$C$2:$AP$780,'Functional Assignment'!$M$2,)</f>
        <v>0</v>
      </c>
      <c r="G187" s="79">
        <f t="shared" si="80"/>
        <v>0</v>
      </c>
      <c r="H187" s="79">
        <f t="shared" si="80"/>
        <v>0</v>
      </c>
      <c r="I187" s="79">
        <f t="shared" si="80"/>
        <v>0</v>
      </c>
      <c r="J187" s="79">
        <f t="shared" si="80"/>
        <v>0</v>
      </c>
      <c r="K187" s="79">
        <f t="shared" si="80"/>
        <v>0</v>
      </c>
      <c r="L187" s="79">
        <f t="shared" si="80"/>
        <v>0</v>
      </c>
      <c r="M187" s="79">
        <f t="shared" si="80"/>
        <v>0</v>
      </c>
      <c r="N187" s="79">
        <f t="shared" si="80"/>
        <v>0</v>
      </c>
      <c r="O187" s="79">
        <f t="shared" si="80"/>
        <v>0</v>
      </c>
      <c r="P187" s="79">
        <f t="shared" si="80"/>
        <v>0</v>
      </c>
      <c r="Q187" s="79">
        <f t="shared" si="81"/>
        <v>0</v>
      </c>
      <c r="R187" s="79">
        <f t="shared" si="81"/>
        <v>0</v>
      </c>
      <c r="S187" s="79">
        <f t="shared" si="81"/>
        <v>0</v>
      </c>
      <c r="T187" s="79">
        <f t="shared" si="81"/>
        <v>0</v>
      </c>
      <c r="U187" s="79">
        <f t="shared" si="81"/>
        <v>0</v>
      </c>
      <c r="V187" s="79">
        <f t="shared" si="81"/>
        <v>0</v>
      </c>
      <c r="W187" s="79">
        <f t="shared" si="81"/>
        <v>0</v>
      </c>
      <c r="X187" s="63">
        <f t="shared" si="81"/>
        <v>0</v>
      </c>
      <c r="Y187" s="63">
        <f t="shared" si="81"/>
        <v>0</v>
      </c>
      <c r="Z187" s="63">
        <f t="shared" si="81"/>
        <v>0</v>
      </c>
      <c r="AA187" s="63">
        <f t="shared" si="82"/>
        <v>0</v>
      </c>
      <c r="AB187" s="58" t="str">
        <f t="shared" si="83"/>
        <v>ok</v>
      </c>
    </row>
    <row r="188" spans="1:28">
      <c r="A188" s="44" t="s">
        <v>374</v>
      </c>
      <c r="D188" s="44" t="s">
        <v>1029</v>
      </c>
      <c r="E188" s="44"/>
      <c r="F188" s="76">
        <f>SUM(F182:F187)</f>
        <v>509453616.75704598</v>
      </c>
      <c r="G188" s="76">
        <f t="shared" ref="G188:P188" si="84">SUM(G182:G187)</f>
        <v>191692237.77850571</v>
      </c>
      <c r="H188" s="76">
        <f t="shared" si="84"/>
        <v>201907.50900232961</v>
      </c>
      <c r="I188" s="76">
        <f t="shared" si="84"/>
        <v>55930289.690931693</v>
      </c>
      <c r="J188" s="76">
        <f t="shared" si="84"/>
        <v>4506365.7706046626</v>
      </c>
      <c r="K188" s="76">
        <f t="shared" si="84"/>
        <v>68504400.286180079</v>
      </c>
      <c r="L188" s="76">
        <f t="shared" si="84"/>
        <v>82601639.512393907</v>
      </c>
      <c r="M188" s="76">
        <f t="shared" si="84"/>
        <v>57174166.623196334</v>
      </c>
      <c r="N188" s="76">
        <f t="shared" si="84"/>
        <v>42260637.032202616</v>
      </c>
      <c r="O188" s="76">
        <f>SUM(O182:O187)</f>
        <v>2341604.8139449302</v>
      </c>
      <c r="P188" s="76">
        <f t="shared" si="84"/>
        <v>3898528.4783350243</v>
      </c>
      <c r="Q188" s="76">
        <f t="shared" ref="Q188:W188" si="85">SUM(Q182:Q187)</f>
        <v>135785.82643135719</v>
      </c>
      <c r="R188" s="76">
        <f t="shared" si="85"/>
        <v>132903.30274868628</v>
      </c>
      <c r="S188" s="76">
        <f t="shared" si="85"/>
        <v>426.70000778897548</v>
      </c>
      <c r="T188" s="76">
        <f t="shared" si="85"/>
        <v>820.43256087417558</v>
      </c>
      <c r="U188" s="76">
        <f t="shared" si="85"/>
        <v>71903</v>
      </c>
      <c r="V188" s="76">
        <f t="shared" si="85"/>
        <v>0</v>
      </c>
      <c r="W188" s="76">
        <f t="shared" si="85"/>
        <v>0</v>
      </c>
      <c r="X188" s="62">
        <f>SUM(X182:X187)</f>
        <v>0</v>
      </c>
      <c r="Y188" s="62">
        <f>SUM(Y182:Y187)</f>
        <v>0</v>
      </c>
      <c r="Z188" s="62">
        <f>SUM(Z182:Z187)</f>
        <v>0</v>
      </c>
      <c r="AA188" s="64">
        <f t="shared" si="82"/>
        <v>509453616.75704598</v>
      </c>
      <c r="AB188" s="58" t="str">
        <f t="shared" si="83"/>
        <v>ok</v>
      </c>
    </row>
    <row r="189" spans="1:28">
      <c r="A189" s="44"/>
      <c r="F189" s="79"/>
      <c r="G189" s="79"/>
    </row>
    <row r="190" spans="1:28" ht="14.1">
      <c r="A190" s="45" t="s">
        <v>1055</v>
      </c>
      <c r="F190" s="79"/>
      <c r="G190" s="79"/>
    </row>
    <row r="191" spans="1:28">
      <c r="A191" s="458" t="s">
        <v>1225</v>
      </c>
      <c r="C191" s="60" t="s">
        <v>992</v>
      </c>
      <c r="D191" s="60" t="s">
        <v>440</v>
      </c>
      <c r="E191" s="60" t="s">
        <v>1229</v>
      </c>
      <c r="F191" s="76">
        <f>VLOOKUP(C191,'Functional Assignment'!$C$2:$AP$780,'Functional Assignment'!$N$2,)</f>
        <v>34465993.112126328</v>
      </c>
      <c r="G191" s="76">
        <f t="shared" ref="G191:P193" si="86">IF(VLOOKUP($E191,$D$6:$AN$1150,3,)=0,0,(VLOOKUP($E191,$D$6:$AN$1150,G$2,)/VLOOKUP($E191,$D$6:$AN$1150,3,))*$F191)</f>
        <v>16271222.712477274</v>
      </c>
      <c r="H191" s="76">
        <f t="shared" si="86"/>
        <v>59583.314126111778</v>
      </c>
      <c r="I191" s="76">
        <f t="shared" si="86"/>
        <v>3977844.7508288953</v>
      </c>
      <c r="J191" s="76">
        <f t="shared" si="86"/>
        <v>261118.21315559436</v>
      </c>
      <c r="K191" s="76">
        <f t="shared" si="86"/>
        <v>4426114.6280127959</v>
      </c>
      <c r="L191" s="76">
        <f t="shared" si="86"/>
        <v>3711846.5116386511</v>
      </c>
      <c r="M191" s="76">
        <f t="shared" si="86"/>
        <v>3514151.9888744135</v>
      </c>
      <c r="N191" s="76">
        <f t="shared" si="86"/>
        <v>1832568.4802692791</v>
      </c>
      <c r="O191" s="76">
        <f t="shared" si="86"/>
        <v>117762.13007823189</v>
      </c>
      <c r="P191" s="76">
        <f t="shared" si="86"/>
        <v>279064.5193687242</v>
      </c>
      <c r="Q191" s="76">
        <f t="shared" ref="Q191:Z193" si="87">IF(VLOOKUP($E191,$D$6:$AN$1150,3,)=0,0,(VLOOKUP($E191,$D$6:$AN$1150,Q$2,)/VLOOKUP($E191,$D$6:$AN$1150,3,))*$F191)</f>
        <v>9719.8229027740563</v>
      </c>
      <c r="R191" s="76">
        <f t="shared" si="87"/>
        <v>4461.850977205997</v>
      </c>
      <c r="S191" s="76">
        <f t="shared" si="87"/>
        <v>485.57088038437468</v>
      </c>
      <c r="T191" s="76">
        <f t="shared" si="87"/>
        <v>48.618535995375865</v>
      </c>
      <c r="U191" s="76">
        <f t="shared" si="87"/>
        <v>0</v>
      </c>
      <c r="V191" s="76">
        <f t="shared" si="87"/>
        <v>0</v>
      </c>
      <c r="W191" s="76">
        <f t="shared" si="87"/>
        <v>0</v>
      </c>
      <c r="X191" s="62">
        <f t="shared" si="87"/>
        <v>0</v>
      </c>
      <c r="Y191" s="62">
        <f t="shared" si="87"/>
        <v>0</v>
      </c>
      <c r="Z191" s="62">
        <f t="shared" si="87"/>
        <v>0</v>
      </c>
      <c r="AA191" s="64">
        <f>SUM(G191:Z191)</f>
        <v>34465993.112126328</v>
      </c>
      <c r="AB191" s="58" t="str">
        <f>IF(ABS(F191-AA191)&lt;0.01,"ok","err")</f>
        <v>ok</v>
      </c>
    </row>
    <row r="192" spans="1:28" hidden="1">
      <c r="A192" s="458" t="s">
        <v>1226</v>
      </c>
      <c r="C192" s="60" t="s">
        <v>992</v>
      </c>
      <c r="D192" s="60" t="s">
        <v>441</v>
      </c>
      <c r="E192" s="60" t="s">
        <v>1229</v>
      </c>
      <c r="F192" s="79">
        <f>VLOOKUP(C192,'Functional Assignment'!$C$2:$AP$780,'Functional Assignment'!$O$2,)</f>
        <v>0</v>
      </c>
      <c r="G192" s="79">
        <f t="shared" si="86"/>
        <v>0</v>
      </c>
      <c r="H192" s="79">
        <f t="shared" si="86"/>
        <v>0</v>
      </c>
      <c r="I192" s="79">
        <f t="shared" si="86"/>
        <v>0</v>
      </c>
      <c r="J192" s="79">
        <f t="shared" si="86"/>
        <v>0</v>
      </c>
      <c r="K192" s="79">
        <f t="shared" si="86"/>
        <v>0</v>
      </c>
      <c r="L192" s="79">
        <f t="shared" si="86"/>
        <v>0</v>
      </c>
      <c r="M192" s="79">
        <f t="shared" si="86"/>
        <v>0</v>
      </c>
      <c r="N192" s="79">
        <f t="shared" si="86"/>
        <v>0</v>
      </c>
      <c r="O192" s="79">
        <f t="shared" si="86"/>
        <v>0</v>
      </c>
      <c r="P192" s="79">
        <f t="shared" si="86"/>
        <v>0</v>
      </c>
      <c r="Q192" s="79">
        <f t="shared" si="87"/>
        <v>0</v>
      </c>
      <c r="R192" s="79">
        <f t="shared" si="87"/>
        <v>0</v>
      </c>
      <c r="S192" s="79">
        <f t="shared" si="87"/>
        <v>0</v>
      </c>
      <c r="T192" s="79">
        <f t="shared" si="87"/>
        <v>0</v>
      </c>
      <c r="U192" s="79">
        <f t="shared" si="87"/>
        <v>0</v>
      </c>
      <c r="V192" s="79">
        <f t="shared" si="87"/>
        <v>0</v>
      </c>
      <c r="W192" s="79">
        <f t="shared" si="87"/>
        <v>0</v>
      </c>
      <c r="X192" s="63">
        <f t="shared" si="87"/>
        <v>0</v>
      </c>
      <c r="Y192" s="63">
        <f t="shared" si="87"/>
        <v>0</v>
      </c>
      <c r="Z192" s="63">
        <f t="shared" si="87"/>
        <v>0</v>
      </c>
      <c r="AA192" s="63">
        <f>SUM(G192:Z192)</f>
        <v>0</v>
      </c>
      <c r="AB192" s="58" t="str">
        <f>IF(ABS(F192-AA192)&lt;0.01,"ok","err")</f>
        <v>ok</v>
      </c>
    </row>
    <row r="193" spans="1:28" hidden="1">
      <c r="A193" s="458" t="s">
        <v>1226</v>
      </c>
      <c r="C193" s="60" t="s">
        <v>992</v>
      </c>
      <c r="D193" s="60" t="s">
        <v>442</v>
      </c>
      <c r="E193" s="60" t="s">
        <v>1229</v>
      </c>
      <c r="F193" s="79">
        <f>VLOOKUP(C193,'Functional Assignment'!$C$2:$AP$780,'Functional Assignment'!$P$2,)</f>
        <v>0</v>
      </c>
      <c r="G193" s="79">
        <f t="shared" si="86"/>
        <v>0</v>
      </c>
      <c r="H193" s="79">
        <f t="shared" si="86"/>
        <v>0</v>
      </c>
      <c r="I193" s="79">
        <f t="shared" si="86"/>
        <v>0</v>
      </c>
      <c r="J193" s="79">
        <f t="shared" si="86"/>
        <v>0</v>
      </c>
      <c r="K193" s="79">
        <f t="shared" si="86"/>
        <v>0</v>
      </c>
      <c r="L193" s="79">
        <f t="shared" si="86"/>
        <v>0</v>
      </c>
      <c r="M193" s="79">
        <f t="shared" si="86"/>
        <v>0</v>
      </c>
      <c r="N193" s="79">
        <f t="shared" si="86"/>
        <v>0</v>
      </c>
      <c r="O193" s="79">
        <f t="shared" si="86"/>
        <v>0</v>
      </c>
      <c r="P193" s="79">
        <f t="shared" si="86"/>
        <v>0</v>
      </c>
      <c r="Q193" s="79">
        <f t="shared" si="87"/>
        <v>0</v>
      </c>
      <c r="R193" s="79">
        <f t="shared" si="87"/>
        <v>0</v>
      </c>
      <c r="S193" s="79">
        <f t="shared" si="87"/>
        <v>0</v>
      </c>
      <c r="T193" s="79">
        <f t="shared" si="87"/>
        <v>0</v>
      </c>
      <c r="U193" s="79">
        <f t="shared" si="87"/>
        <v>0</v>
      </c>
      <c r="V193" s="79">
        <f t="shared" si="87"/>
        <v>0</v>
      </c>
      <c r="W193" s="79">
        <f t="shared" si="87"/>
        <v>0</v>
      </c>
      <c r="X193" s="63">
        <f t="shared" si="87"/>
        <v>0</v>
      </c>
      <c r="Y193" s="63">
        <f t="shared" si="87"/>
        <v>0</v>
      </c>
      <c r="Z193" s="63">
        <f t="shared" si="87"/>
        <v>0</v>
      </c>
      <c r="AA193" s="63">
        <f>SUM(G193:Z193)</f>
        <v>0</v>
      </c>
      <c r="AB193" s="58" t="str">
        <f>IF(ABS(F193-AA193)&lt;0.01,"ok","err")</f>
        <v>ok</v>
      </c>
    </row>
    <row r="194" spans="1:28" hidden="1">
      <c r="A194" s="44" t="s">
        <v>1057</v>
      </c>
      <c r="D194" s="60" t="s">
        <v>443</v>
      </c>
      <c r="F194" s="76">
        <f>SUM(F191:F193)</f>
        <v>34465993.112126328</v>
      </c>
      <c r="G194" s="76">
        <f t="shared" ref="G194:W194" si="88">SUM(G191:G193)</f>
        <v>16271222.712477274</v>
      </c>
      <c r="H194" s="76">
        <f t="shared" si="88"/>
        <v>59583.314126111778</v>
      </c>
      <c r="I194" s="76">
        <f t="shared" si="88"/>
        <v>3977844.7508288953</v>
      </c>
      <c r="J194" s="76">
        <f t="shared" si="88"/>
        <v>261118.21315559436</v>
      </c>
      <c r="K194" s="76">
        <f t="shared" si="88"/>
        <v>4426114.6280127959</v>
      </c>
      <c r="L194" s="76">
        <f t="shared" si="88"/>
        <v>3711846.5116386511</v>
      </c>
      <c r="M194" s="76">
        <f t="shared" si="88"/>
        <v>3514151.9888744135</v>
      </c>
      <c r="N194" s="76">
        <f t="shared" si="88"/>
        <v>1832568.4802692791</v>
      </c>
      <c r="O194" s="76">
        <f>SUM(O191:O193)</f>
        <v>117762.13007823189</v>
      </c>
      <c r="P194" s="76">
        <f t="shared" si="88"/>
        <v>279064.5193687242</v>
      </c>
      <c r="Q194" s="76">
        <f t="shared" si="88"/>
        <v>9719.8229027740563</v>
      </c>
      <c r="R194" s="76">
        <f t="shared" si="88"/>
        <v>4461.850977205997</v>
      </c>
      <c r="S194" s="76">
        <f t="shared" si="88"/>
        <v>485.57088038437468</v>
      </c>
      <c r="T194" s="76">
        <f t="shared" si="88"/>
        <v>48.618535995375865</v>
      </c>
      <c r="U194" s="76">
        <f t="shared" si="88"/>
        <v>0</v>
      </c>
      <c r="V194" s="76">
        <f t="shared" si="88"/>
        <v>0</v>
      </c>
      <c r="W194" s="76">
        <f t="shared" si="88"/>
        <v>0</v>
      </c>
      <c r="X194" s="62">
        <f>SUM(X191:X193)</f>
        <v>0</v>
      </c>
      <c r="Y194" s="62">
        <f>SUM(Y191:Y193)</f>
        <v>0</v>
      </c>
      <c r="Z194" s="62">
        <f>SUM(Z191:Z193)</f>
        <v>0</v>
      </c>
      <c r="AA194" s="64">
        <f>SUM(G194:Z194)</f>
        <v>34465993.112126328</v>
      </c>
      <c r="AB194" s="58" t="str">
        <f>IF(ABS(F194-AA194)&lt;0.01,"ok","err")</f>
        <v>ok</v>
      </c>
    </row>
    <row r="195" spans="1:28">
      <c r="A195" s="44"/>
      <c r="F195" s="79"/>
      <c r="G195" s="79"/>
    </row>
    <row r="196" spans="1:28" ht="14.1">
      <c r="A196" s="45" t="s">
        <v>337</v>
      </c>
      <c r="F196" s="79"/>
      <c r="G196" s="79"/>
    </row>
    <row r="197" spans="1:28">
      <c r="A197" s="458" t="s">
        <v>359</v>
      </c>
      <c r="C197" s="60" t="s">
        <v>992</v>
      </c>
      <c r="D197" s="60" t="s">
        <v>444</v>
      </c>
      <c r="E197" s="60" t="s">
        <v>1230</v>
      </c>
      <c r="F197" s="76">
        <f>VLOOKUP(C197,'Functional Assignment'!$C$2:$AP$780,'Functional Assignment'!$Q$2,)</f>
        <v>0</v>
      </c>
      <c r="G197" s="76">
        <f t="shared" ref="G197:Z197" si="89">IF(VLOOKUP($E197,$D$6:$AN$1150,3,)=0,0,(VLOOKUP($E197,$D$6:$AN$1150,G$2,)/VLOOKUP($E197,$D$6:$AN$1150,3,))*$F197)</f>
        <v>0</v>
      </c>
      <c r="H197" s="76">
        <f t="shared" si="89"/>
        <v>0</v>
      </c>
      <c r="I197" s="76">
        <f t="shared" si="89"/>
        <v>0</v>
      </c>
      <c r="J197" s="76">
        <f t="shared" si="89"/>
        <v>0</v>
      </c>
      <c r="K197" s="76">
        <f t="shared" si="89"/>
        <v>0</v>
      </c>
      <c r="L197" s="76">
        <f t="shared" si="89"/>
        <v>0</v>
      </c>
      <c r="M197" s="76">
        <f t="shared" si="89"/>
        <v>0</v>
      </c>
      <c r="N197" s="76">
        <f t="shared" si="89"/>
        <v>0</v>
      </c>
      <c r="O197" s="76">
        <f t="shared" si="89"/>
        <v>0</v>
      </c>
      <c r="P197" s="76">
        <f t="shared" si="89"/>
        <v>0</v>
      </c>
      <c r="Q197" s="76">
        <f t="shared" si="89"/>
        <v>0</v>
      </c>
      <c r="R197" s="76">
        <f t="shared" si="89"/>
        <v>0</v>
      </c>
      <c r="S197" s="76">
        <f t="shared" si="89"/>
        <v>0</v>
      </c>
      <c r="T197" s="76">
        <f t="shared" si="89"/>
        <v>0</v>
      </c>
      <c r="U197" s="76">
        <f t="shared" si="89"/>
        <v>0</v>
      </c>
      <c r="V197" s="76">
        <f t="shared" si="89"/>
        <v>0</v>
      </c>
      <c r="W197" s="76">
        <f t="shared" si="89"/>
        <v>0</v>
      </c>
      <c r="X197" s="62">
        <f t="shared" si="89"/>
        <v>0</v>
      </c>
      <c r="Y197" s="62">
        <f t="shared" si="89"/>
        <v>0</v>
      </c>
      <c r="Z197" s="62">
        <f t="shared" si="89"/>
        <v>0</v>
      </c>
      <c r="AA197" s="64">
        <f>SUM(G197:Z197)</f>
        <v>0</v>
      </c>
      <c r="AB197" s="58" t="str">
        <f>IF(ABS(F197-AA197)&lt;0.01,"ok","err")</f>
        <v>ok</v>
      </c>
    </row>
    <row r="198" spans="1:28">
      <c r="A198" s="44"/>
      <c r="F198" s="79"/>
    </row>
    <row r="199" spans="1:28" ht="14.1">
      <c r="A199" s="45" t="s">
        <v>338</v>
      </c>
      <c r="F199" s="79"/>
      <c r="G199" s="79"/>
    </row>
    <row r="200" spans="1:28">
      <c r="A200" s="458" t="s">
        <v>361</v>
      </c>
      <c r="C200" s="60" t="s">
        <v>992</v>
      </c>
      <c r="D200" s="60" t="s">
        <v>445</v>
      </c>
      <c r="E200" s="60" t="s">
        <v>1230</v>
      </c>
      <c r="F200" s="76">
        <f>VLOOKUP(C200,'Functional Assignment'!$C$2:$AP$780,'Functional Assignment'!$R$2,)</f>
        <v>8074378.6521175466</v>
      </c>
      <c r="G200" s="76">
        <f t="shared" ref="G200:Z200" si="90">IF(VLOOKUP($E200,$D$6:$AN$1150,3,)=0,0,(VLOOKUP($E200,$D$6:$AN$1150,G$2,)/VLOOKUP($E200,$D$6:$AN$1150,3,))*$F200)</f>
        <v>4025933.9862608933</v>
      </c>
      <c r="H200" s="76">
        <f t="shared" si="90"/>
        <v>14742.499294194158</v>
      </c>
      <c r="I200" s="76">
        <f t="shared" si="90"/>
        <v>984224.76647382509</v>
      </c>
      <c r="J200" s="76">
        <f t="shared" si="90"/>
        <v>64607.602474072031</v>
      </c>
      <c r="K200" s="76">
        <f t="shared" si="90"/>
        <v>1095138.6765998143</v>
      </c>
      <c r="L200" s="76">
        <f t="shared" si="90"/>
        <v>918409.71554834256</v>
      </c>
      <c r="M200" s="76">
        <f t="shared" si="90"/>
        <v>869494.82376926043</v>
      </c>
      <c r="N200" s="76">
        <f t="shared" si="90"/>
        <v>0</v>
      </c>
      <c r="O200" s="76">
        <f t="shared" si="90"/>
        <v>29137.488322427886</v>
      </c>
      <c r="P200" s="76">
        <f t="shared" si="90"/>
        <v>69047.996744865246</v>
      </c>
      <c r="Q200" s="76">
        <f t="shared" si="90"/>
        <v>2404.9431352634583</v>
      </c>
      <c r="R200" s="76">
        <f t="shared" si="90"/>
        <v>1103.9808014544799</v>
      </c>
      <c r="S200" s="76">
        <f t="shared" si="90"/>
        <v>120.14317206653546</v>
      </c>
      <c r="T200" s="76">
        <f t="shared" si="90"/>
        <v>12.029521068256084</v>
      </c>
      <c r="U200" s="76">
        <f t="shared" si="90"/>
        <v>0</v>
      </c>
      <c r="V200" s="76">
        <f t="shared" si="90"/>
        <v>0</v>
      </c>
      <c r="W200" s="76">
        <f t="shared" si="90"/>
        <v>0</v>
      </c>
      <c r="X200" s="62">
        <f t="shared" si="90"/>
        <v>0</v>
      </c>
      <c r="Y200" s="62">
        <f t="shared" si="90"/>
        <v>0</v>
      </c>
      <c r="Z200" s="62">
        <f t="shared" si="90"/>
        <v>0</v>
      </c>
      <c r="AA200" s="64">
        <f>SUM(G200:Z200)</f>
        <v>8074378.6521175476</v>
      </c>
      <c r="AB200" s="58" t="str">
        <f>IF(ABS(F200-AA200)&lt;0.01,"ok","err")</f>
        <v>ok</v>
      </c>
    </row>
    <row r="201" spans="1:28">
      <c r="A201" s="44"/>
      <c r="F201" s="79"/>
    </row>
    <row r="202" spans="1:28" ht="14.1">
      <c r="A202" s="45" t="s">
        <v>360</v>
      </c>
      <c r="F202" s="79"/>
    </row>
    <row r="203" spans="1:28">
      <c r="A203" s="458" t="s">
        <v>603</v>
      </c>
      <c r="C203" s="60" t="s">
        <v>992</v>
      </c>
      <c r="D203" s="60" t="s">
        <v>446</v>
      </c>
      <c r="E203" s="60" t="s">
        <v>1230</v>
      </c>
      <c r="F203" s="76">
        <f>VLOOKUP(C203,'Functional Assignment'!$C$2:$AP$780,'Functional Assignment'!$S$2,)</f>
        <v>0</v>
      </c>
      <c r="G203" s="76">
        <f t="shared" ref="G203:P207" si="91">IF(VLOOKUP($E203,$D$6:$AN$1150,3,)=0,0,(VLOOKUP($E203,$D$6:$AN$1150,G$2,)/VLOOKUP($E203,$D$6:$AN$1150,3,))*$F203)</f>
        <v>0</v>
      </c>
      <c r="H203" s="76">
        <f t="shared" si="91"/>
        <v>0</v>
      </c>
      <c r="I203" s="76">
        <f t="shared" si="91"/>
        <v>0</v>
      </c>
      <c r="J203" s="76">
        <f t="shared" si="91"/>
        <v>0</v>
      </c>
      <c r="K203" s="76">
        <f t="shared" si="91"/>
        <v>0</v>
      </c>
      <c r="L203" s="76">
        <f t="shared" si="91"/>
        <v>0</v>
      </c>
      <c r="M203" s="76">
        <f t="shared" si="91"/>
        <v>0</v>
      </c>
      <c r="N203" s="76">
        <f t="shared" si="91"/>
        <v>0</v>
      </c>
      <c r="O203" s="76">
        <f t="shared" si="91"/>
        <v>0</v>
      </c>
      <c r="P203" s="76">
        <f t="shared" si="91"/>
        <v>0</v>
      </c>
      <c r="Q203" s="76">
        <f t="shared" ref="Q203:Z207" si="92">IF(VLOOKUP($E203,$D$6:$AN$1150,3,)=0,0,(VLOOKUP($E203,$D$6:$AN$1150,Q$2,)/VLOOKUP($E203,$D$6:$AN$1150,3,))*$F203)</f>
        <v>0</v>
      </c>
      <c r="R203" s="76">
        <f t="shared" si="92"/>
        <v>0</v>
      </c>
      <c r="S203" s="76">
        <f t="shared" si="92"/>
        <v>0</v>
      </c>
      <c r="T203" s="76">
        <f t="shared" si="92"/>
        <v>0</v>
      </c>
      <c r="U203" s="76">
        <f t="shared" si="92"/>
        <v>0</v>
      </c>
      <c r="V203" s="76">
        <f t="shared" si="92"/>
        <v>0</v>
      </c>
      <c r="W203" s="76">
        <f t="shared" si="92"/>
        <v>0</v>
      </c>
      <c r="X203" s="62">
        <f t="shared" si="92"/>
        <v>0</v>
      </c>
      <c r="Y203" s="62">
        <f t="shared" si="92"/>
        <v>0</v>
      </c>
      <c r="Z203" s="62">
        <f t="shared" si="92"/>
        <v>0</v>
      </c>
      <c r="AA203" s="64">
        <f t="shared" ref="AA203:AA208" si="93">SUM(G203:Z203)</f>
        <v>0</v>
      </c>
      <c r="AB203" s="58" t="str">
        <f t="shared" ref="AB203:AB208" si="94">IF(ABS(F203-AA203)&lt;0.01,"ok","err")</f>
        <v>ok</v>
      </c>
    </row>
    <row r="204" spans="1:28">
      <c r="A204" s="458" t="s">
        <v>604</v>
      </c>
      <c r="C204" s="60" t="s">
        <v>992</v>
      </c>
      <c r="D204" s="60" t="s">
        <v>447</v>
      </c>
      <c r="E204" s="60" t="s">
        <v>1230</v>
      </c>
      <c r="F204" s="79">
        <f>VLOOKUP(C204,'Functional Assignment'!$C$2:$AP$780,'Functional Assignment'!$T$2,)</f>
        <v>13200174.80048782</v>
      </c>
      <c r="G204" s="79">
        <f t="shared" si="91"/>
        <v>6581686.9190215021</v>
      </c>
      <c r="H204" s="79">
        <f t="shared" si="91"/>
        <v>24101.367555805107</v>
      </c>
      <c r="I204" s="79">
        <f t="shared" si="91"/>
        <v>1609032.6599950318</v>
      </c>
      <c r="J204" s="79">
        <f t="shared" si="91"/>
        <v>105621.95344585688</v>
      </c>
      <c r="K204" s="79">
        <f t="shared" si="91"/>
        <v>1790357.200810899</v>
      </c>
      <c r="L204" s="79">
        <f t="shared" si="91"/>
        <v>1501436.7428167437</v>
      </c>
      <c r="M204" s="79">
        <f t="shared" si="91"/>
        <v>1421469.583775782</v>
      </c>
      <c r="N204" s="79">
        <f t="shared" si="91"/>
        <v>0</v>
      </c>
      <c r="O204" s="79">
        <f t="shared" si="91"/>
        <v>47634.617556900448</v>
      </c>
      <c r="P204" s="79">
        <f t="shared" si="91"/>
        <v>112881.20930725784</v>
      </c>
      <c r="Q204" s="79">
        <f t="shared" si="92"/>
        <v>3931.6548230476419</v>
      </c>
      <c r="R204" s="79">
        <f t="shared" si="92"/>
        <v>1804.8125042736258</v>
      </c>
      <c r="S204" s="79">
        <f t="shared" si="92"/>
        <v>196.4127446447462</v>
      </c>
      <c r="T204" s="79">
        <f t="shared" si="92"/>
        <v>19.666130077450273</v>
      </c>
      <c r="U204" s="79">
        <f t="shared" si="92"/>
        <v>0</v>
      </c>
      <c r="V204" s="79">
        <f t="shared" si="92"/>
        <v>0</v>
      </c>
      <c r="W204" s="79">
        <f t="shared" si="92"/>
        <v>0</v>
      </c>
      <c r="X204" s="63">
        <f t="shared" si="92"/>
        <v>0</v>
      </c>
      <c r="Y204" s="63">
        <f t="shared" si="92"/>
        <v>0</v>
      </c>
      <c r="Z204" s="63">
        <f t="shared" si="92"/>
        <v>0</v>
      </c>
      <c r="AA204" s="63">
        <f t="shared" si="93"/>
        <v>13200174.800487822</v>
      </c>
      <c r="AB204" s="58" t="str">
        <f t="shared" si="94"/>
        <v>ok</v>
      </c>
    </row>
    <row r="205" spans="1:28">
      <c r="A205" s="458" t="s">
        <v>605</v>
      </c>
      <c r="C205" s="60" t="s">
        <v>992</v>
      </c>
      <c r="D205" s="60" t="s">
        <v>448</v>
      </c>
      <c r="E205" s="60" t="s">
        <v>658</v>
      </c>
      <c r="F205" s="79">
        <f>VLOOKUP(C205,'Functional Assignment'!$C$2:$AP$780,'Functional Assignment'!$U$2,)</f>
        <v>22092723.664574921</v>
      </c>
      <c r="G205" s="79">
        <f t="shared" si="91"/>
        <v>19055694.464964319</v>
      </c>
      <c r="H205" s="79">
        <f t="shared" si="91"/>
        <v>47036.069992834899</v>
      </c>
      <c r="I205" s="79">
        <f t="shared" si="91"/>
        <v>2294729.0185388867</v>
      </c>
      <c r="J205" s="79">
        <f t="shared" si="91"/>
        <v>3541.3013170190297</v>
      </c>
      <c r="K205" s="79">
        <f t="shared" si="91"/>
        <v>140761.52974683372</v>
      </c>
      <c r="L205" s="79">
        <f t="shared" si="91"/>
        <v>6657.36927041323</v>
      </c>
      <c r="M205" s="79">
        <f t="shared" si="91"/>
        <v>25548.236706934116</v>
      </c>
      <c r="N205" s="79">
        <f t="shared" si="91"/>
        <v>0</v>
      </c>
      <c r="O205" s="79">
        <f t="shared" si="91"/>
        <v>101.18003762911513</v>
      </c>
      <c r="P205" s="79">
        <f t="shared" si="91"/>
        <v>511571.89136600774</v>
      </c>
      <c r="Q205" s="79">
        <f t="shared" si="92"/>
        <v>904.99922546041876</v>
      </c>
      <c r="R205" s="79">
        <f t="shared" si="92"/>
        <v>5621.113201617507</v>
      </c>
      <c r="S205" s="79">
        <f t="shared" si="92"/>
        <v>50.590018814557567</v>
      </c>
      <c r="T205" s="79">
        <f t="shared" si="92"/>
        <v>505.90018814557573</v>
      </c>
      <c r="U205" s="79">
        <f t="shared" si="92"/>
        <v>0</v>
      </c>
      <c r="V205" s="79">
        <f t="shared" si="92"/>
        <v>0</v>
      </c>
      <c r="W205" s="79">
        <f t="shared" si="92"/>
        <v>0</v>
      </c>
      <c r="X205" s="63">
        <f t="shared" si="92"/>
        <v>0</v>
      </c>
      <c r="Y205" s="63">
        <f t="shared" si="92"/>
        <v>0</v>
      </c>
      <c r="Z205" s="63">
        <f t="shared" si="92"/>
        <v>0</v>
      </c>
      <c r="AA205" s="63">
        <f t="shared" si="93"/>
        <v>22092723.664574917</v>
      </c>
      <c r="AB205" s="58" t="str">
        <f t="shared" si="94"/>
        <v>ok</v>
      </c>
    </row>
    <row r="206" spans="1:28">
      <c r="A206" s="458" t="s">
        <v>606</v>
      </c>
      <c r="C206" s="60" t="s">
        <v>992</v>
      </c>
      <c r="D206" s="60" t="s">
        <v>449</v>
      </c>
      <c r="E206" s="60" t="s">
        <v>646</v>
      </c>
      <c r="F206" s="79">
        <f>VLOOKUP(C206,'Functional Assignment'!$C$2:$AP$780,'Functional Assignment'!$V$2,)</f>
        <v>4169128.806815919</v>
      </c>
      <c r="G206" s="79">
        <f t="shared" si="91"/>
        <v>3154604.6214780356</v>
      </c>
      <c r="H206" s="79">
        <f t="shared" si="91"/>
        <v>6553.9106565287184</v>
      </c>
      <c r="I206" s="79">
        <f t="shared" si="91"/>
        <v>504582.80945052573</v>
      </c>
      <c r="J206" s="79">
        <f t="shared" si="91"/>
        <v>0</v>
      </c>
      <c r="K206" s="79">
        <f t="shared" si="91"/>
        <v>477910.29959969589</v>
      </c>
      <c r="L206" s="79">
        <f t="shared" si="91"/>
        <v>0</v>
      </c>
      <c r="M206" s="79">
        <f t="shared" si="91"/>
        <v>0</v>
      </c>
      <c r="N206" s="79">
        <f t="shared" si="91"/>
        <v>0</v>
      </c>
      <c r="O206" s="79">
        <f t="shared" si="91"/>
        <v>0</v>
      </c>
      <c r="P206" s="79">
        <f t="shared" si="91"/>
        <v>24200.979375245995</v>
      </c>
      <c r="Q206" s="79">
        <f t="shared" si="92"/>
        <v>842.92060536106112</v>
      </c>
      <c r="R206" s="79">
        <f t="shared" si="92"/>
        <v>386.93977908423909</v>
      </c>
      <c r="S206" s="79">
        <f t="shared" si="92"/>
        <v>42.109584149160391</v>
      </c>
      <c r="T206" s="79">
        <f t="shared" si="92"/>
        <v>4.2162872927751129</v>
      </c>
      <c r="U206" s="79">
        <f t="shared" si="92"/>
        <v>0</v>
      </c>
      <c r="V206" s="79">
        <f t="shared" si="92"/>
        <v>0</v>
      </c>
      <c r="W206" s="79">
        <f t="shared" si="92"/>
        <v>0</v>
      </c>
      <c r="X206" s="63">
        <f t="shared" si="92"/>
        <v>0</v>
      </c>
      <c r="Y206" s="63">
        <f t="shared" si="92"/>
        <v>0</v>
      </c>
      <c r="Z206" s="63">
        <f t="shared" si="92"/>
        <v>0</v>
      </c>
      <c r="AA206" s="63">
        <f t="shared" si="93"/>
        <v>4169128.806815919</v>
      </c>
      <c r="AB206" s="58" t="str">
        <f t="shared" si="94"/>
        <v>ok</v>
      </c>
    </row>
    <row r="207" spans="1:28">
      <c r="A207" s="458" t="s">
        <v>607</v>
      </c>
      <c r="C207" s="60" t="s">
        <v>992</v>
      </c>
      <c r="D207" s="60" t="s">
        <v>450</v>
      </c>
      <c r="E207" s="60" t="s">
        <v>657</v>
      </c>
      <c r="F207" s="79">
        <f>VLOOKUP(C207,'Functional Assignment'!$C$2:$AP$780,'Functional Assignment'!$W$2,)</f>
        <v>7223790.8391335364</v>
      </c>
      <c r="G207" s="79">
        <f t="shared" si="91"/>
        <v>6280979.7652037861</v>
      </c>
      <c r="H207" s="79">
        <f t="shared" si="91"/>
        <v>15503.638789070925</v>
      </c>
      <c r="I207" s="79">
        <f t="shared" si="91"/>
        <v>756369.52295643766</v>
      </c>
      <c r="J207" s="79">
        <f t="shared" si="91"/>
        <v>0</v>
      </c>
      <c r="K207" s="79">
        <f t="shared" si="91"/>
        <v>0</v>
      </c>
      <c r="L207" s="79">
        <f t="shared" si="91"/>
        <v>0</v>
      </c>
      <c r="M207" s="79">
        <f t="shared" si="91"/>
        <v>0</v>
      </c>
      <c r="N207" s="79">
        <f t="shared" si="91"/>
        <v>0</v>
      </c>
      <c r="O207" s="79">
        <f t="shared" si="91"/>
        <v>0</v>
      </c>
      <c r="P207" s="79">
        <f t="shared" si="91"/>
        <v>168620.07858200307</v>
      </c>
      <c r="Q207" s="79">
        <f t="shared" si="92"/>
        <v>298.29832930482138</v>
      </c>
      <c r="R207" s="79">
        <f t="shared" si="92"/>
        <v>1852.7846540672135</v>
      </c>
      <c r="S207" s="79">
        <f t="shared" si="92"/>
        <v>0</v>
      </c>
      <c r="T207" s="79">
        <f t="shared" si="92"/>
        <v>166.75061886604922</v>
      </c>
      <c r="U207" s="79">
        <f t="shared" si="92"/>
        <v>0</v>
      </c>
      <c r="V207" s="79">
        <f t="shared" si="92"/>
        <v>0</v>
      </c>
      <c r="W207" s="79">
        <f t="shared" si="92"/>
        <v>0</v>
      </c>
      <c r="X207" s="63">
        <f t="shared" si="92"/>
        <v>0</v>
      </c>
      <c r="Y207" s="63">
        <f t="shared" si="92"/>
        <v>0</v>
      </c>
      <c r="Z207" s="63">
        <f t="shared" si="92"/>
        <v>0</v>
      </c>
      <c r="AA207" s="63">
        <f t="shared" si="93"/>
        <v>7223790.8391335346</v>
      </c>
      <c r="AB207" s="58" t="str">
        <f t="shared" si="94"/>
        <v>ok</v>
      </c>
    </row>
    <row r="208" spans="1:28">
      <c r="A208" s="44" t="s">
        <v>365</v>
      </c>
      <c r="D208" s="60" t="s">
        <v>451</v>
      </c>
      <c r="F208" s="76">
        <f>SUM(F203:F207)</f>
        <v>46685818.111012198</v>
      </c>
      <c r="G208" s="76">
        <f t="shared" ref="G208:W208" si="95">SUM(G203:G207)</f>
        <v>35072965.770667642</v>
      </c>
      <c r="H208" s="76">
        <f t="shared" si="95"/>
        <v>93194.986994239662</v>
      </c>
      <c r="I208" s="76">
        <f t="shared" si="95"/>
        <v>5164714.0109408814</v>
      </c>
      <c r="J208" s="76">
        <f t="shared" si="95"/>
        <v>109163.25476287591</v>
      </c>
      <c r="K208" s="76">
        <f t="shared" si="95"/>
        <v>2409029.0301574287</v>
      </c>
      <c r="L208" s="76">
        <f t="shared" si="95"/>
        <v>1508094.1120871569</v>
      </c>
      <c r="M208" s="76">
        <f t="shared" si="95"/>
        <v>1447017.8204827162</v>
      </c>
      <c r="N208" s="76">
        <f t="shared" si="95"/>
        <v>0</v>
      </c>
      <c r="O208" s="76">
        <f>SUM(O203:O207)</f>
        <v>47735.797594529562</v>
      </c>
      <c r="P208" s="76">
        <f t="shared" si="95"/>
        <v>817274.15863051452</v>
      </c>
      <c r="Q208" s="76">
        <f t="shared" si="95"/>
        <v>5977.8729831739429</v>
      </c>
      <c r="R208" s="76">
        <f t="shared" si="95"/>
        <v>9665.6501390425856</v>
      </c>
      <c r="S208" s="76">
        <f t="shared" si="95"/>
        <v>289.11234760846418</v>
      </c>
      <c r="T208" s="76">
        <f t="shared" si="95"/>
        <v>696.53322438185023</v>
      </c>
      <c r="U208" s="76">
        <f t="shared" si="95"/>
        <v>0</v>
      </c>
      <c r="V208" s="76">
        <f t="shared" si="95"/>
        <v>0</v>
      </c>
      <c r="W208" s="76">
        <f t="shared" si="95"/>
        <v>0</v>
      </c>
      <c r="X208" s="62">
        <f>SUM(X203:X207)</f>
        <v>0</v>
      </c>
      <c r="Y208" s="62">
        <f>SUM(Y203:Y207)</f>
        <v>0</v>
      </c>
      <c r="Z208" s="62">
        <f>SUM(Z203:Z207)</f>
        <v>0</v>
      </c>
      <c r="AA208" s="64">
        <f t="shared" si="93"/>
        <v>46685818.111012191</v>
      </c>
      <c r="AB208" s="58" t="str">
        <f t="shared" si="94"/>
        <v>ok</v>
      </c>
    </row>
    <row r="209" spans="1:28">
      <c r="A209" s="44"/>
      <c r="F209" s="79"/>
    </row>
    <row r="210" spans="1:28" ht="14.1">
      <c r="A210" s="45" t="s">
        <v>613</v>
      </c>
      <c r="F210" s="79"/>
    </row>
    <row r="211" spans="1:28">
      <c r="A211" s="458" t="s">
        <v>1014</v>
      </c>
      <c r="C211" s="60" t="s">
        <v>992</v>
      </c>
      <c r="D211" s="60" t="s">
        <v>452</v>
      </c>
      <c r="E211" s="60" t="s">
        <v>1207</v>
      </c>
      <c r="F211" s="76">
        <f>VLOOKUP(C211,'Functional Assignment'!$C$2:$AP$780,'Functional Assignment'!$X$2,)</f>
        <v>1117029.2182578882</v>
      </c>
      <c r="G211" s="76">
        <f t="shared" ref="G211:P212" si="96">IF(VLOOKUP($E211,$D$6:$AN$1150,3,)=0,0,(VLOOKUP($E211,$D$6:$AN$1150,G$2,)/VLOOKUP($E211,$D$6:$AN$1150,3,))*$F211)</f>
        <v>771443.51717468305</v>
      </c>
      <c r="H211" s="76">
        <f t="shared" si="96"/>
        <v>1602.7275981584855</v>
      </c>
      <c r="I211" s="76">
        <f t="shared" si="96"/>
        <v>123393.31990391135</v>
      </c>
      <c r="J211" s="76">
        <f t="shared" si="96"/>
        <v>0</v>
      </c>
      <c r="K211" s="76">
        <f t="shared" si="96"/>
        <v>116870.68481008464</v>
      </c>
      <c r="L211" s="76">
        <f t="shared" si="96"/>
        <v>0</v>
      </c>
      <c r="M211" s="76">
        <f t="shared" si="96"/>
        <v>97488.649406047422</v>
      </c>
      <c r="N211" s="76">
        <f t="shared" si="96"/>
        <v>0</v>
      </c>
      <c r="O211" s="76">
        <f t="shared" si="96"/>
        <v>0</v>
      </c>
      <c r="P211" s="76">
        <f t="shared" si="96"/>
        <v>5918.2341017317003</v>
      </c>
      <c r="Q211" s="76">
        <f t="shared" ref="Q211:Z212" si="97">IF(VLOOKUP($E211,$D$6:$AN$1150,3,)=0,0,(VLOOKUP($E211,$D$6:$AN$1150,Q$2,)/VLOOKUP($E211,$D$6:$AN$1150,3,))*$F211)</f>
        <v>206.13221450049076</v>
      </c>
      <c r="R211" s="76">
        <f t="shared" si="97"/>
        <v>94.624277818905284</v>
      </c>
      <c r="S211" s="76">
        <f t="shared" si="97"/>
        <v>10.297698000445839</v>
      </c>
      <c r="T211" s="76">
        <f t="shared" si="97"/>
        <v>1.0310729517138006</v>
      </c>
      <c r="U211" s="76">
        <f t="shared" si="97"/>
        <v>0</v>
      </c>
      <c r="V211" s="76">
        <f t="shared" si="97"/>
        <v>0</v>
      </c>
      <c r="W211" s="76">
        <f t="shared" si="97"/>
        <v>0</v>
      </c>
      <c r="X211" s="62">
        <f t="shared" si="97"/>
        <v>0</v>
      </c>
      <c r="Y211" s="62">
        <f t="shared" si="97"/>
        <v>0</v>
      </c>
      <c r="Z211" s="62">
        <f t="shared" si="97"/>
        <v>0</v>
      </c>
      <c r="AA211" s="64">
        <f>SUM(G211:Z211)</f>
        <v>1117029.2182578885</v>
      </c>
      <c r="AB211" s="58" t="str">
        <f>IF(ABS(F211-AA211)&lt;0.01,"ok","err")</f>
        <v>ok</v>
      </c>
    </row>
    <row r="212" spans="1:28">
      <c r="A212" s="458" t="s">
        <v>1017</v>
      </c>
      <c r="C212" s="60" t="s">
        <v>992</v>
      </c>
      <c r="D212" s="60" t="s">
        <v>453</v>
      </c>
      <c r="E212" s="60" t="s">
        <v>1205</v>
      </c>
      <c r="F212" s="79">
        <f>VLOOKUP(C212,'Functional Assignment'!$C$2:$AP$780,'Functional Assignment'!$Y$2,)</f>
        <v>622640.91753283411</v>
      </c>
      <c r="G212" s="79">
        <f t="shared" si="96"/>
        <v>537298.58578275691</v>
      </c>
      <c r="H212" s="79">
        <f t="shared" si="96"/>
        <v>1326.2394574175535</v>
      </c>
      <c r="I212" s="79">
        <f t="shared" si="96"/>
        <v>64702.688148285553</v>
      </c>
      <c r="J212" s="79">
        <f t="shared" si="96"/>
        <v>0</v>
      </c>
      <c r="K212" s="79">
        <f t="shared" si="96"/>
        <v>3968.9432995814373</v>
      </c>
      <c r="L212" s="79">
        <f t="shared" si="96"/>
        <v>0</v>
      </c>
      <c r="M212" s="79">
        <f t="shared" si="96"/>
        <v>720.36374623434756</v>
      </c>
      <c r="N212" s="79">
        <f t="shared" si="96"/>
        <v>0</v>
      </c>
      <c r="O212" s="79">
        <f t="shared" si="96"/>
        <v>0</v>
      </c>
      <c r="P212" s="79">
        <f t="shared" si="96"/>
        <v>14424.394464475414</v>
      </c>
      <c r="Q212" s="79">
        <f t="shared" si="97"/>
        <v>25.517558799465345</v>
      </c>
      <c r="R212" s="79">
        <f t="shared" si="97"/>
        <v>158.49415403394624</v>
      </c>
      <c r="S212" s="79">
        <f t="shared" si="97"/>
        <v>1.426447386305516</v>
      </c>
      <c r="T212" s="79">
        <f t="shared" si="97"/>
        <v>14.264473863055162</v>
      </c>
      <c r="U212" s="79">
        <f t="shared" si="97"/>
        <v>0</v>
      </c>
      <c r="V212" s="79">
        <f t="shared" si="97"/>
        <v>0</v>
      </c>
      <c r="W212" s="79">
        <f t="shared" si="97"/>
        <v>0</v>
      </c>
      <c r="X212" s="63">
        <f t="shared" si="97"/>
        <v>0</v>
      </c>
      <c r="Y212" s="63">
        <f t="shared" si="97"/>
        <v>0</v>
      </c>
      <c r="Z212" s="63">
        <f t="shared" si="97"/>
        <v>0</v>
      </c>
      <c r="AA212" s="63">
        <f>SUM(G212:Z212)</f>
        <v>622640.91753283399</v>
      </c>
      <c r="AB212" s="58" t="str">
        <f>IF(ABS(F212-AA212)&lt;0.01,"ok","err")</f>
        <v>ok</v>
      </c>
    </row>
    <row r="213" spans="1:28">
      <c r="A213" s="44" t="s">
        <v>672</v>
      </c>
      <c r="D213" s="60" t="s">
        <v>454</v>
      </c>
      <c r="F213" s="76">
        <f>F211+F212</f>
        <v>1739670.1357907224</v>
      </c>
      <c r="G213" s="76">
        <f t="shared" ref="G213:W213" si="98">G211+G212</f>
        <v>1308742.1029574401</v>
      </c>
      <c r="H213" s="76">
        <f t="shared" si="98"/>
        <v>2928.967055576039</v>
      </c>
      <c r="I213" s="76">
        <f t="shared" si="98"/>
        <v>188096.00805219691</v>
      </c>
      <c r="J213" s="76">
        <f t="shared" si="98"/>
        <v>0</v>
      </c>
      <c r="K213" s="76">
        <f t="shared" si="98"/>
        <v>120839.62810966608</v>
      </c>
      <c r="L213" s="76">
        <f t="shared" si="98"/>
        <v>0</v>
      </c>
      <c r="M213" s="76">
        <f t="shared" si="98"/>
        <v>98209.013152281768</v>
      </c>
      <c r="N213" s="76">
        <f t="shared" si="98"/>
        <v>0</v>
      </c>
      <c r="O213" s="76">
        <f>O211+O212</f>
        <v>0</v>
      </c>
      <c r="P213" s="76">
        <f t="shared" si="98"/>
        <v>20342.628566207113</v>
      </c>
      <c r="Q213" s="76">
        <f t="shared" si="98"/>
        <v>231.64977329995611</v>
      </c>
      <c r="R213" s="76">
        <f t="shared" si="98"/>
        <v>253.11843185285153</v>
      </c>
      <c r="S213" s="76">
        <f t="shared" si="98"/>
        <v>11.724145386751356</v>
      </c>
      <c r="T213" s="76">
        <f t="shared" si="98"/>
        <v>15.295546814768963</v>
      </c>
      <c r="U213" s="76">
        <f t="shared" si="98"/>
        <v>0</v>
      </c>
      <c r="V213" s="76">
        <f t="shared" si="98"/>
        <v>0</v>
      </c>
      <c r="W213" s="76">
        <f t="shared" si="98"/>
        <v>0</v>
      </c>
      <c r="X213" s="62">
        <f>X211+X212</f>
        <v>0</v>
      </c>
      <c r="Y213" s="62">
        <f>Y211+Y212</f>
        <v>0</v>
      </c>
      <c r="Z213" s="62">
        <f>Z211+Z212</f>
        <v>0</v>
      </c>
      <c r="AA213" s="64">
        <f>SUM(G213:Z213)</f>
        <v>1739670.1357907224</v>
      </c>
      <c r="AB213" s="58" t="str">
        <f>IF(ABS(F213-AA213)&lt;0.01,"ok","err")</f>
        <v>ok</v>
      </c>
    </row>
    <row r="214" spans="1:28">
      <c r="A214" s="44"/>
      <c r="F214" s="79"/>
    </row>
    <row r="215" spans="1:28" ht="14.1">
      <c r="A215" s="45" t="s">
        <v>343</v>
      </c>
      <c r="F215" s="79"/>
    </row>
    <row r="216" spans="1:28">
      <c r="A216" s="458" t="s">
        <v>1017</v>
      </c>
      <c r="C216" s="60" t="s">
        <v>992</v>
      </c>
      <c r="D216" s="60" t="s">
        <v>455</v>
      </c>
      <c r="E216" s="60" t="s">
        <v>1019</v>
      </c>
      <c r="F216" s="76">
        <f>VLOOKUP(C216,'Functional Assignment'!$C$2:$AP$780,'Functional Assignment'!$Z$2,)</f>
        <v>332912.57849805721</v>
      </c>
      <c r="G216" s="76">
        <f t="shared" ref="G216:Z216" si="99">IF(VLOOKUP($E216,$D$6:$AN$1150,3,)=0,0,(VLOOKUP($E216,$D$6:$AN$1150,G$2,)/VLOOKUP($E216,$D$6:$AN$1150,3,))*$F216)</f>
        <v>286038.7915047197</v>
      </c>
      <c r="H216" s="76">
        <f t="shared" si="99"/>
        <v>706.04304884393491</v>
      </c>
      <c r="I216" s="76">
        <f t="shared" si="99"/>
        <v>40839.385534410423</v>
      </c>
      <c r="J216" s="76">
        <f t="shared" si="99"/>
        <v>0</v>
      </c>
      <c r="K216" s="76">
        <f t="shared" si="99"/>
        <v>4200.6917616619912</v>
      </c>
      <c r="L216" s="76">
        <f t="shared" si="99"/>
        <v>0</v>
      </c>
      <c r="M216" s="76">
        <f t="shared" si="99"/>
        <v>1126.1569101024461</v>
      </c>
      <c r="N216" s="76">
        <f t="shared" si="99"/>
        <v>0</v>
      </c>
      <c r="O216" s="76">
        <f t="shared" si="99"/>
        <v>0</v>
      </c>
      <c r="P216" s="76">
        <f t="shared" si="99"/>
        <v>0</v>
      </c>
      <c r="Q216" s="76">
        <f t="shared" si="99"/>
        <v>0</v>
      </c>
      <c r="R216" s="76">
        <f t="shared" si="99"/>
        <v>0</v>
      </c>
      <c r="S216" s="76">
        <f t="shared" si="99"/>
        <v>1.5097383186929834</v>
      </c>
      <c r="T216" s="76">
        <f t="shared" si="99"/>
        <v>0</v>
      </c>
      <c r="U216" s="76">
        <f t="shared" si="99"/>
        <v>0</v>
      </c>
      <c r="V216" s="76">
        <f t="shared" si="99"/>
        <v>0</v>
      </c>
      <c r="W216" s="76">
        <f t="shared" si="99"/>
        <v>0</v>
      </c>
      <c r="X216" s="62">
        <f t="shared" si="99"/>
        <v>0</v>
      </c>
      <c r="Y216" s="62">
        <f t="shared" si="99"/>
        <v>0</v>
      </c>
      <c r="Z216" s="62">
        <f t="shared" si="99"/>
        <v>0</v>
      </c>
      <c r="AA216" s="64">
        <f>SUM(G216:Z216)</f>
        <v>332912.57849805721</v>
      </c>
      <c r="AB216" s="58" t="str">
        <f>IF(ABS(F216-AA216)&lt;0.01,"ok","err")</f>
        <v>ok</v>
      </c>
    </row>
    <row r="217" spans="1:28">
      <c r="A217" s="44"/>
      <c r="F217" s="79"/>
    </row>
    <row r="218" spans="1:28" ht="14.1">
      <c r="A218" s="45" t="s">
        <v>342</v>
      </c>
      <c r="F218" s="79"/>
    </row>
    <row r="219" spans="1:28">
      <c r="A219" s="458" t="s">
        <v>1017</v>
      </c>
      <c r="C219" s="60" t="s">
        <v>992</v>
      </c>
      <c r="D219" s="60" t="s">
        <v>456</v>
      </c>
      <c r="E219" s="60" t="s">
        <v>1311</v>
      </c>
      <c r="F219" s="76">
        <f>VLOOKUP(C219,'Functional Assignment'!$C$2:$AP$780,'Functional Assignment'!$AA$2,)</f>
        <v>13918315.257724669</v>
      </c>
      <c r="G219" s="76">
        <f t="shared" ref="G219:Z219" si="100">IF(VLOOKUP($E219,$D$6:$AN$1150,3,)=0,0,(VLOOKUP($E219,$D$6:$AN$1150,G$2,)/VLOOKUP($E219,$D$6:$AN$1150,3,))*$F219)</f>
        <v>9490386.6033985782</v>
      </c>
      <c r="H219" s="76">
        <f t="shared" si="100"/>
        <v>23425.569157673526</v>
      </c>
      <c r="I219" s="76">
        <f t="shared" si="100"/>
        <v>2955977.5867227307</v>
      </c>
      <c r="J219" s="76">
        <f t="shared" si="100"/>
        <v>96619.783643228962</v>
      </c>
      <c r="K219" s="76">
        <f t="shared" si="100"/>
        <v>826631.87071168679</v>
      </c>
      <c r="L219" s="76">
        <f t="shared" si="100"/>
        <v>192988.0560503462</v>
      </c>
      <c r="M219" s="76">
        <f t="shared" si="100"/>
        <v>163420.00222412925</v>
      </c>
      <c r="N219" s="76">
        <f t="shared" si="100"/>
        <v>136383.57938523268</v>
      </c>
      <c r="O219" s="76">
        <f t="shared" si="100"/>
        <v>2933.0713048957518</v>
      </c>
      <c r="P219" s="76">
        <f t="shared" si="100"/>
        <v>0</v>
      </c>
      <c r="Q219" s="76">
        <f t="shared" si="100"/>
        <v>4056.4846833938559</v>
      </c>
      <c r="R219" s="76">
        <f t="shared" si="100"/>
        <v>25195.557039713392</v>
      </c>
      <c r="S219" s="76">
        <f t="shared" si="100"/>
        <v>297.09340305715051</v>
      </c>
      <c r="T219" s="76">
        <f t="shared" si="100"/>
        <v>0</v>
      </c>
      <c r="U219" s="76">
        <f t="shared" si="100"/>
        <v>0</v>
      </c>
      <c r="V219" s="76">
        <f t="shared" si="100"/>
        <v>0</v>
      </c>
      <c r="W219" s="76">
        <f t="shared" si="100"/>
        <v>0</v>
      </c>
      <c r="X219" s="62">
        <f t="shared" si="100"/>
        <v>0</v>
      </c>
      <c r="Y219" s="62">
        <f t="shared" si="100"/>
        <v>0</v>
      </c>
      <c r="Z219" s="62">
        <f t="shared" si="100"/>
        <v>0</v>
      </c>
      <c r="AA219" s="64">
        <f>SUM(G219:Z219)</f>
        <v>13918315.257724663</v>
      </c>
      <c r="AB219" s="58" t="str">
        <f>IF(ABS(F219-AA219)&lt;0.01,"ok","err")</f>
        <v>ok</v>
      </c>
    </row>
    <row r="220" spans="1:28">
      <c r="A220" s="44"/>
      <c r="F220" s="79"/>
    </row>
    <row r="221" spans="1:28" ht="14.1">
      <c r="A221" s="45" t="s">
        <v>358</v>
      </c>
      <c r="F221" s="79"/>
    </row>
    <row r="222" spans="1:28">
      <c r="A222" s="458" t="s">
        <v>1017</v>
      </c>
      <c r="C222" s="60" t="s">
        <v>992</v>
      </c>
      <c r="D222" s="60" t="s">
        <v>457</v>
      </c>
      <c r="E222" s="60" t="s">
        <v>1021</v>
      </c>
      <c r="F222" s="76">
        <f>VLOOKUP(C222,'Functional Assignment'!$C$2:$AP$780,'Functional Assignment'!$AB$2,)</f>
        <v>1673935.4718376463</v>
      </c>
      <c r="G222" s="76">
        <f t="shared" ref="G222:Z222" si="101">IF(VLOOKUP($E222,$D$6:$AN$1150,3,)=0,0,(VLOOKUP($E222,$D$6:$AN$1150,G$2,)/VLOOKUP($E222,$D$6:$AN$1150,3,))*$F222)</f>
        <v>0</v>
      </c>
      <c r="H222" s="76">
        <f t="shared" si="101"/>
        <v>0</v>
      </c>
      <c r="I222" s="76">
        <f t="shared" si="101"/>
        <v>0</v>
      </c>
      <c r="J222" s="76">
        <f t="shared" si="101"/>
        <v>0</v>
      </c>
      <c r="K222" s="76">
        <f t="shared" si="101"/>
        <v>0</v>
      </c>
      <c r="L222" s="76">
        <f t="shared" si="101"/>
        <v>0</v>
      </c>
      <c r="M222" s="76">
        <f t="shared" si="101"/>
        <v>0</v>
      </c>
      <c r="N222" s="76">
        <f t="shared" si="101"/>
        <v>0</v>
      </c>
      <c r="O222" s="76">
        <f t="shared" si="101"/>
        <v>0</v>
      </c>
      <c r="P222" s="76">
        <f t="shared" si="101"/>
        <v>1673935.4718376463</v>
      </c>
      <c r="Q222" s="76">
        <f t="shared" si="101"/>
        <v>0</v>
      </c>
      <c r="R222" s="76">
        <f t="shared" si="101"/>
        <v>0</v>
      </c>
      <c r="S222" s="76">
        <f t="shared" si="101"/>
        <v>0</v>
      </c>
      <c r="T222" s="76">
        <f t="shared" si="101"/>
        <v>0</v>
      </c>
      <c r="U222" s="76">
        <f t="shared" si="101"/>
        <v>0</v>
      </c>
      <c r="V222" s="76">
        <f t="shared" si="101"/>
        <v>0</v>
      </c>
      <c r="W222" s="76">
        <f t="shared" si="101"/>
        <v>0</v>
      </c>
      <c r="X222" s="62">
        <f t="shared" si="101"/>
        <v>0</v>
      </c>
      <c r="Y222" s="62">
        <f t="shared" si="101"/>
        <v>0</v>
      </c>
      <c r="Z222" s="62">
        <f t="shared" si="101"/>
        <v>0</v>
      </c>
      <c r="AA222" s="64">
        <f>SUM(G222:Z222)</f>
        <v>1673935.4718376463</v>
      </c>
      <c r="AB222" s="58" t="str">
        <f>IF(ABS(F222-AA222)&lt;0.01,"ok","err")</f>
        <v>ok</v>
      </c>
    </row>
    <row r="223" spans="1:28">
      <c r="A223" s="44"/>
      <c r="F223" s="79"/>
    </row>
    <row r="224" spans="1:28" ht="14.1">
      <c r="A224" s="45" t="s">
        <v>949</v>
      </c>
      <c r="F224" s="79"/>
    </row>
    <row r="225" spans="1:28">
      <c r="A225" s="458" t="s">
        <v>1017</v>
      </c>
      <c r="C225" s="60" t="s">
        <v>992</v>
      </c>
      <c r="D225" s="60" t="s">
        <v>458</v>
      </c>
      <c r="E225" s="60" t="s">
        <v>1022</v>
      </c>
      <c r="F225" s="76">
        <f>VLOOKUP(C225,'Functional Assignment'!$C$2:$AP$780,'Functional Assignment'!$AC$2,)</f>
        <v>22203327.895651627</v>
      </c>
      <c r="G225" s="76">
        <f t="shared" ref="G225:Z225" si="102">IF(VLOOKUP($E225,$D$6:$AN$1150,3,)=0,0,(VLOOKUP($E225,$D$6:$AN$1150,G$2,)/VLOOKUP($E225,$D$6:$AN$1150,3,))*$F225)</f>
        <v>16427773.803726453</v>
      </c>
      <c r="H225" s="76">
        <f t="shared" si="102"/>
        <v>40549.449398405006</v>
      </c>
      <c r="I225" s="76">
        <f t="shared" si="102"/>
        <v>3956537.9605255569</v>
      </c>
      <c r="J225" s="76">
        <f t="shared" si="102"/>
        <v>15264.648872752623</v>
      </c>
      <c r="K225" s="76">
        <f t="shared" si="102"/>
        <v>606747.38860844413</v>
      </c>
      <c r="L225" s="76">
        <f t="shared" si="102"/>
        <v>143481.72498161526</v>
      </c>
      <c r="M225" s="76">
        <f t="shared" si="102"/>
        <v>550623.6659036933</v>
      </c>
      <c r="N225" s="76">
        <f t="shared" si="102"/>
        <v>14174.316810413151</v>
      </c>
      <c r="O225" s="76">
        <f t="shared" si="102"/>
        <v>436.1328249357893</v>
      </c>
      <c r="P225" s="76">
        <f t="shared" si="102"/>
        <v>441022.35849534714</v>
      </c>
      <c r="Q225" s="76">
        <f t="shared" si="102"/>
        <v>780.19316460735627</v>
      </c>
      <c r="R225" s="76">
        <f t="shared" si="102"/>
        <v>4845.9202770643251</v>
      </c>
      <c r="S225" s="76">
        <f t="shared" si="102"/>
        <v>218.06641246789465</v>
      </c>
      <c r="T225" s="76">
        <f t="shared" si="102"/>
        <v>872.2656498715786</v>
      </c>
      <c r="U225" s="76">
        <f t="shared" si="102"/>
        <v>0</v>
      </c>
      <c r="V225" s="76">
        <f t="shared" si="102"/>
        <v>0</v>
      </c>
      <c r="W225" s="76">
        <f t="shared" si="102"/>
        <v>0</v>
      </c>
      <c r="X225" s="62">
        <f t="shared" si="102"/>
        <v>0</v>
      </c>
      <c r="Y225" s="62">
        <f t="shared" si="102"/>
        <v>0</v>
      </c>
      <c r="Z225" s="62">
        <f t="shared" si="102"/>
        <v>0</v>
      </c>
      <c r="AA225" s="64">
        <f>SUM(G225:Z225)</f>
        <v>22203327.895651624</v>
      </c>
      <c r="AB225" s="58" t="str">
        <f>IF(ABS(F225-AA225)&lt;0.01,"ok","err")</f>
        <v>ok</v>
      </c>
    </row>
    <row r="226" spans="1:28">
      <c r="A226" s="44"/>
      <c r="F226" s="79"/>
    </row>
    <row r="227" spans="1:28" ht="14.1">
      <c r="A227" s="45" t="s">
        <v>340</v>
      </c>
      <c r="F227" s="79"/>
    </row>
    <row r="228" spans="1:28">
      <c r="A228" s="458" t="s">
        <v>1017</v>
      </c>
      <c r="C228" s="60" t="s">
        <v>992</v>
      </c>
      <c r="D228" s="60" t="s">
        <v>459</v>
      </c>
      <c r="E228" s="60" t="s">
        <v>1402</v>
      </c>
      <c r="F228" s="76">
        <f>VLOOKUP(C228,'Functional Assignment'!$C$2:$AP$780,'Functional Assignment'!$AD$2,)</f>
        <v>4888693.2695076521</v>
      </c>
      <c r="G228" s="76">
        <f t="shared" ref="G228:Z228" si="103">IF(VLOOKUP($E228,$D$6:$AN$1150,3,)=0,0,(VLOOKUP($E228,$D$6:$AN$1150,G$2,)/VLOOKUP($E228,$D$6:$AN$1150,3,))*$F228)</f>
        <v>4187206.5784271793</v>
      </c>
      <c r="H228" s="76">
        <f t="shared" si="103"/>
        <v>10335.479615265142</v>
      </c>
      <c r="I228" s="76">
        <f t="shared" si="103"/>
        <v>504232.70900989242</v>
      </c>
      <c r="J228" s="76">
        <f t="shared" si="103"/>
        <v>778.14850558597459</v>
      </c>
      <c r="K228" s="76">
        <f t="shared" si="103"/>
        <v>30930.261000410032</v>
      </c>
      <c r="L228" s="76">
        <f t="shared" si="103"/>
        <v>1462.858278681234</v>
      </c>
      <c r="M228" s="76">
        <f t="shared" si="103"/>
        <v>5613.8465592620732</v>
      </c>
      <c r="N228" s="76">
        <f t="shared" si="103"/>
        <v>144.51329389453815</v>
      </c>
      <c r="O228" s="76">
        <f t="shared" si="103"/>
        <v>22.232814445313561</v>
      </c>
      <c r="P228" s="76">
        <f t="shared" si="103"/>
        <v>112410.34499186346</v>
      </c>
      <c r="Q228" s="76">
        <f t="shared" si="103"/>
        <v>198.86017364974907</v>
      </c>
      <c r="R228" s="76">
        <f t="shared" si="103"/>
        <v>1235.1563580729755</v>
      </c>
      <c r="S228" s="76">
        <f t="shared" si="103"/>
        <v>11.116407222656781</v>
      </c>
      <c r="T228" s="76">
        <f t="shared" si="103"/>
        <v>24111.164072226569</v>
      </c>
      <c r="U228" s="76">
        <f t="shared" si="103"/>
        <v>0</v>
      </c>
      <c r="V228" s="76">
        <f t="shared" si="103"/>
        <v>10000</v>
      </c>
      <c r="W228" s="76">
        <f t="shared" si="103"/>
        <v>0</v>
      </c>
      <c r="X228" s="62">
        <f t="shared" si="103"/>
        <v>0</v>
      </c>
      <c r="Y228" s="62">
        <f t="shared" si="103"/>
        <v>0</v>
      </c>
      <c r="Z228" s="62">
        <f t="shared" si="103"/>
        <v>0</v>
      </c>
      <c r="AA228" s="64">
        <f>SUM(G228:Z228)</f>
        <v>4888693.2695076521</v>
      </c>
      <c r="AB228" s="58" t="str">
        <f>IF(ABS(F228-AA228)&lt;0.01,"ok","err")</f>
        <v>ok</v>
      </c>
    </row>
    <row r="229" spans="1:28">
      <c r="A229" s="44"/>
      <c r="F229" s="79"/>
    </row>
    <row r="230" spans="1:28" ht="14.1">
      <c r="A230" s="45" t="s">
        <v>339</v>
      </c>
      <c r="F230" s="79"/>
    </row>
    <row r="231" spans="1:28">
      <c r="A231" s="458" t="s">
        <v>1017</v>
      </c>
      <c r="C231" s="60" t="s">
        <v>992</v>
      </c>
      <c r="D231" s="60" t="s">
        <v>460</v>
      </c>
      <c r="E231" s="60" t="s">
        <v>1023</v>
      </c>
      <c r="F231" s="76">
        <f>VLOOKUP(C231,'Functional Assignment'!$C$2:$AP$780,'Functional Assignment'!$AE$2,)</f>
        <v>0</v>
      </c>
      <c r="G231" s="76">
        <f t="shared" ref="G231:Z231" si="104">IF(VLOOKUP($E231,$D$6:$AN$1150,3,)=0,0,(VLOOKUP($E231,$D$6:$AN$1150,G$2,)/VLOOKUP($E231,$D$6:$AN$1150,3,))*$F231)</f>
        <v>0</v>
      </c>
      <c r="H231" s="76">
        <f t="shared" si="104"/>
        <v>0</v>
      </c>
      <c r="I231" s="76">
        <f t="shared" si="104"/>
        <v>0</v>
      </c>
      <c r="J231" s="76">
        <f t="shared" si="104"/>
        <v>0</v>
      </c>
      <c r="K231" s="76">
        <f t="shared" si="104"/>
        <v>0</v>
      </c>
      <c r="L231" s="76">
        <f t="shared" si="104"/>
        <v>0</v>
      </c>
      <c r="M231" s="76">
        <f t="shared" si="104"/>
        <v>0</v>
      </c>
      <c r="N231" s="76">
        <f t="shared" si="104"/>
        <v>0</v>
      </c>
      <c r="O231" s="76">
        <f t="shared" si="104"/>
        <v>0</v>
      </c>
      <c r="P231" s="76">
        <f t="shared" si="104"/>
        <v>0</v>
      </c>
      <c r="Q231" s="76">
        <f t="shared" si="104"/>
        <v>0</v>
      </c>
      <c r="R231" s="76">
        <f t="shared" si="104"/>
        <v>0</v>
      </c>
      <c r="S231" s="76">
        <f t="shared" si="104"/>
        <v>0</v>
      </c>
      <c r="T231" s="76">
        <f t="shared" si="104"/>
        <v>0</v>
      </c>
      <c r="U231" s="76">
        <f t="shared" si="104"/>
        <v>0</v>
      </c>
      <c r="V231" s="76">
        <f t="shared" si="104"/>
        <v>0</v>
      </c>
      <c r="W231" s="76">
        <f t="shared" si="104"/>
        <v>0</v>
      </c>
      <c r="X231" s="62">
        <f t="shared" si="104"/>
        <v>0</v>
      </c>
      <c r="Y231" s="62">
        <f t="shared" si="104"/>
        <v>0</v>
      </c>
      <c r="Z231" s="62">
        <f t="shared" si="104"/>
        <v>0</v>
      </c>
      <c r="AA231" s="64">
        <f>SUM(G231:Z231)</f>
        <v>0</v>
      </c>
      <c r="AB231" s="58" t="str">
        <f>IF(ABS(F231-AA231)&lt;0.01,"ok","err")</f>
        <v>ok</v>
      </c>
    </row>
    <row r="232" spans="1:28">
      <c r="A232" s="44"/>
      <c r="F232" s="79"/>
    </row>
    <row r="233" spans="1:28">
      <c r="A233" s="44" t="s">
        <v>846</v>
      </c>
      <c r="D233" s="60" t="s">
        <v>1030</v>
      </c>
      <c r="F233" s="76">
        <f>F188+F194+F197+F200+F208+F213+F216+F219+F222+F225+F228+F231</f>
        <v>643436661.24131227</v>
      </c>
      <c r="G233" s="76">
        <f t="shared" ref="G233:Z233" si="105">G188+G194+G197+G200+G208+G213+G216+G219+G222+G225+G228+G231</f>
        <v>278762508.12792587</v>
      </c>
      <c r="H233" s="76">
        <f t="shared" si="105"/>
        <v>447373.81769263884</v>
      </c>
      <c r="I233" s="76">
        <f t="shared" si="105"/>
        <v>73702756.869020075</v>
      </c>
      <c r="J233" s="76">
        <f t="shared" si="105"/>
        <v>5053917.4220187729</v>
      </c>
      <c r="K233" s="76">
        <f t="shared" si="105"/>
        <v>78024032.461141974</v>
      </c>
      <c r="L233" s="76">
        <f t="shared" si="105"/>
        <v>89077922.490978703</v>
      </c>
      <c r="M233" s="76">
        <f t="shared" si="105"/>
        <v>63823823.941072196</v>
      </c>
      <c r="N233" s="76">
        <f t="shared" si="105"/>
        <v>44243907.921961434</v>
      </c>
      <c r="O233" s="76">
        <f>O188+O194+O197+O200+O208+O213+O216+O219+O222+O225+O228+O231</f>
        <v>2539631.6668843967</v>
      </c>
      <c r="P233" s="76">
        <f t="shared" si="105"/>
        <v>7311625.9569701934</v>
      </c>
      <c r="Q233" s="76">
        <f t="shared" si="105"/>
        <v>159155.65324751954</v>
      </c>
      <c r="R233" s="76">
        <f t="shared" si="105"/>
        <v>179664.53677309287</v>
      </c>
      <c r="S233" s="76">
        <f t="shared" si="105"/>
        <v>1861.0365143014963</v>
      </c>
      <c r="T233" s="76">
        <f t="shared" si="105"/>
        <v>26576.339111232573</v>
      </c>
      <c r="U233" s="76">
        <f t="shared" si="105"/>
        <v>71903</v>
      </c>
      <c r="V233" s="76">
        <f t="shared" si="105"/>
        <v>10000</v>
      </c>
      <c r="W233" s="76">
        <f t="shared" si="105"/>
        <v>0</v>
      </c>
      <c r="X233" s="62">
        <f t="shared" si="105"/>
        <v>0</v>
      </c>
      <c r="Y233" s="62">
        <f t="shared" si="105"/>
        <v>0</v>
      </c>
      <c r="Z233" s="62">
        <f t="shared" si="105"/>
        <v>0</v>
      </c>
      <c r="AA233" s="64">
        <f>SUM(G233:Z233)</f>
        <v>643436661.24131238</v>
      </c>
      <c r="AB233" s="58" t="str">
        <f>IF(ABS(F233-AA233)&lt;0.01,"ok","err")</f>
        <v>ok</v>
      </c>
    </row>
    <row r="234" spans="1:28">
      <c r="A234" s="44"/>
    </row>
    <row r="235" spans="1:28">
      <c r="A235" s="44"/>
      <c r="F235" s="148"/>
      <c r="G235" s="148"/>
      <c r="J235" s="148"/>
      <c r="K235" s="148"/>
      <c r="N235" s="148"/>
      <c r="O235" s="148"/>
    </row>
    <row r="236" spans="1:28" ht="14.1">
      <c r="A236" s="45" t="s">
        <v>993</v>
      </c>
    </row>
    <row r="237" spans="1:28">
      <c r="A237" s="44"/>
    </row>
    <row r="238" spans="1:28" ht="14.1">
      <c r="A238" s="45" t="s">
        <v>352</v>
      </c>
    </row>
    <row r="239" spans="1:28">
      <c r="A239" s="458" t="s">
        <v>1441</v>
      </c>
      <c r="C239" s="60" t="s">
        <v>98</v>
      </c>
      <c r="D239" s="44" t="s">
        <v>1436</v>
      </c>
      <c r="E239" s="44" t="s">
        <v>1410</v>
      </c>
      <c r="F239" s="76">
        <f>VLOOKUP(C239,'Functional Assignment'!$C$2:$AP$780,'Functional Assignment'!$H$2,)</f>
        <v>24034851.784580022</v>
      </c>
      <c r="G239" s="76">
        <f t="shared" ref="G239:P244" si="106">IF(VLOOKUP($E239,$D$6:$AN$1150,3,)=0,0,(VLOOKUP($E239,$D$6:$AN$1150,G$2,)/VLOOKUP($E239,$D$6:$AN$1150,3,))*$F239)</f>
        <v>10525444.083005451</v>
      </c>
      <c r="H239" s="76">
        <f t="shared" si="106"/>
        <v>4008.0005740153961</v>
      </c>
      <c r="I239" s="76">
        <f t="shared" si="106"/>
        <v>2940719.7515118863</v>
      </c>
      <c r="J239" s="76">
        <f t="shared" si="106"/>
        <v>199275.62725468329</v>
      </c>
      <c r="K239" s="76">
        <f t="shared" si="106"/>
        <v>3278493.7996236286</v>
      </c>
      <c r="L239" s="76">
        <f t="shared" si="106"/>
        <v>2959396.6847797167</v>
      </c>
      <c r="M239" s="76">
        <f t="shared" si="106"/>
        <v>2517814.8610505424</v>
      </c>
      <c r="N239" s="76">
        <f t="shared" si="106"/>
        <v>1430504.4509801266</v>
      </c>
      <c r="O239" s="76">
        <f t="shared" si="106"/>
        <v>84916.324805983561</v>
      </c>
      <c r="P239" s="76">
        <f t="shared" si="106"/>
        <v>87030.426927361026</v>
      </c>
      <c r="Q239" s="76">
        <f t="shared" ref="Q239:Z244" si="107">IF(VLOOKUP($E239,$D$6:$AN$1150,3,)=0,0,(VLOOKUP($E239,$D$6:$AN$1150,Q$2,)/VLOOKUP($E239,$D$6:$AN$1150,3,))*$F239)</f>
        <v>3031.2715453771621</v>
      </c>
      <c r="R239" s="76">
        <f t="shared" si="107"/>
        <v>4174.4840545575371</v>
      </c>
      <c r="S239" s="76">
        <f t="shared" si="107"/>
        <v>4.1124301769259866</v>
      </c>
      <c r="T239" s="76">
        <f t="shared" si="107"/>
        <v>37.906036512922675</v>
      </c>
      <c r="U239" s="76">
        <f t="shared" si="107"/>
        <v>0</v>
      </c>
      <c r="V239" s="76">
        <f t="shared" si="107"/>
        <v>0</v>
      </c>
      <c r="W239" s="76">
        <f t="shared" si="107"/>
        <v>0</v>
      </c>
      <c r="X239" s="62">
        <f t="shared" si="107"/>
        <v>0</v>
      </c>
      <c r="Y239" s="62">
        <f t="shared" si="107"/>
        <v>0</v>
      </c>
      <c r="Z239" s="62">
        <f t="shared" si="107"/>
        <v>0</v>
      </c>
      <c r="AA239" s="64">
        <f t="shared" ref="AA239:AA245" si="108">SUM(G239:Z239)</f>
        <v>24034851.784580018</v>
      </c>
      <c r="AB239" s="58" t="str">
        <f t="shared" ref="AB239:AB245" si="109">IF(ABS(F239-AA239)&lt;0.01,"ok","err")</f>
        <v>ok</v>
      </c>
    </row>
    <row r="240" spans="1:28" hidden="1">
      <c r="A240" s="458" t="s">
        <v>1256</v>
      </c>
      <c r="C240" s="60" t="s">
        <v>98</v>
      </c>
      <c r="D240" s="44" t="s">
        <v>461</v>
      </c>
      <c r="E240" s="44" t="s">
        <v>1423</v>
      </c>
      <c r="F240" s="79">
        <f>VLOOKUP(C240,'Functional Assignment'!$C$2:$AP$780,'Functional Assignment'!$I$2,)</f>
        <v>0</v>
      </c>
      <c r="G240" s="79">
        <f t="shared" si="106"/>
        <v>0</v>
      </c>
      <c r="H240" s="79">
        <f t="shared" si="106"/>
        <v>0</v>
      </c>
      <c r="I240" s="79">
        <f t="shared" si="106"/>
        <v>0</v>
      </c>
      <c r="J240" s="79">
        <f t="shared" si="106"/>
        <v>0</v>
      </c>
      <c r="K240" s="79">
        <f t="shared" si="106"/>
        <v>0</v>
      </c>
      <c r="L240" s="79">
        <f t="shared" si="106"/>
        <v>0</v>
      </c>
      <c r="M240" s="79">
        <f t="shared" si="106"/>
        <v>0</v>
      </c>
      <c r="N240" s="79">
        <f t="shared" si="106"/>
        <v>0</v>
      </c>
      <c r="O240" s="79">
        <f t="shared" si="106"/>
        <v>0</v>
      </c>
      <c r="P240" s="79">
        <f t="shared" si="106"/>
        <v>0</v>
      </c>
      <c r="Q240" s="79">
        <f t="shared" si="107"/>
        <v>0</v>
      </c>
      <c r="R240" s="79">
        <f t="shared" si="107"/>
        <v>0</v>
      </c>
      <c r="S240" s="79">
        <f t="shared" si="107"/>
        <v>0</v>
      </c>
      <c r="T240" s="79">
        <f t="shared" si="107"/>
        <v>0</v>
      </c>
      <c r="U240" s="79">
        <f t="shared" si="107"/>
        <v>0</v>
      </c>
      <c r="V240" s="79">
        <f t="shared" si="107"/>
        <v>0</v>
      </c>
      <c r="W240" s="79">
        <f t="shared" si="107"/>
        <v>0</v>
      </c>
      <c r="X240" s="63">
        <f t="shared" si="107"/>
        <v>0</v>
      </c>
      <c r="Y240" s="63">
        <f t="shared" si="107"/>
        <v>0</v>
      </c>
      <c r="Z240" s="63">
        <f t="shared" si="107"/>
        <v>0</v>
      </c>
      <c r="AA240" s="63">
        <f t="shared" si="108"/>
        <v>0</v>
      </c>
      <c r="AB240" s="58" t="str">
        <f t="shared" si="109"/>
        <v>ok</v>
      </c>
    </row>
    <row r="241" spans="1:28" hidden="1">
      <c r="A241" s="458" t="s">
        <v>1256</v>
      </c>
      <c r="C241" s="60" t="s">
        <v>98</v>
      </c>
      <c r="D241" s="44" t="s">
        <v>462</v>
      </c>
      <c r="E241" s="44" t="s">
        <v>1423</v>
      </c>
      <c r="F241" s="79">
        <f>VLOOKUP(C241,'Functional Assignment'!$C$2:$AP$780,'Functional Assignment'!$J$2,)</f>
        <v>0</v>
      </c>
      <c r="G241" s="79">
        <f t="shared" si="106"/>
        <v>0</v>
      </c>
      <c r="H241" s="79">
        <f t="shared" si="106"/>
        <v>0</v>
      </c>
      <c r="I241" s="79">
        <f t="shared" si="106"/>
        <v>0</v>
      </c>
      <c r="J241" s="79">
        <f t="shared" si="106"/>
        <v>0</v>
      </c>
      <c r="K241" s="79">
        <f t="shared" si="106"/>
        <v>0</v>
      </c>
      <c r="L241" s="79">
        <f t="shared" si="106"/>
        <v>0</v>
      </c>
      <c r="M241" s="79">
        <f t="shared" si="106"/>
        <v>0</v>
      </c>
      <c r="N241" s="79">
        <f t="shared" si="106"/>
        <v>0</v>
      </c>
      <c r="O241" s="79">
        <f t="shared" si="106"/>
        <v>0</v>
      </c>
      <c r="P241" s="79">
        <f t="shared" si="106"/>
        <v>0</v>
      </c>
      <c r="Q241" s="79">
        <f t="shared" si="107"/>
        <v>0</v>
      </c>
      <c r="R241" s="79">
        <f t="shared" si="107"/>
        <v>0</v>
      </c>
      <c r="S241" s="79">
        <f t="shared" si="107"/>
        <v>0</v>
      </c>
      <c r="T241" s="79">
        <f t="shared" si="107"/>
        <v>0</v>
      </c>
      <c r="U241" s="79">
        <f t="shared" si="107"/>
        <v>0</v>
      </c>
      <c r="V241" s="79">
        <f t="shared" si="107"/>
        <v>0</v>
      </c>
      <c r="W241" s="79">
        <f t="shared" si="107"/>
        <v>0</v>
      </c>
      <c r="X241" s="63">
        <f t="shared" si="107"/>
        <v>0</v>
      </c>
      <c r="Y241" s="63">
        <f t="shared" si="107"/>
        <v>0</v>
      </c>
      <c r="Z241" s="63">
        <f t="shared" si="107"/>
        <v>0</v>
      </c>
      <c r="AA241" s="63">
        <f t="shared" si="108"/>
        <v>0</v>
      </c>
      <c r="AB241" s="58" t="str">
        <f t="shared" si="109"/>
        <v>ok</v>
      </c>
    </row>
    <row r="242" spans="1:28">
      <c r="A242" s="458" t="s">
        <v>1160</v>
      </c>
      <c r="C242" s="60" t="s">
        <v>98</v>
      </c>
      <c r="D242" s="44" t="s">
        <v>463</v>
      </c>
      <c r="E242" s="44" t="s">
        <v>1015</v>
      </c>
      <c r="F242" s="79">
        <f>VLOOKUP(C242,'Functional Assignment'!$C$2:$AP$780,'Functional Assignment'!$K$2,)</f>
        <v>20124089.731171191</v>
      </c>
      <c r="G242" s="79">
        <f t="shared" si="106"/>
        <v>7224227.751667141</v>
      </c>
      <c r="H242" s="79">
        <f t="shared" si="106"/>
        <v>9277.4165774817375</v>
      </c>
      <c r="I242" s="79">
        <f t="shared" si="106"/>
        <v>2138531.6274208105</v>
      </c>
      <c r="J242" s="79">
        <f t="shared" si="106"/>
        <v>181179.84983733916</v>
      </c>
      <c r="K242" s="79">
        <f t="shared" si="106"/>
        <v>2695517.8692508251</v>
      </c>
      <c r="L242" s="79">
        <f t="shared" si="106"/>
        <v>3484425.9562532841</v>
      </c>
      <c r="M242" s="79">
        <f t="shared" si="106"/>
        <v>2301175.0318318959</v>
      </c>
      <c r="N242" s="79">
        <f t="shared" si="106"/>
        <v>1802399.7689836032</v>
      </c>
      <c r="O242" s="79">
        <f t="shared" si="106"/>
        <v>98536.011826475486</v>
      </c>
      <c r="P242" s="79">
        <f t="shared" si="106"/>
        <v>176860.46825927831</v>
      </c>
      <c r="Q242" s="79">
        <f t="shared" si="107"/>
        <v>6160.0537174551673</v>
      </c>
      <c r="R242" s="79">
        <f t="shared" si="107"/>
        <v>5744.6895298269392</v>
      </c>
      <c r="S242" s="79">
        <f t="shared" si="107"/>
        <v>20.633422220671171</v>
      </c>
      <c r="T242" s="79">
        <f t="shared" si="107"/>
        <v>32.602593552142757</v>
      </c>
      <c r="U242" s="79">
        <f t="shared" si="107"/>
        <v>0</v>
      </c>
      <c r="V242" s="79">
        <f t="shared" si="107"/>
        <v>0</v>
      </c>
      <c r="W242" s="79">
        <f t="shared" si="107"/>
        <v>0</v>
      </c>
      <c r="X242" s="63">
        <f t="shared" si="107"/>
        <v>0</v>
      </c>
      <c r="Y242" s="63">
        <f t="shared" si="107"/>
        <v>0</v>
      </c>
      <c r="Z242" s="63">
        <f t="shared" si="107"/>
        <v>0</v>
      </c>
      <c r="AA242" s="63">
        <f t="shared" si="108"/>
        <v>20124089.731171191</v>
      </c>
      <c r="AB242" s="58" t="str">
        <f t="shared" si="109"/>
        <v>ok</v>
      </c>
    </row>
    <row r="243" spans="1:28" hidden="1">
      <c r="A243" s="458" t="s">
        <v>1161</v>
      </c>
      <c r="C243" s="60" t="s">
        <v>98</v>
      </c>
      <c r="D243" s="44" t="s">
        <v>464</v>
      </c>
      <c r="E243" s="44" t="s">
        <v>1015</v>
      </c>
      <c r="F243" s="79">
        <f>VLOOKUP(C243,'Functional Assignment'!$C$2:$AP$780,'Functional Assignment'!$L$2,)</f>
        <v>0</v>
      </c>
      <c r="G243" s="79">
        <f t="shared" si="106"/>
        <v>0</v>
      </c>
      <c r="H243" s="79">
        <f t="shared" si="106"/>
        <v>0</v>
      </c>
      <c r="I243" s="79">
        <f t="shared" si="106"/>
        <v>0</v>
      </c>
      <c r="J243" s="79">
        <f t="shared" si="106"/>
        <v>0</v>
      </c>
      <c r="K243" s="79">
        <f t="shared" si="106"/>
        <v>0</v>
      </c>
      <c r="L243" s="79">
        <f t="shared" si="106"/>
        <v>0</v>
      </c>
      <c r="M243" s="79">
        <f t="shared" si="106"/>
        <v>0</v>
      </c>
      <c r="N243" s="79">
        <f t="shared" si="106"/>
        <v>0</v>
      </c>
      <c r="O243" s="79">
        <f t="shared" si="106"/>
        <v>0</v>
      </c>
      <c r="P243" s="79">
        <f t="shared" si="106"/>
        <v>0</v>
      </c>
      <c r="Q243" s="79">
        <f t="shared" si="107"/>
        <v>0</v>
      </c>
      <c r="R243" s="79">
        <f t="shared" si="107"/>
        <v>0</v>
      </c>
      <c r="S243" s="79">
        <f t="shared" si="107"/>
        <v>0</v>
      </c>
      <c r="T243" s="79">
        <f t="shared" si="107"/>
        <v>0</v>
      </c>
      <c r="U243" s="79">
        <f t="shared" si="107"/>
        <v>0</v>
      </c>
      <c r="V243" s="79">
        <f t="shared" si="107"/>
        <v>0</v>
      </c>
      <c r="W243" s="79">
        <f t="shared" si="107"/>
        <v>0</v>
      </c>
      <c r="X243" s="63">
        <f t="shared" si="107"/>
        <v>0</v>
      </c>
      <c r="Y243" s="63">
        <f t="shared" si="107"/>
        <v>0</v>
      </c>
      <c r="Z243" s="63">
        <f t="shared" si="107"/>
        <v>0</v>
      </c>
      <c r="AA243" s="63">
        <f t="shared" si="108"/>
        <v>0</v>
      </c>
      <c r="AB243" s="58" t="str">
        <f t="shared" si="109"/>
        <v>ok</v>
      </c>
    </row>
    <row r="244" spans="1:28" hidden="1">
      <c r="A244" s="458" t="s">
        <v>1161</v>
      </c>
      <c r="C244" s="60" t="s">
        <v>98</v>
      </c>
      <c r="D244" s="44" t="s">
        <v>465</v>
      </c>
      <c r="E244" s="44" t="s">
        <v>1015</v>
      </c>
      <c r="F244" s="79">
        <f>VLOOKUP(C244,'Functional Assignment'!$C$2:$AP$780,'Functional Assignment'!$M$2,)</f>
        <v>0</v>
      </c>
      <c r="G244" s="79">
        <f t="shared" si="106"/>
        <v>0</v>
      </c>
      <c r="H244" s="79">
        <f t="shared" si="106"/>
        <v>0</v>
      </c>
      <c r="I244" s="79">
        <f t="shared" si="106"/>
        <v>0</v>
      </c>
      <c r="J244" s="79">
        <f t="shared" si="106"/>
        <v>0</v>
      </c>
      <c r="K244" s="79">
        <f t="shared" si="106"/>
        <v>0</v>
      </c>
      <c r="L244" s="79">
        <f t="shared" si="106"/>
        <v>0</v>
      </c>
      <c r="M244" s="79">
        <f t="shared" si="106"/>
        <v>0</v>
      </c>
      <c r="N244" s="79">
        <f t="shared" si="106"/>
        <v>0</v>
      </c>
      <c r="O244" s="79">
        <f t="shared" si="106"/>
        <v>0</v>
      </c>
      <c r="P244" s="79">
        <f t="shared" si="106"/>
        <v>0</v>
      </c>
      <c r="Q244" s="79">
        <f t="shared" si="107"/>
        <v>0</v>
      </c>
      <c r="R244" s="79">
        <f t="shared" si="107"/>
        <v>0</v>
      </c>
      <c r="S244" s="79">
        <f t="shared" si="107"/>
        <v>0</v>
      </c>
      <c r="T244" s="79">
        <f t="shared" si="107"/>
        <v>0</v>
      </c>
      <c r="U244" s="79">
        <f t="shared" si="107"/>
        <v>0</v>
      </c>
      <c r="V244" s="79">
        <f t="shared" si="107"/>
        <v>0</v>
      </c>
      <c r="W244" s="79">
        <f t="shared" si="107"/>
        <v>0</v>
      </c>
      <c r="X244" s="63">
        <f t="shared" si="107"/>
        <v>0</v>
      </c>
      <c r="Y244" s="63">
        <f t="shared" si="107"/>
        <v>0</v>
      </c>
      <c r="Z244" s="63">
        <f t="shared" si="107"/>
        <v>0</v>
      </c>
      <c r="AA244" s="63">
        <f t="shared" si="108"/>
        <v>0</v>
      </c>
      <c r="AB244" s="58" t="str">
        <f t="shared" si="109"/>
        <v>ok</v>
      </c>
    </row>
    <row r="245" spans="1:28">
      <c r="A245" s="44" t="s">
        <v>374</v>
      </c>
      <c r="D245" s="44" t="s">
        <v>1031</v>
      </c>
      <c r="E245" s="44"/>
      <c r="F245" s="76">
        <f>SUM(F239:F244)</f>
        <v>44158941.515751213</v>
      </c>
      <c r="G245" s="76">
        <f t="shared" ref="G245:P245" si="110">SUM(G239:G244)</f>
        <v>17749671.834672593</v>
      </c>
      <c r="H245" s="76">
        <f t="shared" si="110"/>
        <v>13285.417151497133</v>
      </c>
      <c r="I245" s="76">
        <f t="shared" si="110"/>
        <v>5079251.3789326968</v>
      </c>
      <c r="J245" s="76">
        <f t="shared" si="110"/>
        <v>380455.47709202243</v>
      </c>
      <c r="K245" s="76">
        <f t="shared" si="110"/>
        <v>5974011.6688744538</v>
      </c>
      <c r="L245" s="76">
        <f t="shared" si="110"/>
        <v>6443822.6410330012</v>
      </c>
      <c r="M245" s="76">
        <f t="shared" si="110"/>
        <v>4818989.8928824384</v>
      </c>
      <c r="N245" s="76">
        <f t="shared" si="110"/>
        <v>3232904.2199637298</v>
      </c>
      <c r="O245" s="76">
        <f>SUM(O239:O244)</f>
        <v>183452.33663245905</v>
      </c>
      <c r="P245" s="76">
        <f t="shared" si="110"/>
        <v>263890.89518663933</v>
      </c>
      <c r="Q245" s="76">
        <f t="shared" ref="Q245:W245" si="111">SUM(Q239:Q244)</f>
        <v>9191.3252628323298</v>
      </c>
      <c r="R245" s="76">
        <f t="shared" si="111"/>
        <v>9919.1735843844763</v>
      </c>
      <c r="S245" s="76">
        <f t="shared" si="111"/>
        <v>24.745852397597158</v>
      </c>
      <c r="T245" s="76">
        <f t="shared" si="111"/>
        <v>70.508630065065432</v>
      </c>
      <c r="U245" s="76">
        <f t="shared" si="111"/>
        <v>0</v>
      </c>
      <c r="V245" s="76">
        <f t="shared" si="111"/>
        <v>0</v>
      </c>
      <c r="W245" s="76">
        <f t="shared" si="111"/>
        <v>0</v>
      </c>
      <c r="X245" s="62">
        <f>SUM(X239:X244)</f>
        <v>0</v>
      </c>
      <c r="Y245" s="62">
        <f>SUM(Y239:Y244)</f>
        <v>0</v>
      </c>
      <c r="Z245" s="62">
        <f>SUM(Z239:Z244)</f>
        <v>0</v>
      </c>
      <c r="AA245" s="64">
        <f t="shared" si="108"/>
        <v>44158941.515751205</v>
      </c>
      <c r="AB245" s="58" t="str">
        <f t="shared" si="109"/>
        <v>ok</v>
      </c>
    </row>
    <row r="246" spans="1:28">
      <c r="A246" s="44"/>
      <c r="F246" s="79"/>
      <c r="G246" s="79"/>
    </row>
    <row r="247" spans="1:28" ht="14.1">
      <c r="A247" s="45" t="s">
        <v>1055</v>
      </c>
      <c r="F247" s="79"/>
      <c r="G247" s="79"/>
    </row>
    <row r="248" spans="1:28">
      <c r="A248" s="458" t="s">
        <v>1225</v>
      </c>
      <c r="C248" s="60" t="s">
        <v>98</v>
      </c>
      <c r="D248" s="60" t="s">
        <v>466</v>
      </c>
      <c r="E248" s="60" t="s">
        <v>1229</v>
      </c>
      <c r="F248" s="76">
        <f>VLOOKUP(C248,'Functional Assignment'!$C$2:$AP$780,'Functional Assignment'!$N$2,)</f>
        <v>5515515.3771884199</v>
      </c>
      <c r="G248" s="76">
        <f t="shared" ref="G248:P250" si="112">IF(VLOOKUP($E248,$D$6:$AN$1150,3,)=0,0,(VLOOKUP($E248,$D$6:$AN$1150,G$2,)/VLOOKUP($E248,$D$6:$AN$1150,3,))*$F248)</f>
        <v>2603847.1830585604</v>
      </c>
      <c r="H248" s="76">
        <f t="shared" si="112"/>
        <v>9534.9837800203459</v>
      </c>
      <c r="I248" s="76">
        <f t="shared" si="112"/>
        <v>636565.55085731181</v>
      </c>
      <c r="J248" s="76">
        <f t="shared" si="112"/>
        <v>41786.160498504003</v>
      </c>
      <c r="K248" s="76">
        <f t="shared" si="112"/>
        <v>708301.17131933407</v>
      </c>
      <c r="L248" s="76">
        <f t="shared" si="112"/>
        <v>593998.45076575363</v>
      </c>
      <c r="M248" s="76">
        <f t="shared" si="112"/>
        <v>562361.84082549217</v>
      </c>
      <c r="N248" s="76">
        <f t="shared" si="112"/>
        <v>293261.81316736335</v>
      </c>
      <c r="O248" s="76">
        <f t="shared" si="112"/>
        <v>18845.208875424156</v>
      </c>
      <c r="P248" s="76">
        <f t="shared" si="112"/>
        <v>44658.067527564024</v>
      </c>
      <c r="Q248" s="76">
        <f t="shared" ref="Q248:Z250" si="113">IF(VLOOKUP($E248,$D$6:$AN$1150,3,)=0,0,(VLOOKUP($E248,$D$6:$AN$1150,Q$2,)/VLOOKUP($E248,$D$6:$AN$1150,3,))*$F248)</f>
        <v>1555.4414030488708</v>
      </c>
      <c r="R248" s="76">
        <f t="shared" si="113"/>
        <v>714.01997892364261</v>
      </c>
      <c r="S248" s="76">
        <f t="shared" si="113"/>
        <v>77.704816128819559</v>
      </c>
      <c r="T248" s="76">
        <f t="shared" si="113"/>
        <v>7.7803149912583729</v>
      </c>
      <c r="U248" s="76">
        <f t="shared" si="113"/>
        <v>0</v>
      </c>
      <c r="V248" s="76">
        <f t="shared" si="113"/>
        <v>0</v>
      </c>
      <c r="W248" s="76">
        <f t="shared" si="113"/>
        <v>0</v>
      </c>
      <c r="X248" s="62">
        <f t="shared" si="113"/>
        <v>0</v>
      </c>
      <c r="Y248" s="62">
        <f t="shared" si="113"/>
        <v>0</v>
      </c>
      <c r="Z248" s="62">
        <f t="shared" si="113"/>
        <v>0</v>
      </c>
      <c r="AA248" s="64">
        <f>SUM(G248:Z248)</f>
        <v>5515515.3771884218</v>
      </c>
      <c r="AB248" s="58" t="str">
        <f>IF(ABS(F248-AA248)&lt;0.01,"ok","err")</f>
        <v>ok</v>
      </c>
    </row>
    <row r="249" spans="1:28" hidden="1">
      <c r="A249" s="458" t="s">
        <v>1226</v>
      </c>
      <c r="C249" s="60" t="s">
        <v>98</v>
      </c>
      <c r="D249" s="60" t="s">
        <v>467</v>
      </c>
      <c r="E249" s="60" t="s">
        <v>1229</v>
      </c>
      <c r="F249" s="79">
        <f>VLOOKUP(C249,'Functional Assignment'!$C$2:$AP$780,'Functional Assignment'!$O$2,)</f>
        <v>0</v>
      </c>
      <c r="G249" s="79">
        <f t="shared" si="112"/>
        <v>0</v>
      </c>
      <c r="H249" s="79">
        <f t="shared" si="112"/>
        <v>0</v>
      </c>
      <c r="I249" s="79">
        <f t="shared" si="112"/>
        <v>0</v>
      </c>
      <c r="J249" s="79">
        <f t="shared" si="112"/>
        <v>0</v>
      </c>
      <c r="K249" s="79">
        <f t="shared" si="112"/>
        <v>0</v>
      </c>
      <c r="L249" s="79">
        <f t="shared" si="112"/>
        <v>0</v>
      </c>
      <c r="M249" s="79">
        <f t="shared" si="112"/>
        <v>0</v>
      </c>
      <c r="N249" s="79">
        <f t="shared" si="112"/>
        <v>0</v>
      </c>
      <c r="O249" s="79">
        <f t="shared" si="112"/>
        <v>0</v>
      </c>
      <c r="P249" s="79">
        <f t="shared" si="112"/>
        <v>0</v>
      </c>
      <c r="Q249" s="79">
        <f t="shared" si="113"/>
        <v>0</v>
      </c>
      <c r="R249" s="79">
        <f t="shared" si="113"/>
        <v>0</v>
      </c>
      <c r="S249" s="79">
        <f t="shared" si="113"/>
        <v>0</v>
      </c>
      <c r="T249" s="79">
        <f t="shared" si="113"/>
        <v>0</v>
      </c>
      <c r="U249" s="79">
        <f t="shared" si="113"/>
        <v>0</v>
      </c>
      <c r="V249" s="79">
        <f t="shared" si="113"/>
        <v>0</v>
      </c>
      <c r="W249" s="79">
        <f t="shared" si="113"/>
        <v>0</v>
      </c>
      <c r="X249" s="63">
        <f t="shared" si="113"/>
        <v>0</v>
      </c>
      <c r="Y249" s="63">
        <f t="shared" si="113"/>
        <v>0</v>
      </c>
      <c r="Z249" s="63">
        <f t="shared" si="113"/>
        <v>0</v>
      </c>
      <c r="AA249" s="63">
        <f>SUM(G249:Z249)</f>
        <v>0</v>
      </c>
      <c r="AB249" s="58" t="str">
        <f>IF(ABS(F249-AA249)&lt;0.01,"ok","err")</f>
        <v>ok</v>
      </c>
    </row>
    <row r="250" spans="1:28" hidden="1">
      <c r="A250" s="458" t="s">
        <v>1226</v>
      </c>
      <c r="C250" s="60" t="s">
        <v>98</v>
      </c>
      <c r="D250" s="60" t="s">
        <v>468</v>
      </c>
      <c r="E250" s="60" t="s">
        <v>1229</v>
      </c>
      <c r="F250" s="79">
        <f>VLOOKUP(C250,'Functional Assignment'!$C$2:$AP$780,'Functional Assignment'!$P$2,)</f>
        <v>0</v>
      </c>
      <c r="G250" s="79">
        <f t="shared" si="112"/>
        <v>0</v>
      </c>
      <c r="H250" s="79">
        <f t="shared" si="112"/>
        <v>0</v>
      </c>
      <c r="I250" s="79">
        <f t="shared" si="112"/>
        <v>0</v>
      </c>
      <c r="J250" s="79">
        <f t="shared" si="112"/>
        <v>0</v>
      </c>
      <c r="K250" s="79">
        <f t="shared" si="112"/>
        <v>0</v>
      </c>
      <c r="L250" s="79">
        <f t="shared" si="112"/>
        <v>0</v>
      </c>
      <c r="M250" s="79">
        <f t="shared" si="112"/>
        <v>0</v>
      </c>
      <c r="N250" s="79">
        <f t="shared" si="112"/>
        <v>0</v>
      </c>
      <c r="O250" s="79">
        <f t="shared" si="112"/>
        <v>0</v>
      </c>
      <c r="P250" s="79">
        <f t="shared" si="112"/>
        <v>0</v>
      </c>
      <c r="Q250" s="79">
        <f t="shared" si="113"/>
        <v>0</v>
      </c>
      <c r="R250" s="79">
        <f t="shared" si="113"/>
        <v>0</v>
      </c>
      <c r="S250" s="79">
        <f t="shared" si="113"/>
        <v>0</v>
      </c>
      <c r="T250" s="79">
        <f t="shared" si="113"/>
        <v>0</v>
      </c>
      <c r="U250" s="79">
        <f t="shared" si="113"/>
        <v>0</v>
      </c>
      <c r="V250" s="79">
        <f t="shared" si="113"/>
        <v>0</v>
      </c>
      <c r="W250" s="79">
        <f t="shared" si="113"/>
        <v>0</v>
      </c>
      <c r="X250" s="63">
        <f t="shared" si="113"/>
        <v>0</v>
      </c>
      <c r="Y250" s="63">
        <f t="shared" si="113"/>
        <v>0</v>
      </c>
      <c r="Z250" s="63">
        <f t="shared" si="113"/>
        <v>0</v>
      </c>
      <c r="AA250" s="63">
        <f>SUM(G250:Z250)</f>
        <v>0</v>
      </c>
      <c r="AB250" s="58" t="str">
        <f>IF(ABS(F250-AA250)&lt;0.01,"ok","err")</f>
        <v>ok</v>
      </c>
    </row>
    <row r="251" spans="1:28" hidden="1">
      <c r="A251" s="44" t="s">
        <v>1057</v>
      </c>
      <c r="D251" s="60" t="s">
        <v>469</v>
      </c>
      <c r="F251" s="76">
        <f>SUM(F248:F250)</f>
        <v>5515515.3771884199</v>
      </c>
      <c r="G251" s="76">
        <f t="shared" ref="G251:W251" si="114">SUM(G248:G250)</f>
        <v>2603847.1830585604</v>
      </c>
      <c r="H251" s="76">
        <f t="shared" si="114"/>
        <v>9534.9837800203459</v>
      </c>
      <c r="I251" s="76">
        <f t="shared" si="114"/>
        <v>636565.55085731181</v>
      </c>
      <c r="J251" s="76">
        <f t="shared" si="114"/>
        <v>41786.160498504003</v>
      </c>
      <c r="K251" s="76">
        <f t="shared" si="114"/>
        <v>708301.17131933407</v>
      </c>
      <c r="L251" s="76">
        <f t="shared" si="114"/>
        <v>593998.45076575363</v>
      </c>
      <c r="M251" s="76">
        <f t="shared" si="114"/>
        <v>562361.84082549217</v>
      </c>
      <c r="N251" s="76">
        <f t="shared" si="114"/>
        <v>293261.81316736335</v>
      </c>
      <c r="O251" s="76">
        <f>SUM(O248:O250)</f>
        <v>18845.208875424156</v>
      </c>
      <c r="P251" s="76">
        <f t="shared" si="114"/>
        <v>44658.067527564024</v>
      </c>
      <c r="Q251" s="76">
        <f t="shared" si="114"/>
        <v>1555.4414030488708</v>
      </c>
      <c r="R251" s="76">
        <f t="shared" si="114"/>
        <v>714.01997892364261</v>
      </c>
      <c r="S251" s="76">
        <f t="shared" si="114"/>
        <v>77.704816128819559</v>
      </c>
      <c r="T251" s="76">
        <f t="shared" si="114"/>
        <v>7.7803149912583729</v>
      </c>
      <c r="U251" s="76">
        <f t="shared" si="114"/>
        <v>0</v>
      </c>
      <c r="V251" s="76">
        <f t="shared" si="114"/>
        <v>0</v>
      </c>
      <c r="W251" s="76">
        <f t="shared" si="114"/>
        <v>0</v>
      </c>
      <c r="X251" s="62">
        <f>SUM(X248:X250)</f>
        <v>0</v>
      </c>
      <c r="Y251" s="62">
        <f>SUM(Y248:Y250)</f>
        <v>0</v>
      </c>
      <c r="Z251" s="62">
        <f>SUM(Z248:Z250)</f>
        <v>0</v>
      </c>
      <c r="AA251" s="64">
        <f>SUM(G251:Z251)</f>
        <v>5515515.3771884218</v>
      </c>
      <c r="AB251" s="58" t="str">
        <f>IF(ABS(F251-AA251)&lt;0.01,"ok","err")</f>
        <v>ok</v>
      </c>
    </row>
    <row r="252" spans="1:28">
      <c r="A252" s="44"/>
      <c r="F252" s="79"/>
      <c r="G252" s="79"/>
    </row>
    <row r="253" spans="1:28" ht="14.1">
      <c r="A253" s="45" t="s">
        <v>337</v>
      </c>
      <c r="F253" s="79"/>
      <c r="G253" s="79"/>
    </row>
    <row r="254" spans="1:28">
      <c r="A254" s="458" t="s">
        <v>359</v>
      </c>
      <c r="C254" s="60" t="s">
        <v>98</v>
      </c>
      <c r="D254" s="60" t="s">
        <v>470</v>
      </c>
      <c r="E254" s="60" t="s">
        <v>1230</v>
      </c>
      <c r="F254" s="76">
        <f>VLOOKUP(C254,'Functional Assignment'!$C$2:$AP$780,'Functional Assignment'!$Q$2,)</f>
        <v>0</v>
      </c>
      <c r="G254" s="76">
        <f t="shared" ref="G254:Z254" si="115">IF(VLOOKUP($E254,$D$6:$AN$1150,3,)=0,0,(VLOOKUP($E254,$D$6:$AN$1150,G$2,)/VLOOKUP($E254,$D$6:$AN$1150,3,))*$F254)</f>
        <v>0</v>
      </c>
      <c r="H254" s="76">
        <f t="shared" si="115"/>
        <v>0</v>
      </c>
      <c r="I254" s="76">
        <f t="shared" si="115"/>
        <v>0</v>
      </c>
      <c r="J254" s="76">
        <f t="shared" si="115"/>
        <v>0</v>
      </c>
      <c r="K254" s="76">
        <f t="shared" si="115"/>
        <v>0</v>
      </c>
      <c r="L254" s="76">
        <f t="shared" si="115"/>
        <v>0</v>
      </c>
      <c r="M254" s="76">
        <f t="shared" si="115"/>
        <v>0</v>
      </c>
      <c r="N254" s="76">
        <f t="shared" si="115"/>
        <v>0</v>
      </c>
      <c r="O254" s="76">
        <f t="shared" si="115"/>
        <v>0</v>
      </c>
      <c r="P254" s="76">
        <f t="shared" si="115"/>
        <v>0</v>
      </c>
      <c r="Q254" s="76">
        <f t="shared" si="115"/>
        <v>0</v>
      </c>
      <c r="R254" s="76">
        <f t="shared" si="115"/>
        <v>0</v>
      </c>
      <c r="S254" s="76">
        <f t="shared" si="115"/>
        <v>0</v>
      </c>
      <c r="T254" s="76">
        <f t="shared" si="115"/>
        <v>0</v>
      </c>
      <c r="U254" s="76">
        <f t="shared" si="115"/>
        <v>0</v>
      </c>
      <c r="V254" s="76">
        <f t="shared" si="115"/>
        <v>0</v>
      </c>
      <c r="W254" s="76">
        <f t="shared" si="115"/>
        <v>0</v>
      </c>
      <c r="X254" s="62">
        <f t="shared" si="115"/>
        <v>0</v>
      </c>
      <c r="Y254" s="62">
        <f t="shared" si="115"/>
        <v>0</v>
      </c>
      <c r="Z254" s="62">
        <f t="shared" si="115"/>
        <v>0</v>
      </c>
      <c r="AA254" s="64">
        <f>SUM(G254:Z254)</f>
        <v>0</v>
      </c>
      <c r="AB254" s="58" t="str">
        <f>IF(ABS(F254-AA254)&lt;0.01,"ok","err")</f>
        <v>ok</v>
      </c>
    </row>
    <row r="255" spans="1:28">
      <c r="A255" s="44"/>
      <c r="F255" s="79"/>
    </row>
    <row r="256" spans="1:28" ht="14.1">
      <c r="A256" s="45" t="s">
        <v>338</v>
      </c>
      <c r="F256" s="79"/>
      <c r="G256" s="79"/>
    </row>
    <row r="257" spans="1:28">
      <c r="A257" s="458" t="s">
        <v>361</v>
      </c>
      <c r="C257" s="60" t="s">
        <v>98</v>
      </c>
      <c r="D257" s="60" t="s">
        <v>471</v>
      </c>
      <c r="E257" s="60" t="s">
        <v>1230</v>
      </c>
      <c r="F257" s="76">
        <f>VLOOKUP(C257,'Functional Assignment'!$C$2:$AP$780,'Functional Assignment'!$R$2,)</f>
        <v>2294468.860985558</v>
      </c>
      <c r="G257" s="76">
        <f t="shared" ref="G257:Z257" si="116">IF(VLOOKUP($E257,$D$6:$AN$1150,3,)=0,0,(VLOOKUP($E257,$D$6:$AN$1150,G$2,)/VLOOKUP($E257,$D$6:$AN$1150,3,))*$F257)</f>
        <v>1144036.0386661491</v>
      </c>
      <c r="H257" s="76">
        <f t="shared" si="116"/>
        <v>4189.3261414931258</v>
      </c>
      <c r="I257" s="76">
        <f t="shared" si="116"/>
        <v>279683.82165143208</v>
      </c>
      <c r="J257" s="76">
        <f t="shared" si="116"/>
        <v>18359.323787820507</v>
      </c>
      <c r="K257" s="76">
        <f t="shared" si="116"/>
        <v>311201.85220199241</v>
      </c>
      <c r="L257" s="76">
        <f t="shared" si="116"/>
        <v>260981.38132271462</v>
      </c>
      <c r="M257" s="76">
        <f t="shared" si="116"/>
        <v>247081.40203500204</v>
      </c>
      <c r="N257" s="76">
        <f t="shared" si="116"/>
        <v>0</v>
      </c>
      <c r="O257" s="76">
        <f t="shared" si="116"/>
        <v>8279.9014665491359</v>
      </c>
      <c r="P257" s="76">
        <f t="shared" si="116"/>
        <v>19621.135603168277</v>
      </c>
      <c r="Q257" s="76">
        <f t="shared" si="116"/>
        <v>683.40455334675721</v>
      </c>
      <c r="R257" s="76">
        <f t="shared" si="116"/>
        <v>313.71448890359864</v>
      </c>
      <c r="S257" s="76">
        <f t="shared" si="116"/>
        <v>34.140678687938554</v>
      </c>
      <c r="T257" s="76">
        <f t="shared" si="116"/>
        <v>3.418388298701438</v>
      </c>
      <c r="U257" s="76">
        <f t="shared" si="116"/>
        <v>0</v>
      </c>
      <c r="V257" s="76">
        <f t="shared" si="116"/>
        <v>0</v>
      </c>
      <c r="W257" s="76">
        <f t="shared" si="116"/>
        <v>0</v>
      </c>
      <c r="X257" s="62">
        <f t="shared" si="116"/>
        <v>0</v>
      </c>
      <c r="Y257" s="62">
        <f t="shared" si="116"/>
        <v>0</v>
      </c>
      <c r="Z257" s="62">
        <f t="shared" si="116"/>
        <v>0</v>
      </c>
      <c r="AA257" s="64">
        <f>SUM(G257:Z257)</f>
        <v>2294468.860985558</v>
      </c>
      <c r="AB257" s="58" t="str">
        <f>IF(ABS(F257-AA257)&lt;0.01,"ok","err")</f>
        <v>ok</v>
      </c>
    </row>
    <row r="258" spans="1:28">
      <c r="A258" s="44"/>
      <c r="F258" s="79"/>
    </row>
    <row r="259" spans="1:28" ht="14.1">
      <c r="A259" s="45" t="s">
        <v>360</v>
      </c>
      <c r="F259" s="79"/>
    </row>
    <row r="260" spans="1:28">
      <c r="A260" s="458" t="s">
        <v>603</v>
      </c>
      <c r="C260" s="60" t="s">
        <v>98</v>
      </c>
      <c r="D260" s="60" t="s">
        <v>472</v>
      </c>
      <c r="E260" s="60" t="s">
        <v>1230</v>
      </c>
      <c r="F260" s="76">
        <f>VLOOKUP(C260,'Functional Assignment'!$C$2:$AP$780,'Functional Assignment'!$S$2,)</f>
        <v>0</v>
      </c>
      <c r="G260" s="76">
        <f t="shared" ref="G260:P264" si="117">IF(VLOOKUP($E260,$D$6:$AN$1150,3,)=0,0,(VLOOKUP($E260,$D$6:$AN$1150,G$2,)/VLOOKUP($E260,$D$6:$AN$1150,3,))*$F260)</f>
        <v>0</v>
      </c>
      <c r="H260" s="76">
        <f t="shared" si="117"/>
        <v>0</v>
      </c>
      <c r="I260" s="76">
        <f t="shared" si="117"/>
        <v>0</v>
      </c>
      <c r="J260" s="76">
        <f t="shared" si="117"/>
        <v>0</v>
      </c>
      <c r="K260" s="76">
        <f t="shared" si="117"/>
        <v>0</v>
      </c>
      <c r="L260" s="76">
        <f t="shared" si="117"/>
        <v>0</v>
      </c>
      <c r="M260" s="76">
        <f t="shared" si="117"/>
        <v>0</v>
      </c>
      <c r="N260" s="76">
        <f t="shared" si="117"/>
        <v>0</v>
      </c>
      <c r="O260" s="76">
        <f t="shared" si="117"/>
        <v>0</v>
      </c>
      <c r="P260" s="76">
        <f t="shared" si="117"/>
        <v>0</v>
      </c>
      <c r="Q260" s="76">
        <f t="shared" ref="Q260:Z264" si="118">IF(VLOOKUP($E260,$D$6:$AN$1150,3,)=0,0,(VLOOKUP($E260,$D$6:$AN$1150,Q$2,)/VLOOKUP($E260,$D$6:$AN$1150,3,))*$F260)</f>
        <v>0</v>
      </c>
      <c r="R260" s="76">
        <f t="shared" si="118"/>
        <v>0</v>
      </c>
      <c r="S260" s="76">
        <f t="shared" si="118"/>
        <v>0</v>
      </c>
      <c r="T260" s="76">
        <f t="shared" si="118"/>
        <v>0</v>
      </c>
      <c r="U260" s="76">
        <f t="shared" si="118"/>
        <v>0</v>
      </c>
      <c r="V260" s="76">
        <f t="shared" si="118"/>
        <v>0</v>
      </c>
      <c r="W260" s="76">
        <f t="shared" si="118"/>
        <v>0</v>
      </c>
      <c r="X260" s="62">
        <f t="shared" si="118"/>
        <v>0</v>
      </c>
      <c r="Y260" s="62">
        <f t="shared" si="118"/>
        <v>0</v>
      </c>
      <c r="Z260" s="62">
        <f t="shared" si="118"/>
        <v>0</v>
      </c>
      <c r="AA260" s="64">
        <f t="shared" ref="AA260:AA265" si="119">SUM(G260:Z260)</f>
        <v>0</v>
      </c>
      <c r="AB260" s="58" t="str">
        <f t="shared" ref="AB260:AB265" si="120">IF(ABS(F260-AA260)&lt;0.01,"ok","err")</f>
        <v>ok</v>
      </c>
    </row>
    <row r="261" spans="1:28">
      <c r="A261" s="458" t="s">
        <v>604</v>
      </c>
      <c r="C261" s="60" t="s">
        <v>98</v>
      </c>
      <c r="D261" s="60" t="s">
        <v>473</v>
      </c>
      <c r="E261" s="60" t="s">
        <v>1230</v>
      </c>
      <c r="F261" s="79">
        <f>VLOOKUP(C261,'Functional Assignment'!$C$2:$AP$780,'Functional Assignment'!$T$2,)</f>
        <v>2285840.7198717846</v>
      </c>
      <c r="G261" s="79">
        <f t="shared" si="117"/>
        <v>1139733.9953703366</v>
      </c>
      <c r="H261" s="79">
        <f t="shared" si="117"/>
        <v>4173.5725622072869</v>
      </c>
      <c r="I261" s="79">
        <f t="shared" si="117"/>
        <v>278632.09612075239</v>
      </c>
      <c r="J261" s="79">
        <f t="shared" si="117"/>
        <v>18290.285223345621</v>
      </c>
      <c r="K261" s="79">
        <f t="shared" si="117"/>
        <v>310031.60598888271</v>
      </c>
      <c r="L261" s="79">
        <f t="shared" si="117"/>
        <v>259999.98461500221</v>
      </c>
      <c r="M261" s="79">
        <f t="shared" si="117"/>
        <v>246152.27493304116</v>
      </c>
      <c r="N261" s="79">
        <f t="shared" si="117"/>
        <v>0</v>
      </c>
      <c r="O261" s="79">
        <f t="shared" si="117"/>
        <v>8248.7656514259616</v>
      </c>
      <c r="P261" s="79">
        <f t="shared" si="117"/>
        <v>19547.352110319345</v>
      </c>
      <c r="Q261" s="79">
        <f t="shared" si="118"/>
        <v>680.83467278558089</v>
      </c>
      <c r="R261" s="79">
        <f t="shared" si="118"/>
        <v>312.53479414908674</v>
      </c>
      <c r="S261" s="79">
        <f t="shared" si="118"/>
        <v>34.012295776124702</v>
      </c>
      <c r="T261" s="79">
        <f t="shared" si="118"/>
        <v>3.4055337609369993</v>
      </c>
      <c r="U261" s="79">
        <f t="shared" si="118"/>
        <v>0</v>
      </c>
      <c r="V261" s="79">
        <f t="shared" si="118"/>
        <v>0</v>
      </c>
      <c r="W261" s="79">
        <f t="shared" si="118"/>
        <v>0</v>
      </c>
      <c r="X261" s="63">
        <f t="shared" si="118"/>
        <v>0</v>
      </c>
      <c r="Y261" s="63">
        <f t="shared" si="118"/>
        <v>0</v>
      </c>
      <c r="Z261" s="63">
        <f t="shared" si="118"/>
        <v>0</v>
      </c>
      <c r="AA261" s="63">
        <f t="shared" si="119"/>
        <v>2285840.7198717846</v>
      </c>
      <c r="AB261" s="58" t="str">
        <f t="shared" si="120"/>
        <v>ok</v>
      </c>
    </row>
    <row r="262" spans="1:28">
      <c r="A262" s="458" t="s">
        <v>605</v>
      </c>
      <c r="C262" s="60" t="s">
        <v>98</v>
      </c>
      <c r="D262" s="60" t="s">
        <v>474</v>
      </c>
      <c r="E262" s="60" t="s">
        <v>658</v>
      </c>
      <c r="F262" s="79">
        <f>VLOOKUP(C262,'Functional Assignment'!$C$2:$AP$780,'Functional Assignment'!$U$2,)</f>
        <v>3861146.3975803666</v>
      </c>
      <c r="G262" s="79">
        <f t="shared" si="117"/>
        <v>3330364.655525364</v>
      </c>
      <c r="H262" s="79">
        <f t="shared" si="117"/>
        <v>8220.4962577965962</v>
      </c>
      <c r="I262" s="79">
        <f t="shared" si="117"/>
        <v>401049.90303037089</v>
      </c>
      <c r="J262" s="79">
        <f t="shared" si="117"/>
        <v>618.91340472789648</v>
      </c>
      <c r="K262" s="79">
        <f t="shared" si="117"/>
        <v>24600.899452310507</v>
      </c>
      <c r="L262" s="79">
        <f t="shared" si="117"/>
        <v>1163.5087536551985</v>
      </c>
      <c r="M262" s="79">
        <f t="shared" si="117"/>
        <v>4465.0665813416426</v>
      </c>
      <c r="N262" s="79">
        <f t="shared" si="117"/>
        <v>0</v>
      </c>
      <c r="O262" s="79">
        <f t="shared" si="117"/>
        <v>17.683240135082755</v>
      </c>
      <c r="P262" s="79">
        <f t="shared" si="117"/>
        <v>89407.44452520815</v>
      </c>
      <c r="Q262" s="79">
        <f t="shared" si="118"/>
        <v>158.16675898601801</v>
      </c>
      <c r="R262" s="79">
        <f t="shared" si="118"/>
        <v>982.40222972681977</v>
      </c>
      <c r="S262" s="79">
        <f t="shared" si="118"/>
        <v>8.8416200675413776</v>
      </c>
      <c r="T262" s="79">
        <f t="shared" si="118"/>
        <v>88.416200675413791</v>
      </c>
      <c r="U262" s="79">
        <f t="shared" si="118"/>
        <v>0</v>
      </c>
      <c r="V262" s="79">
        <f t="shared" si="118"/>
        <v>0</v>
      </c>
      <c r="W262" s="79">
        <f t="shared" si="118"/>
        <v>0</v>
      </c>
      <c r="X262" s="63">
        <f t="shared" si="118"/>
        <v>0</v>
      </c>
      <c r="Y262" s="63">
        <f t="shared" si="118"/>
        <v>0</v>
      </c>
      <c r="Z262" s="63">
        <f t="shared" si="118"/>
        <v>0</v>
      </c>
      <c r="AA262" s="63">
        <f t="shared" si="119"/>
        <v>3861146.3975803657</v>
      </c>
      <c r="AB262" s="58" t="str">
        <f t="shared" si="120"/>
        <v>ok</v>
      </c>
    </row>
    <row r="263" spans="1:28">
      <c r="A263" s="458" t="s">
        <v>606</v>
      </c>
      <c r="C263" s="60" t="s">
        <v>98</v>
      </c>
      <c r="D263" s="60" t="s">
        <v>475</v>
      </c>
      <c r="E263" s="60" t="s">
        <v>646</v>
      </c>
      <c r="F263" s="79">
        <f>VLOOKUP(C263,'Functional Assignment'!$C$2:$AP$780,'Functional Assignment'!$V$2,)</f>
        <v>756972.84189520229</v>
      </c>
      <c r="G263" s="79">
        <f t="shared" si="117"/>
        <v>572769.54875369091</v>
      </c>
      <c r="H263" s="79">
        <f t="shared" si="117"/>
        <v>1189.9686013751998</v>
      </c>
      <c r="I263" s="79">
        <f t="shared" si="117"/>
        <v>91615.1793191873</v>
      </c>
      <c r="J263" s="79">
        <f t="shared" si="117"/>
        <v>0</v>
      </c>
      <c r="K263" s="79">
        <f t="shared" si="117"/>
        <v>86772.353271392334</v>
      </c>
      <c r="L263" s="79">
        <f t="shared" si="117"/>
        <v>0</v>
      </c>
      <c r="M263" s="79">
        <f t="shared" si="117"/>
        <v>0</v>
      </c>
      <c r="N263" s="79">
        <f t="shared" si="117"/>
        <v>0</v>
      </c>
      <c r="O263" s="79">
        <f t="shared" si="117"/>
        <v>0</v>
      </c>
      <c r="P263" s="79">
        <f t="shared" si="117"/>
        <v>4394.0796706442479</v>
      </c>
      <c r="Q263" s="79">
        <f t="shared" si="118"/>
        <v>153.04588457162521</v>
      </c>
      <c r="R263" s="79">
        <f t="shared" si="118"/>
        <v>70.255182266579183</v>
      </c>
      <c r="S263" s="79">
        <f t="shared" si="118"/>
        <v>7.6456768455565083</v>
      </c>
      <c r="T263" s="79">
        <f t="shared" si="118"/>
        <v>0.7655352286167747</v>
      </c>
      <c r="U263" s="79">
        <f t="shared" si="118"/>
        <v>0</v>
      </c>
      <c r="V263" s="79">
        <f t="shared" si="118"/>
        <v>0</v>
      </c>
      <c r="W263" s="79">
        <f t="shared" si="118"/>
        <v>0</v>
      </c>
      <c r="X263" s="63">
        <f t="shared" si="118"/>
        <v>0</v>
      </c>
      <c r="Y263" s="63">
        <f t="shared" si="118"/>
        <v>0</v>
      </c>
      <c r="Z263" s="63">
        <f t="shared" si="118"/>
        <v>0</v>
      </c>
      <c r="AA263" s="63">
        <f t="shared" si="119"/>
        <v>756972.84189520241</v>
      </c>
      <c r="AB263" s="58" t="str">
        <f t="shared" si="120"/>
        <v>ok</v>
      </c>
    </row>
    <row r="264" spans="1:28">
      <c r="A264" s="458" t="s">
        <v>607</v>
      </c>
      <c r="C264" s="60" t="s">
        <v>98</v>
      </c>
      <c r="D264" s="60" t="s">
        <v>476</v>
      </c>
      <c r="E264" s="60" t="s">
        <v>657</v>
      </c>
      <c r="F264" s="79">
        <f>VLOOKUP(C264,'Functional Assignment'!$C$2:$AP$780,'Functional Assignment'!$W$2,)</f>
        <v>1317944.1506281546</v>
      </c>
      <c r="G264" s="79">
        <f t="shared" si="117"/>
        <v>1145933.032407267</v>
      </c>
      <c r="H264" s="79">
        <f t="shared" si="117"/>
        <v>2828.5605868896723</v>
      </c>
      <c r="I264" s="79">
        <f t="shared" si="117"/>
        <v>137995.79897767541</v>
      </c>
      <c r="J264" s="79">
        <f t="shared" si="117"/>
        <v>0</v>
      </c>
      <c r="K264" s="79">
        <f t="shared" si="117"/>
        <v>0</v>
      </c>
      <c r="L264" s="79">
        <f t="shared" si="117"/>
        <v>0</v>
      </c>
      <c r="M264" s="79">
        <f t="shared" si="117"/>
        <v>0</v>
      </c>
      <c r="N264" s="79">
        <f t="shared" si="117"/>
        <v>0</v>
      </c>
      <c r="O264" s="79">
        <f t="shared" si="117"/>
        <v>0</v>
      </c>
      <c r="P264" s="79">
        <f t="shared" si="117"/>
        <v>30763.881623165395</v>
      </c>
      <c r="Q264" s="79">
        <f t="shared" si="118"/>
        <v>54.423023451852323</v>
      </c>
      <c r="R264" s="79">
        <f t="shared" si="118"/>
        <v>338.03120156430009</v>
      </c>
      <c r="S264" s="79">
        <f t="shared" si="118"/>
        <v>0</v>
      </c>
      <c r="T264" s="79">
        <f t="shared" si="118"/>
        <v>30.422808140787009</v>
      </c>
      <c r="U264" s="79">
        <f t="shared" si="118"/>
        <v>0</v>
      </c>
      <c r="V264" s="79">
        <f t="shared" si="118"/>
        <v>0</v>
      </c>
      <c r="W264" s="79">
        <f t="shared" si="118"/>
        <v>0</v>
      </c>
      <c r="X264" s="63">
        <f t="shared" si="118"/>
        <v>0</v>
      </c>
      <c r="Y264" s="63">
        <f t="shared" si="118"/>
        <v>0</v>
      </c>
      <c r="Z264" s="63">
        <f t="shared" si="118"/>
        <v>0</v>
      </c>
      <c r="AA264" s="63">
        <f t="shared" si="119"/>
        <v>1317944.1506281544</v>
      </c>
      <c r="AB264" s="58" t="str">
        <f t="shared" si="120"/>
        <v>ok</v>
      </c>
    </row>
    <row r="265" spans="1:28">
      <c r="A265" s="44" t="s">
        <v>365</v>
      </c>
      <c r="D265" s="60" t="s">
        <v>477</v>
      </c>
      <c r="F265" s="76">
        <f>SUM(F260:F264)</f>
        <v>8221904.1099755075</v>
      </c>
      <c r="G265" s="76">
        <f t="shared" ref="G265:W265" si="121">SUM(G260:G264)</f>
        <v>6188801.2320566587</v>
      </c>
      <c r="H265" s="76">
        <f t="shared" si="121"/>
        <v>16412.598008268753</v>
      </c>
      <c r="I265" s="76">
        <f t="shared" si="121"/>
        <v>909292.9774479859</v>
      </c>
      <c r="J265" s="76">
        <f t="shared" si="121"/>
        <v>18909.198628073518</v>
      </c>
      <c r="K265" s="76">
        <f t="shared" si="121"/>
        <v>421404.85871258558</v>
      </c>
      <c r="L265" s="76">
        <f t="shared" si="121"/>
        <v>261163.49336865739</v>
      </c>
      <c r="M265" s="76">
        <f t="shared" si="121"/>
        <v>250617.3415143828</v>
      </c>
      <c r="N265" s="76">
        <f t="shared" si="121"/>
        <v>0</v>
      </c>
      <c r="O265" s="76">
        <f>SUM(O260:O264)</f>
        <v>8266.4488915610436</v>
      </c>
      <c r="P265" s="76">
        <f t="shared" si="121"/>
        <v>144112.75792933715</v>
      </c>
      <c r="Q265" s="76">
        <f t="shared" si="121"/>
        <v>1046.4703397950764</v>
      </c>
      <c r="R265" s="76">
        <f t="shared" si="121"/>
        <v>1703.2234077067858</v>
      </c>
      <c r="S265" s="76">
        <f t="shared" si="121"/>
        <v>50.499592689222588</v>
      </c>
      <c r="T265" s="76">
        <f t="shared" si="121"/>
        <v>123.01007780575458</v>
      </c>
      <c r="U265" s="76">
        <f t="shared" si="121"/>
        <v>0</v>
      </c>
      <c r="V265" s="76">
        <f t="shared" si="121"/>
        <v>0</v>
      </c>
      <c r="W265" s="76">
        <f t="shared" si="121"/>
        <v>0</v>
      </c>
      <c r="X265" s="62">
        <f>SUM(X260:X264)</f>
        <v>0</v>
      </c>
      <c r="Y265" s="62">
        <f>SUM(Y260:Y264)</f>
        <v>0</v>
      </c>
      <c r="Z265" s="62">
        <f>SUM(Z260:Z264)</f>
        <v>0</v>
      </c>
      <c r="AA265" s="64">
        <f t="shared" si="119"/>
        <v>8221904.1099755075</v>
      </c>
      <c r="AB265" s="58" t="str">
        <f t="shared" si="120"/>
        <v>ok</v>
      </c>
    </row>
    <row r="266" spans="1:28">
      <c r="A266" s="44"/>
      <c r="F266" s="79"/>
    </row>
    <row r="267" spans="1:28" ht="14.1">
      <c r="A267" s="45" t="s">
        <v>613</v>
      </c>
      <c r="F267" s="79"/>
    </row>
    <row r="268" spans="1:28">
      <c r="A268" s="458" t="s">
        <v>1014</v>
      </c>
      <c r="C268" s="60" t="s">
        <v>98</v>
      </c>
      <c r="D268" s="60" t="s">
        <v>478</v>
      </c>
      <c r="E268" s="60" t="s">
        <v>1207</v>
      </c>
      <c r="F268" s="76">
        <f>VLOOKUP(C268,'Functional Assignment'!$C$2:$AP$780,'Functional Assignment'!$X$2,)</f>
        <v>214386.23873627349</v>
      </c>
      <c r="G268" s="76">
        <f t="shared" ref="G268:P269" si="122">IF(VLOOKUP($E268,$D$6:$AN$1150,3,)=0,0,(VLOOKUP($E268,$D$6:$AN$1150,G$2,)/VLOOKUP($E268,$D$6:$AN$1150,3,))*$F268)</f>
        <v>148059.57744104351</v>
      </c>
      <c r="H268" s="76">
        <f t="shared" si="122"/>
        <v>307.60407684223333</v>
      </c>
      <c r="I268" s="76">
        <f t="shared" si="122"/>
        <v>23682.307774042412</v>
      </c>
      <c r="J268" s="76">
        <f t="shared" si="122"/>
        <v>0</v>
      </c>
      <c r="K268" s="76">
        <f t="shared" si="122"/>
        <v>22430.44866278693</v>
      </c>
      <c r="L268" s="76">
        <f t="shared" si="122"/>
        <v>0</v>
      </c>
      <c r="M268" s="76">
        <f t="shared" si="122"/>
        <v>18710.544472809412</v>
      </c>
      <c r="N268" s="76">
        <f t="shared" si="122"/>
        <v>0</v>
      </c>
      <c r="O268" s="76">
        <f t="shared" si="122"/>
        <v>0</v>
      </c>
      <c r="P268" s="76">
        <f t="shared" si="122"/>
        <v>1135.8592311576247</v>
      </c>
      <c r="Q268" s="76">
        <f t="shared" ref="Q268:Z269" si="123">IF(VLOOKUP($E268,$D$6:$AN$1150,3,)=0,0,(VLOOKUP($E268,$D$6:$AN$1150,Q$2,)/VLOOKUP($E268,$D$6:$AN$1150,3,))*$F268)</f>
        <v>39.562000193746385</v>
      </c>
      <c r="R268" s="76">
        <f t="shared" si="123"/>
        <v>18.160798914794224</v>
      </c>
      <c r="S268" s="76">
        <f t="shared" si="123"/>
        <v>1.9763894317829207</v>
      </c>
      <c r="T268" s="76">
        <f t="shared" si="123"/>
        <v>0.19788905103608115</v>
      </c>
      <c r="U268" s="76">
        <f t="shared" si="123"/>
        <v>0</v>
      </c>
      <c r="V268" s="76">
        <f t="shared" si="123"/>
        <v>0</v>
      </c>
      <c r="W268" s="76">
        <f t="shared" si="123"/>
        <v>0</v>
      </c>
      <c r="X268" s="62">
        <f t="shared" si="123"/>
        <v>0</v>
      </c>
      <c r="Y268" s="62">
        <f t="shared" si="123"/>
        <v>0</v>
      </c>
      <c r="Z268" s="62">
        <f t="shared" si="123"/>
        <v>0</v>
      </c>
      <c r="AA268" s="64">
        <f>SUM(G268:Z268)</f>
        <v>214386.23873627346</v>
      </c>
      <c r="AB268" s="58" t="str">
        <f>IF(ABS(F268-AA268)&lt;0.01,"ok","err")</f>
        <v>ok</v>
      </c>
    </row>
    <row r="269" spans="1:28">
      <c r="A269" s="458" t="s">
        <v>1017</v>
      </c>
      <c r="C269" s="60" t="s">
        <v>98</v>
      </c>
      <c r="D269" s="60" t="s">
        <v>479</v>
      </c>
      <c r="E269" s="60" t="s">
        <v>1205</v>
      </c>
      <c r="F269" s="79">
        <f>VLOOKUP(C269,'Functional Assignment'!$C$2:$AP$780,'Functional Assignment'!$Y$2,)</f>
        <v>119500.58441743354</v>
      </c>
      <c r="G269" s="79">
        <f t="shared" si="122"/>
        <v>103121.22637573702</v>
      </c>
      <c r="H269" s="79">
        <f t="shared" si="122"/>
        <v>254.53898993154436</v>
      </c>
      <c r="I269" s="79">
        <f t="shared" si="122"/>
        <v>12418.08694124465</v>
      </c>
      <c r="J269" s="79">
        <f t="shared" si="122"/>
        <v>0</v>
      </c>
      <c r="K269" s="79">
        <f t="shared" si="122"/>
        <v>761.74088541912704</v>
      </c>
      <c r="L269" s="79">
        <f t="shared" si="122"/>
        <v>0</v>
      </c>
      <c r="M269" s="79">
        <f t="shared" si="122"/>
        <v>138.25607383664567</v>
      </c>
      <c r="N269" s="79">
        <f t="shared" si="122"/>
        <v>0</v>
      </c>
      <c r="O269" s="79">
        <f t="shared" si="122"/>
        <v>0</v>
      </c>
      <c r="P269" s="79">
        <f t="shared" si="122"/>
        <v>2768.4071506294908</v>
      </c>
      <c r="Q269" s="79">
        <f t="shared" si="123"/>
        <v>4.8974667478089868</v>
      </c>
      <c r="R269" s="79">
        <f t="shared" si="123"/>
        <v>30.419048123037182</v>
      </c>
      <c r="S269" s="79">
        <f t="shared" si="123"/>
        <v>0.27377143310733465</v>
      </c>
      <c r="T269" s="79">
        <f t="shared" si="123"/>
        <v>2.7377143310733465</v>
      </c>
      <c r="U269" s="79">
        <f t="shared" si="123"/>
        <v>0</v>
      </c>
      <c r="V269" s="79">
        <f t="shared" si="123"/>
        <v>0</v>
      </c>
      <c r="W269" s="79">
        <f t="shared" si="123"/>
        <v>0</v>
      </c>
      <c r="X269" s="63">
        <f t="shared" si="123"/>
        <v>0</v>
      </c>
      <c r="Y269" s="63">
        <f t="shared" si="123"/>
        <v>0</v>
      </c>
      <c r="Z269" s="63">
        <f t="shared" si="123"/>
        <v>0</v>
      </c>
      <c r="AA269" s="63">
        <f>SUM(G269:Z269)</f>
        <v>119500.58441743349</v>
      </c>
      <c r="AB269" s="58" t="str">
        <f>IF(ABS(F269-AA269)&lt;0.01,"ok","err")</f>
        <v>ok</v>
      </c>
    </row>
    <row r="270" spans="1:28">
      <c r="A270" s="44" t="s">
        <v>672</v>
      </c>
      <c r="D270" s="60" t="s">
        <v>480</v>
      </c>
      <c r="F270" s="76">
        <f>F268+F269</f>
        <v>333886.82315370702</v>
      </c>
      <c r="G270" s="76">
        <f t="shared" ref="G270:W270" si="124">G268+G269</f>
        <v>251180.80381678054</v>
      </c>
      <c r="H270" s="76">
        <f t="shared" si="124"/>
        <v>562.14306677377772</v>
      </c>
      <c r="I270" s="76">
        <f t="shared" si="124"/>
        <v>36100.394715287061</v>
      </c>
      <c r="J270" s="76">
        <f t="shared" si="124"/>
        <v>0</v>
      </c>
      <c r="K270" s="76">
        <f t="shared" si="124"/>
        <v>23192.189548206057</v>
      </c>
      <c r="L270" s="76">
        <f t="shared" si="124"/>
        <v>0</v>
      </c>
      <c r="M270" s="76">
        <f t="shared" si="124"/>
        <v>18848.800546646056</v>
      </c>
      <c r="N270" s="76">
        <f t="shared" si="124"/>
        <v>0</v>
      </c>
      <c r="O270" s="76">
        <f>O268+O269</f>
        <v>0</v>
      </c>
      <c r="P270" s="76">
        <f t="shared" si="124"/>
        <v>3904.2663817871153</v>
      </c>
      <c r="Q270" s="76">
        <f t="shared" si="124"/>
        <v>44.45946694155537</v>
      </c>
      <c r="R270" s="76">
        <f t="shared" si="124"/>
        <v>48.579847037831406</v>
      </c>
      <c r="S270" s="76">
        <f t="shared" si="124"/>
        <v>2.2501608648902556</v>
      </c>
      <c r="T270" s="76">
        <f t="shared" si="124"/>
        <v>2.9356033821094276</v>
      </c>
      <c r="U270" s="76">
        <f t="shared" si="124"/>
        <v>0</v>
      </c>
      <c r="V270" s="76">
        <f t="shared" si="124"/>
        <v>0</v>
      </c>
      <c r="W270" s="76">
        <f t="shared" si="124"/>
        <v>0</v>
      </c>
      <c r="X270" s="62">
        <f>X268+X269</f>
        <v>0</v>
      </c>
      <c r="Y270" s="62">
        <f>Y268+Y269</f>
        <v>0</v>
      </c>
      <c r="Z270" s="62">
        <f>Z268+Z269</f>
        <v>0</v>
      </c>
      <c r="AA270" s="64">
        <f>SUM(G270:Z270)</f>
        <v>333886.82315370702</v>
      </c>
      <c r="AB270" s="58" t="str">
        <f>IF(ABS(F270-AA270)&lt;0.01,"ok","err")</f>
        <v>ok</v>
      </c>
    </row>
    <row r="271" spans="1:28">
      <c r="A271" s="44"/>
      <c r="F271" s="79"/>
    </row>
    <row r="272" spans="1:28" ht="14.1">
      <c r="A272" s="45" t="s">
        <v>343</v>
      </c>
      <c r="F272" s="79"/>
    </row>
    <row r="273" spans="1:28">
      <c r="A273" s="458" t="s">
        <v>1017</v>
      </c>
      <c r="C273" s="60" t="s">
        <v>98</v>
      </c>
      <c r="D273" s="60" t="s">
        <v>481</v>
      </c>
      <c r="E273" s="60" t="s">
        <v>1019</v>
      </c>
      <c r="F273" s="76">
        <f>VLOOKUP(C273,'Functional Assignment'!$C$2:$AP$780,'Functional Assignment'!$Z$2,)</f>
        <v>54624.483716633593</v>
      </c>
      <c r="G273" s="76">
        <f t="shared" ref="G273:Z273" si="125">IF(VLOOKUP($E273,$D$6:$AN$1150,3,)=0,0,(VLOOKUP($E273,$D$6:$AN$1150,G$2,)/VLOOKUP($E273,$D$6:$AN$1150,3,))*$F273)</f>
        <v>46933.406299534858</v>
      </c>
      <c r="H273" s="76">
        <f t="shared" si="125"/>
        <v>115.8479418194856</v>
      </c>
      <c r="I273" s="76">
        <f t="shared" si="125"/>
        <v>6700.9494209746181</v>
      </c>
      <c r="J273" s="76">
        <f t="shared" si="125"/>
        <v>0</v>
      </c>
      <c r="K273" s="76">
        <f t="shared" si="125"/>
        <v>689.25187437710895</v>
      </c>
      <c r="L273" s="76">
        <f t="shared" si="125"/>
        <v>0</v>
      </c>
      <c r="M273" s="76">
        <f t="shared" si="125"/>
        <v>184.78046121235536</v>
      </c>
      <c r="N273" s="76">
        <f t="shared" si="125"/>
        <v>0</v>
      </c>
      <c r="O273" s="76">
        <f t="shared" si="125"/>
        <v>0</v>
      </c>
      <c r="P273" s="76">
        <f t="shared" si="125"/>
        <v>0</v>
      </c>
      <c r="Q273" s="76">
        <f t="shared" si="125"/>
        <v>0</v>
      </c>
      <c r="R273" s="76">
        <f t="shared" si="125"/>
        <v>0</v>
      </c>
      <c r="S273" s="76">
        <f t="shared" si="125"/>
        <v>0.24771871515904262</v>
      </c>
      <c r="T273" s="76">
        <f t="shared" si="125"/>
        <v>0</v>
      </c>
      <c r="U273" s="76">
        <f t="shared" si="125"/>
        <v>0</v>
      </c>
      <c r="V273" s="76">
        <f t="shared" si="125"/>
        <v>0</v>
      </c>
      <c r="W273" s="76">
        <f t="shared" si="125"/>
        <v>0</v>
      </c>
      <c r="X273" s="62">
        <f t="shared" si="125"/>
        <v>0</v>
      </c>
      <c r="Y273" s="62">
        <f t="shared" si="125"/>
        <v>0</v>
      </c>
      <c r="Z273" s="62">
        <f t="shared" si="125"/>
        <v>0</v>
      </c>
      <c r="AA273" s="64">
        <f>SUM(G273:Z273)</f>
        <v>54624.483716633586</v>
      </c>
      <c r="AB273" s="58" t="str">
        <f>IF(ABS(F273-AA273)&lt;0.01,"ok","err")</f>
        <v>ok</v>
      </c>
    </row>
    <row r="274" spans="1:28">
      <c r="A274" s="44"/>
      <c r="F274" s="79"/>
    </row>
    <row r="275" spans="1:28" ht="14.1">
      <c r="A275" s="45" t="s">
        <v>342</v>
      </c>
      <c r="F275" s="79"/>
    </row>
    <row r="276" spans="1:28">
      <c r="A276" s="458" t="s">
        <v>1017</v>
      </c>
      <c r="C276" s="60" t="s">
        <v>98</v>
      </c>
      <c r="D276" s="60" t="s">
        <v>482</v>
      </c>
      <c r="E276" s="60" t="s">
        <v>1020</v>
      </c>
      <c r="F276" s="76">
        <f>VLOOKUP(C276,'Functional Assignment'!$C$2:$AP$780,'Functional Assignment'!$AA$2,)</f>
        <v>4648097.8497791598</v>
      </c>
      <c r="G276" s="76">
        <f t="shared" ref="G276:Z276" si="126">IF(VLOOKUP($E276,$D$6:$AN$1150,3,)=0,0,(VLOOKUP($E276,$D$6:$AN$1150,G$2,)/VLOOKUP($E276,$D$6:$AN$1150,3,))*$F276)</f>
        <v>3169366.7479149508</v>
      </c>
      <c r="H276" s="76">
        <f t="shared" si="126"/>
        <v>7823.097524048716</v>
      </c>
      <c r="I276" s="76">
        <f t="shared" si="126"/>
        <v>987164.95570222056</v>
      </c>
      <c r="J276" s="76">
        <f t="shared" si="126"/>
        <v>32266.707592283525</v>
      </c>
      <c r="K276" s="76">
        <f t="shared" si="126"/>
        <v>276058.25487258285</v>
      </c>
      <c r="L276" s="76">
        <f t="shared" si="126"/>
        <v>64449.421625424366</v>
      </c>
      <c r="M276" s="76">
        <f t="shared" si="126"/>
        <v>54575.007598517128</v>
      </c>
      <c r="N276" s="76">
        <f t="shared" si="126"/>
        <v>45546.045649013242</v>
      </c>
      <c r="O276" s="76">
        <f t="shared" si="126"/>
        <v>979.51527703530553</v>
      </c>
      <c r="P276" s="76">
        <f t="shared" si="126"/>
        <v>0</v>
      </c>
      <c r="Q276" s="76">
        <f t="shared" si="126"/>
        <v>1354.6853469984869</v>
      </c>
      <c r="R276" s="76">
        <f t="shared" si="126"/>
        <v>8414.1947018539558</v>
      </c>
      <c r="S276" s="76">
        <f t="shared" si="126"/>
        <v>99.215974229862624</v>
      </c>
      <c r="T276" s="76">
        <f t="shared" si="126"/>
        <v>0</v>
      </c>
      <c r="U276" s="76">
        <f t="shared" si="126"/>
        <v>0</v>
      </c>
      <c r="V276" s="76">
        <f t="shared" si="126"/>
        <v>0</v>
      </c>
      <c r="W276" s="76">
        <f t="shared" si="126"/>
        <v>0</v>
      </c>
      <c r="X276" s="62">
        <f t="shared" si="126"/>
        <v>0</v>
      </c>
      <c r="Y276" s="62">
        <f t="shared" si="126"/>
        <v>0</v>
      </c>
      <c r="Z276" s="62">
        <f t="shared" si="126"/>
        <v>0</v>
      </c>
      <c r="AA276" s="64">
        <f>SUM(G276:Z276)</f>
        <v>4648097.8497791598</v>
      </c>
      <c r="AB276" s="58" t="str">
        <f>IF(ABS(F276-AA276)&lt;0.01,"ok","err")</f>
        <v>ok</v>
      </c>
    </row>
    <row r="277" spans="1:28">
      <c r="A277" s="44"/>
      <c r="F277" s="79"/>
    </row>
    <row r="278" spans="1:28" ht="14.1">
      <c r="A278" s="45" t="s">
        <v>358</v>
      </c>
      <c r="F278" s="79"/>
    </row>
    <row r="279" spans="1:28">
      <c r="A279" s="458" t="s">
        <v>1017</v>
      </c>
      <c r="C279" s="60" t="s">
        <v>98</v>
      </c>
      <c r="D279" s="60" t="s">
        <v>483</v>
      </c>
      <c r="E279" s="60" t="s">
        <v>1021</v>
      </c>
      <c r="F279" s="76">
        <f>VLOOKUP(C279,'Functional Assignment'!$C$2:$AP$780,'Functional Assignment'!$AB$2,)</f>
        <v>187932.13640545908</v>
      </c>
      <c r="G279" s="76">
        <f t="shared" ref="G279:Z279" si="127">IF(VLOOKUP($E279,$D$6:$AN$1150,3,)=0,0,(VLOOKUP($E279,$D$6:$AN$1150,G$2,)/VLOOKUP($E279,$D$6:$AN$1150,3,))*$F279)</f>
        <v>0</v>
      </c>
      <c r="H279" s="76">
        <f t="shared" si="127"/>
        <v>0</v>
      </c>
      <c r="I279" s="76">
        <f t="shared" si="127"/>
        <v>0</v>
      </c>
      <c r="J279" s="76">
        <f t="shared" si="127"/>
        <v>0</v>
      </c>
      <c r="K279" s="76">
        <f t="shared" si="127"/>
        <v>0</v>
      </c>
      <c r="L279" s="76">
        <f t="shared" si="127"/>
        <v>0</v>
      </c>
      <c r="M279" s="76">
        <f t="shared" si="127"/>
        <v>0</v>
      </c>
      <c r="N279" s="76">
        <f t="shared" si="127"/>
        <v>0</v>
      </c>
      <c r="O279" s="76">
        <f t="shared" si="127"/>
        <v>0</v>
      </c>
      <c r="P279" s="76">
        <f t="shared" si="127"/>
        <v>187932.13640545908</v>
      </c>
      <c r="Q279" s="76">
        <f t="shared" si="127"/>
        <v>0</v>
      </c>
      <c r="R279" s="76">
        <f t="shared" si="127"/>
        <v>0</v>
      </c>
      <c r="S279" s="76">
        <f t="shared" si="127"/>
        <v>0</v>
      </c>
      <c r="T279" s="76">
        <f t="shared" si="127"/>
        <v>0</v>
      </c>
      <c r="U279" s="76">
        <f t="shared" si="127"/>
        <v>0</v>
      </c>
      <c r="V279" s="76">
        <f t="shared" si="127"/>
        <v>0</v>
      </c>
      <c r="W279" s="76">
        <f t="shared" si="127"/>
        <v>0</v>
      </c>
      <c r="X279" s="62">
        <f t="shared" si="127"/>
        <v>0</v>
      </c>
      <c r="Y279" s="62">
        <f t="shared" si="127"/>
        <v>0</v>
      </c>
      <c r="Z279" s="62">
        <f t="shared" si="127"/>
        <v>0</v>
      </c>
      <c r="AA279" s="64">
        <f>SUM(G279:Z279)</f>
        <v>187932.13640545908</v>
      </c>
      <c r="AB279" s="58" t="str">
        <f>IF(ABS(F279-AA279)&lt;0.01,"ok","err")</f>
        <v>ok</v>
      </c>
    </row>
    <row r="280" spans="1:28">
      <c r="A280" s="44"/>
      <c r="F280" s="79"/>
    </row>
    <row r="281" spans="1:28" ht="14.1">
      <c r="A281" s="45" t="s">
        <v>949</v>
      </c>
      <c r="F281" s="79"/>
    </row>
    <row r="282" spans="1:28">
      <c r="A282" s="458" t="s">
        <v>1017</v>
      </c>
      <c r="C282" s="60" t="s">
        <v>98</v>
      </c>
      <c r="D282" s="60" t="s">
        <v>484</v>
      </c>
      <c r="E282" s="60" t="s">
        <v>1022</v>
      </c>
      <c r="F282" s="76">
        <f>VLOOKUP(C282,'Functional Assignment'!$C$2:$AP$780,'Functional Assignment'!$AC$2,)</f>
        <v>6530471.1273467047</v>
      </c>
      <c r="G282" s="76">
        <f t="shared" ref="G282:Z282" si="128">IF(VLOOKUP($E282,$D$6:$AN$1150,3,)=0,0,(VLOOKUP($E282,$D$6:$AN$1150,G$2,)/VLOOKUP($E282,$D$6:$AN$1150,3,))*$F282)</f>
        <v>4831757.7894631028</v>
      </c>
      <c r="H282" s="76">
        <f t="shared" si="128"/>
        <v>11926.455789447255</v>
      </c>
      <c r="I282" s="76">
        <f t="shared" si="128"/>
        <v>1163701.9926424443</v>
      </c>
      <c r="J282" s="76">
        <f t="shared" si="128"/>
        <v>4489.65800086748</v>
      </c>
      <c r="K282" s="76">
        <f t="shared" si="128"/>
        <v>178457.31601686854</v>
      </c>
      <c r="L282" s="76">
        <f t="shared" si="128"/>
        <v>42201.028003457293</v>
      </c>
      <c r="M282" s="76">
        <f t="shared" si="128"/>
        <v>161950.1350931311</v>
      </c>
      <c r="N282" s="76">
        <f t="shared" si="128"/>
        <v>4168.9681436626597</v>
      </c>
      <c r="O282" s="76">
        <f t="shared" si="128"/>
        <v>128.27594288192802</v>
      </c>
      <c r="P282" s="76">
        <f t="shared" si="128"/>
        <v>129714.05873045983</v>
      </c>
      <c r="Q282" s="76">
        <f t="shared" si="128"/>
        <v>229.47140893322674</v>
      </c>
      <c r="R282" s="76">
        <f t="shared" si="128"/>
        <v>1425.2882542436444</v>
      </c>
      <c r="S282" s="76">
        <f t="shared" si="128"/>
        <v>64.137971440964009</v>
      </c>
      <c r="T282" s="76">
        <f t="shared" si="128"/>
        <v>256.55188576385603</v>
      </c>
      <c r="U282" s="76">
        <f t="shared" si="128"/>
        <v>0</v>
      </c>
      <c r="V282" s="76">
        <f t="shared" si="128"/>
        <v>0</v>
      </c>
      <c r="W282" s="76">
        <f t="shared" si="128"/>
        <v>0</v>
      </c>
      <c r="X282" s="62">
        <f t="shared" si="128"/>
        <v>0</v>
      </c>
      <c r="Y282" s="62">
        <f t="shared" si="128"/>
        <v>0</v>
      </c>
      <c r="Z282" s="62">
        <f t="shared" si="128"/>
        <v>0</v>
      </c>
      <c r="AA282" s="64">
        <f>SUM(G282:Z282)</f>
        <v>6530471.1273467047</v>
      </c>
      <c r="AB282" s="58" t="str">
        <f>IF(ABS(F282-AA282)&lt;0.01,"ok","err")</f>
        <v>ok</v>
      </c>
    </row>
    <row r="283" spans="1:28">
      <c r="A283" s="44"/>
      <c r="F283" s="79"/>
    </row>
    <row r="284" spans="1:28" ht="14.1">
      <c r="A284" s="45" t="s">
        <v>340</v>
      </c>
      <c r="F284" s="79"/>
    </row>
    <row r="285" spans="1:28">
      <c r="A285" s="458" t="s">
        <v>1017</v>
      </c>
      <c r="C285" s="60" t="s">
        <v>98</v>
      </c>
      <c r="D285" s="60" t="s">
        <v>485</v>
      </c>
      <c r="E285" s="60" t="s">
        <v>1022</v>
      </c>
      <c r="F285" s="76">
        <f>VLOOKUP(C285,'Functional Assignment'!$C$2:$AP$780,'Functional Assignment'!$AD$2,)</f>
        <v>1422705.1256976379</v>
      </c>
      <c r="G285" s="76">
        <f t="shared" ref="G285:Z285" si="129">IF(VLOOKUP($E285,$D$6:$AN$1150,3,)=0,0,(VLOOKUP($E285,$D$6:$AN$1150,G$2,)/VLOOKUP($E285,$D$6:$AN$1150,3,))*$F285)</f>
        <v>1052629.5023972616</v>
      </c>
      <c r="H285" s="76">
        <f t="shared" si="129"/>
        <v>2598.2550802497485</v>
      </c>
      <c r="I285" s="76">
        <f t="shared" si="129"/>
        <v>253519.96164319979</v>
      </c>
      <c r="J285" s="76">
        <f t="shared" si="129"/>
        <v>978.10086376704703</v>
      </c>
      <c r="K285" s="76">
        <f t="shared" si="129"/>
        <v>38878.073765957684</v>
      </c>
      <c r="L285" s="76">
        <f t="shared" si="129"/>
        <v>9193.7653010682589</v>
      </c>
      <c r="M285" s="76">
        <f t="shared" si="129"/>
        <v>35281.878261367609</v>
      </c>
      <c r="N285" s="76">
        <f t="shared" si="129"/>
        <v>908.2365163551151</v>
      </c>
      <c r="O285" s="76">
        <f t="shared" si="129"/>
        <v>27.945738964772776</v>
      </c>
      <c r="P285" s="76">
        <f t="shared" si="129"/>
        <v>28259.041749388947</v>
      </c>
      <c r="Q285" s="76">
        <f t="shared" si="129"/>
        <v>49.991821925871292</v>
      </c>
      <c r="R285" s="76">
        <f t="shared" si="129"/>
        <v>310.5082107196975</v>
      </c>
      <c r="S285" s="76">
        <f t="shared" si="129"/>
        <v>13.972869482386388</v>
      </c>
      <c r="T285" s="76">
        <f t="shared" si="129"/>
        <v>55.891477929545552</v>
      </c>
      <c r="U285" s="76">
        <f t="shared" si="129"/>
        <v>0</v>
      </c>
      <c r="V285" s="76">
        <f t="shared" si="129"/>
        <v>0</v>
      </c>
      <c r="W285" s="76">
        <f t="shared" si="129"/>
        <v>0</v>
      </c>
      <c r="X285" s="62">
        <f t="shared" si="129"/>
        <v>0</v>
      </c>
      <c r="Y285" s="62">
        <f t="shared" si="129"/>
        <v>0</v>
      </c>
      <c r="Z285" s="62">
        <f t="shared" si="129"/>
        <v>0</v>
      </c>
      <c r="AA285" s="64">
        <f>SUM(G285:Z285)</f>
        <v>1422705.1256976381</v>
      </c>
      <c r="AB285" s="58" t="str">
        <f>IF(ABS(F285-AA285)&lt;0.01,"ok","err")</f>
        <v>ok</v>
      </c>
    </row>
    <row r="286" spans="1:28">
      <c r="A286" s="44"/>
      <c r="F286" s="79"/>
    </row>
    <row r="287" spans="1:28" ht="14.1">
      <c r="A287" s="45" t="s">
        <v>339</v>
      </c>
      <c r="F287" s="79"/>
    </row>
    <row r="288" spans="1:28">
      <c r="A288" s="458" t="s">
        <v>1017</v>
      </c>
      <c r="C288" s="60" t="s">
        <v>98</v>
      </c>
      <c r="D288" s="60" t="s">
        <v>486</v>
      </c>
      <c r="E288" s="60" t="s">
        <v>1023</v>
      </c>
      <c r="F288" s="76">
        <f>VLOOKUP(C288,'Functional Assignment'!$C$2:$AP$780,'Functional Assignment'!$AE$2,)</f>
        <v>0</v>
      </c>
      <c r="G288" s="76">
        <f t="shared" ref="G288:Z288" si="130">IF(VLOOKUP($E288,$D$6:$AN$1150,3,)=0,0,(VLOOKUP($E288,$D$6:$AN$1150,G$2,)/VLOOKUP($E288,$D$6:$AN$1150,3,))*$F288)</f>
        <v>0</v>
      </c>
      <c r="H288" s="76">
        <f t="shared" si="130"/>
        <v>0</v>
      </c>
      <c r="I288" s="76">
        <f t="shared" si="130"/>
        <v>0</v>
      </c>
      <c r="J288" s="76">
        <f t="shared" si="130"/>
        <v>0</v>
      </c>
      <c r="K288" s="76">
        <f t="shared" si="130"/>
        <v>0</v>
      </c>
      <c r="L288" s="76">
        <f t="shared" si="130"/>
        <v>0</v>
      </c>
      <c r="M288" s="76">
        <f t="shared" si="130"/>
        <v>0</v>
      </c>
      <c r="N288" s="76">
        <f t="shared" si="130"/>
        <v>0</v>
      </c>
      <c r="O288" s="76">
        <f t="shared" si="130"/>
        <v>0</v>
      </c>
      <c r="P288" s="76">
        <f t="shared" si="130"/>
        <v>0</v>
      </c>
      <c r="Q288" s="76">
        <f t="shared" si="130"/>
        <v>0</v>
      </c>
      <c r="R288" s="76">
        <f t="shared" si="130"/>
        <v>0</v>
      </c>
      <c r="S288" s="76">
        <f t="shared" si="130"/>
        <v>0</v>
      </c>
      <c r="T288" s="76">
        <f t="shared" si="130"/>
        <v>0</v>
      </c>
      <c r="U288" s="76">
        <f t="shared" si="130"/>
        <v>0</v>
      </c>
      <c r="V288" s="76">
        <f t="shared" si="130"/>
        <v>0</v>
      </c>
      <c r="W288" s="76">
        <f t="shared" si="130"/>
        <v>0</v>
      </c>
      <c r="X288" s="62">
        <f t="shared" si="130"/>
        <v>0</v>
      </c>
      <c r="Y288" s="62">
        <f t="shared" si="130"/>
        <v>0</v>
      </c>
      <c r="Z288" s="62">
        <f t="shared" si="130"/>
        <v>0</v>
      </c>
      <c r="AA288" s="64">
        <f>SUM(G288:Z288)</f>
        <v>0</v>
      </c>
      <c r="AB288" s="58" t="str">
        <f>IF(ABS(F288-AA288)&lt;0.01,"ok","err")</f>
        <v>ok</v>
      </c>
    </row>
    <row r="289" spans="1:28">
      <c r="A289" s="44"/>
      <c r="F289" s="79"/>
    </row>
    <row r="290" spans="1:28">
      <c r="A290" s="44" t="s">
        <v>846</v>
      </c>
      <c r="D290" s="60" t="s">
        <v>1032</v>
      </c>
      <c r="F290" s="76">
        <f>F245+F251+F254+F257+F265+F270+F273+F276+F279+F282+F285+F288</f>
        <v>73368547.410000011</v>
      </c>
      <c r="G290" s="76">
        <f t="shared" ref="G290:Z290" si="131">G245+G251+G254+G257+G265+G270+G273+G276+G279+G282+G285+G288</f>
        <v>37038224.53834559</v>
      </c>
      <c r="H290" s="76">
        <f t="shared" si="131"/>
        <v>66448.124483618332</v>
      </c>
      <c r="I290" s="76">
        <f t="shared" si="131"/>
        <v>9351981.9830135517</v>
      </c>
      <c r="J290" s="76">
        <f t="shared" si="131"/>
        <v>497244.6264633385</v>
      </c>
      <c r="K290" s="76">
        <f t="shared" si="131"/>
        <v>7932194.6371863587</v>
      </c>
      <c r="L290" s="76">
        <f t="shared" si="131"/>
        <v>7675810.1814200757</v>
      </c>
      <c r="M290" s="76">
        <f t="shared" si="131"/>
        <v>6149891.0792181902</v>
      </c>
      <c r="N290" s="76">
        <f t="shared" si="131"/>
        <v>3576789.2834401238</v>
      </c>
      <c r="O290" s="76">
        <f>O245+O251+O254+O257+O265+O270+O273+O276+O279+O282+O285+O288</f>
        <v>219979.63282487539</v>
      </c>
      <c r="P290" s="76">
        <f t="shared" si="131"/>
        <v>822092.35951380362</v>
      </c>
      <c r="Q290" s="76">
        <f t="shared" si="131"/>
        <v>14155.249603822174</v>
      </c>
      <c r="R290" s="76">
        <f t="shared" si="131"/>
        <v>22848.702473773636</v>
      </c>
      <c r="S290" s="76">
        <f t="shared" si="131"/>
        <v>366.9156346368402</v>
      </c>
      <c r="T290" s="76">
        <f t="shared" si="131"/>
        <v>520.09637823629089</v>
      </c>
      <c r="U290" s="76">
        <f t="shared" si="131"/>
        <v>0</v>
      </c>
      <c r="V290" s="76">
        <f t="shared" si="131"/>
        <v>0</v>
      </c>
      <c r="W290" s="76">
        <f t="shared" si="131"/>
        <v>0</v>
      </c>
      <c r="X290" s="62">
        <f t="shared" si="131"/>
        <v>0</v>
      </c>
      <c r="Y290" s="62">
        <f t="shared" si="131"/>
        <v>0</v>
      </c>
      <c r="Z290" s="62">
        <f t="shared" si="131"/>
        <v>0</v>
      </c>
      <c r="AA290" s="64">
        <f>SUM(G290:Z290)</f>
        <v>73368547.409999982</v>
      </c>
      <c r="AB290" s="58" t="str">
        <f>IF(ABS(F290-AA290)&lt;0.01,"ok","err")</f>
        <v>ok</v>
      </c>
    </row>
    <row r="291" spans="1:28">
      <c r="A291" s="44"/>
    </row>
    <row r="292" spans="1:28">
      <c r="A292" s="44"/>
    </row>
    <row r="293" spans="1:28" ht="14.1">
      <c r="A293" s="45" t="s">
        <v>995</v>
      </c>
    </row>
    <row r="294" spans="1:28">
      <c r="A294" s="44"/>
    </row>
    <row r="295" spans="1:28" ht="14.1">
      <c r="A295" s="45" t="s">
        <v>352</v>
      </c>
    </row>
    <row r="296" spans="1:28">
      <c r="A296" s="458" t="s">
        <v>1441</v>
      </c>
      <c r="C296" s="60" t="s">
        <v>997</v>
      </c>
      <c r="D296" s="44" t="s">
        <v>1437</v>
      </c>
      <c r="E296" s="44" t="s">
        <v>1426</v>
      </c>
      <c r="F296" s="76">
        <f>VLOOKUP(C296,'Functional Assignment'!$C$2:$AP$780,'Functional Assignment'!$H$2,)</f>
        <v>212733072.11107191</v>
      </c>
      <c r="G296" s="76">
        <f t="shared" ref="G296:P301" si="132">IF(VLOOKUP($E296,$D$6:$AN$1150,3,)=0,0,(VLOOKUP($E296,$D$6:$AN$1150,G$2,)/VLOOKUP($E296,$D$6:$AN$1150,3,))*$F296)</f>
        <v>93122857.990479201</v>
      </c>
      <c r="H296" s="76">
        <f t="shared" si="132"/>
        <v>35460.401037370793</v>
      </c>
      <c r="I296" s="76">
        <f t="shared" si="132"/>
        <v>26017736.225685559</v>
      </c>
      <c r="J296" s="76">
        <f t="shared" si="132"/>
        <v>1763072.0178129254</v>
      </c>
      <c r="K296" s="76">
        <f t="shared" si="132"/>
        <v>29006159.751298692</v>
      </c>
      <c r="L296" s="76">
        <f t="shared" si="132"/>
        <v>26182978.603174038</v>
      </c>
      <c r="M296" s="76">
        <f t="shared" si="132"/>
        <v>22276125.729507271</v>
      </c>
      <c r="N296" s="76">
        <f t="shared" si="132"/>
        <v>12656251.061032001</v>
      </c>
      <c r="O296" s="76">
        <f t="shared" si="132"/>
        <v>751289.04715277825</v>
      </c>
      <c r="P296" s="76">
        <f t="shared" si="132"/>
        <v>769993.36310124025</v>
      </c>
      <c r="Q296" s="76">
        <f t="shared" ref="Q296:Z301" si="133">IF(VLOOKUP($E296,$D$6:$AN$1150,3,)=0,0,(VLOOKUP($E296,$D$6:$AN$1150,Q$2,)/VLOOKUP($E296,$D$6:$AN$1150,3,))*$F296)</f>
        <v>26818.884545357352</v>
      </c>
      <c r="R296" s="76">
        <f t="shared" si="133"/>
        <v>36933.347679243954</v>
      </c>
      <c r="S296" s="76">
        <f t="shared" si="133"/>
        <v>36.384331942817994</v>
      </c>
      <c r="T296" s="76">
        <f t="shared" si="133"/>
        <v>335.3700259425899</v>
      </c>
      <c r="U296" s="76">
        <f t="shared" si="133"/>
        <v>83869.534208333309</v>
      </c>
      <c r="V296" s="76">
        <f t="shared" si="133"/>
        <v>3154.4</v>
      </c>
      <c r="W296" s="76">
        <f t="shared" si="133"/>
        <v>0</v>
      </c>
      <c r="X296" s="62">
        <f t="shared" si="133"/>
        <v>0</v>
      </c>
      <c r="Y296" s="62">
        <f t="shared" si="133"/>
        <v>0</v>
      </c>
      <c r="Z296" s="62">
        <f t="shared" si="133"/>
        <v>0</v>
      </c>
      <c r="AA296" s="64">
        <f t="shared" ref="AA296:AA302" si="134">SUM(G296:Z296)</f>
        <v>212733072.11107188</v>
      </c>
      <c r="AB296" s="58" t="str">
        <f t="shared" ref="AB296:AB302" si="135">IF(ABS(F296-AA296)&lt;0.01,"ok","err")</f>
        <v>ok</v>
      </c>
    </row>
    <row r="297" spans="1:28" hidden="1">
      <c r="A297" s="458" t="s">
        <v>1256</v>
      </c>
      <c r="C297" s="60" t="s">
        <v>997</v>
      </c>
      <c r="D297" s="44" t="s">
        <v>487</v>
      </c>
      <c r="E297" s="44" t="s">
        <v>1426</v>
      </c>
      <c r="F297" s="79">
        <f>VLOOKUP(C297,'Functional Assignment'!$C$2:$AP$780,'Functional Assignment'!$I$2,)</f>
        <v>0</v>
      </c>
      <c r="G297" s="79">
        <f t="shared" si="132"/>
        <v>0</v>
      </c>
      <c r="H297" s="79">
        <f t="shared" si="132"/>
        <v>0</v>
      </c>
      <c r="I297" s="79">
        <f t="shared" si="132"/>
        <v>0</v>
      </c>
      <c r="J297" s="79">
        <f t="shared" si="132"/>
        <v>0</v>
      </c>
      <c r="K297" s="79">
        <f t="shared" si="132"/>
        <v>0</v>
      </c>
      <c r="L297" s="79">
        <f t="shared" si="132"/>
        <v>0</v>
      </c>
      <c r="M297" s="79">
        <f t="shared" si="132"/>
        <v>0</v>
      </c>
      <c r="N297" s="79">
        <f t="shared" si="132"/>
        <v>0</v>
      </c>
      <c r="O297" s="79">
        <f t="shared" si="132"/>
        <v>0</v>
      </c>
      <c r="P297" s="79">
        <f t="shared" si="132"/>
        <v>0</v>
      </c>
      <c r="Q297" s="79">
        <f t="shared" si="133"/>
        <v>0</v>
      </c>
      <c r="R297" s="79">
        <f t="shared" si="133"/>
        <v>0</v>
      </c>
      <c r="S297" s="79">
        <f t="shared" si="133"/>
        <v>0</v>
      </c>
      <c r="T297" s="79">
        <f t="shared" si="133"/>
        <v>0</v>
      </c>
      <c r="U297" s="79">
        <f t="shared" si="133"/>
        <v>0</v>
      </c>
      <c r="V297" s="79">
        <f t="shared" si="133"/>
        <v>0</v>
      </c>
      <c r="W297" s="79">
        <f t="shared" si="133"/>
        <v>0</v>
      </c>
      <c r="X297" s="63">
        <f t="shared" si="133"/>
        <v>0</v>
      </c>
      <c r="Y297" s="63">
        <f t="shared" si="133"/>
        <v>0</v>
      </c>
      <c r="Z297" s="63">
        <f t="shared" si="133"/>
        <v>0</v>
      </c>
      <c r="AA297" s="63">
        <f t="shared" si="134"/>
        <v>0</v>
      </c>
      <c r="AB297" s="58" t="str">
        <f t="shared" si="135"/>
        <v>ok</v>
      </c>
    </row>
    <row r="298" spans="1:28" hidden="1">
      <c r="A298" s="458" t="s">
        <v>1256</v>
      </c>
      <c r="C298" s="60" t="s">
        <v>997</v>
      </c>
      <c r="D298" s="44" t="s">
        <v>488</v>
      </c>
      <c r="E298" s="44" t="s">
        <v>1426</v>
      </c>
      <c r="F298" s="79">
        <f>VLOOKUP(C298,'Functional Assignment'!$C$2:$AP$780,'Functional Assignment'!$J$2,)</f>
        <v>0</v>
      </c>
      <c r="G298" s="79">
        <f t="shared" si="132"/>
        <v>0</v>
      </c>
      <c r="H298" s="79">
        <f t="shared" si="132"/>
        <v>0</v>
      </c>
      <c r="I298" s="79">
        <f t="shared" si="132"/>
        <v>0</v>
      </c>
      <c r="J298" s="79">
        <f t="shared" si="132"/>
        <v>0</v>
      </c>
      <c r="K298" s="79">
        <f t="shared" si="132"/>
        <v>0</v>
      </c>
      <c r="L298" s="79">
        <f t="shared" si="132"/>
        <v>0</v>
      </c>
      <c r="M298" s="79">
        <f t="shared" si="132"/>
        <v>0</v>
      </c>
      <c r="N298" s="79">
        <f t="shared" si="132"/>
        <v>0</v>
      </c>
      <c r="O298" s="79">
        <f t="shared" si="132"/>
        <v>0</v>
      </c>
      <c r="P298" s="79">
        <f t="shared" si="132"/>
        <v>0</v>
      </c>
      <c r="Q298" s="79">
        <f t="shared" si="133"/>
        <v>0</v>
      </c>
      <c r="R298" s="79">
        <f t="shared" si="133"/>
        <v>0</v>
      </c>
      <c r="S298" s="79">
        <f t="shared" si="133"/>
        <v>0</v>
      </c>
      <c r="T298" s="79">
        <f t="shared" si="133"/>
        <v>0</v>
      </c>
      <c r="U298" s="79">
        <f t="shared" si="133"/>
        <v>0</v>
      </c>
      <c r="V298" s="79">
        <f t="shared" si="133"/>
        <v>0</v>
      </c>
      <c r="W298" s="79">
        <f t="shared" si="133"/>
        <v>0</v>
      </c>
      <c r="X298" s="63">
        <f t="shared" si="133"/>
        <v>0</v>
      </c>
      <c r="Y298" s="63">
        <f t="shared" si="133"/>
        <v>0</v>
      </c>
      <c r="Z298" s="63">
        <f t="shared" si="133"/>
        <v>0</v>
      </c>
      <c r="AA298" s="63">
        <f t="shared" si="134"/>
        <v>0</v>
      </c>
      <c r="AB298" s="58" t="str">
        <f t="shared" si="135"/>
        <v>ok</v>
      </c>
    </row>
    <row r="299" spans="1:28">
      <c r="A299" s="458" t="s">
        <v>1160</v>
      </c>
      <c r="C299" s="60" t="s">
        <v>997</v>
      </c>
      <c r="D299" s="44" t="s">
        <v>489</v>
      </c>
      <c r="E299" s="44" t="s">
        <v>1015</v>
      </c>
      <c r="F299" s="79">
        <f>VLOOKUP(C299,'Functional Assignment'!$C$2:$AP$780,'Functional Assignment'!$K$2,)</f>
        <v>0</v>
      </c>
      <c r="G299" s="79">
        <f t="shared" si="132"/>
        <v>0</v>
      </c>
      <c r="H299" s="79">
        <f t="shared" si="132"/>
        <v>0</v>
      </c>
      <c r="I299" s="79">
        <f t="shared" si="132"/>
        <v>0</v>
      </c>
      <c r="J299" s="79">
        <f t="shared" si="132"/>
        <v>0</v>
      </c>
      <c r="K299" s="79">
        <f t="shared" si="132"/>
        <v>0</v>
      </c>
      <c r="L299" s="79">
        <f t="shared" si="132"/>
        <v>0</v>
      </c>
      <c r="M299" s="79">
        <f t="shared" si="132"/>
        <v>0</v>
      </c>
      <c r="N299" s="79">
        <f t="shared" si="132"/>
        <v>0</v>
      </c>
      <c r="O299" s="79">
        <f t="shared" si="132"/>
        <v>0</v>
      </c>
      <c r="P299" s="79">
        <f t="shared" si="132"/>
        <v>0</v>
      </c>
      <c r="Q299" s="79">
        <f t="shared" si="133"/>
        <v>0</v>
      </c>
      <c r="R299" s="79">
        <f t="shared" si="133"/>
        <v>0</v>
      </c>
      <c r="S299" s="79">
        <f t="shared" si="133"/>
        <v>0</v>
      </c>
      <c r="T299" s="79">
        <f t="shared" si="133"/>
        <v>0</v>
      </c>
      <c r="U299" s="79">
        <f t="shared" si="133"/>
        <v>0</v>
      </c>
      <c r="V299" s="79">
        <f t="shared" si="133"/>
        <v>0</v>
      </c>
      <c r="W299" s="79">
        <f t="shared" si="133"/>
        <v>0</v>
      </c>
      <c r="X299" s="63">
        <f t="shared" si="133"/>
        <v>0</v>
      </c>
      <c r="Y299" s="63">
        <f t="shared" si="133"/>
        <v>0</v>
      </c>
      <c r="Z299" s="63">
        <f t="shared" si="133"/>
        <v>0</v>
      </c>
      <c r="AA299" s="63">
        <f t="shared" si="134"/>
        <v>0</v>
      </c>
      <c r="AB299" s="58" t="str">
        <f t="shared" si="135"/>
        <v>ok</v>
      </c>
    </row>
    <row r="300" spans="1:28" hidden="1">
      <c r="A300" s="458" t="s">
        <v>1161</v>
      </c>
      <c r="C300" s="60" t="s">
        <v>997</v>
      </c>
      <c r="D300" s="44" t="s">
        <v>490</v>
      </c>
      <c r="E300" s="44" t="s">
        <v>1015</v>
      </c>
      <c r="F300" s="79">
        <f>VLOOKUP(C300,'Functional Assignment'!$C$2:$AP$780,'Functional Assignment'!$L$2,)</f>
        <v>0</v>
      </c>
      <c r="G300" s="79">
        <f t="shared" si="132"/>
        <v>0</v>
      </c>
      <c r="H300" s="79">
        <f t="shared" si="132"/>
        <v>0</v>
      </c>
      <c r="I300" s="79">
        <f t="shared" si="132"/>
        <v>0</v>
      </c>
      <c r="J300" s="79">
        <f t="shared" si="132"/>
        <v>0</v>
      </c>
      <c r="K300" s="79">
        <f t="shared" si="132"/>
        <v>0</v>
      </c>
      <c r="L300" s="79">
        <f t="shared" si="132"/>
        <v>0</v>
      </c>
      <c r="M300" s="79">
        <f t="shared" si="132"/>
        <v>0</v>
      </c>
      <c r="N300" s="79">
        <f t="shared" si="132"/>
        <v>0</v>
      </c>
      <c r="O300" s="79">
        <f t="shared" si="132"/>
        <v>0</v>
      </c>
      <c r="P300" s="79">
        <f t="shared" si="132"/>
        <v>0</v>
      </c>
      <c r="Q300" s="79">
        <f t="shared" si="133"/>
        <v>0</v>
      </c>
      <c r="R300" s="79">
        <f t="shared" si="133"/>
        <v>0</v>
      </c>
      <c r="S300" s="79">
        <f t="shared" si="133"/>
        <v>0</v>
      </c>
      <c r="T300" s="79">
        <f t="shared" si="133"/>
        <v>0</v>
      </c>
      <c r="U300" s="79">
        <f t="shared" si="133"/>
        <v>0</v>
      </c>
      <c r="V300" s="79">
        <f t="shared" si="133"/>
        <v>0</v>
      </c>
      <c r="W300" s="79">
        <f t="shared" si="133"/>
        <v>0</v>
      </c>
      <c r="X300" s="63">
        <f t="shared" si="133"/>
        <v>0</v>
      </c>
      <c r="Y300" s="63">
        <f t="shared" si="133"/>
        <v>0</v>
      </c>
      <c r="Z300" s="63">
        <f t="shared" si="133"/>
        <v>0</v>
      </c>
      <c r="AA300" s="63">
        <f t="shared" si="134"/>
        <v>0</v>
      </c>
      <c r="AB300" s="58" t="str">
        <f t="shared" si="135"/>
        <v>ok</v>
      </c>
    </row>
    <row r="301" spans="1:28" hidden="1">
      <c r="A301" s="458" t="s">
        <v>1161</v>
      </c>
      <c r="C301" s="60" t="s">
        <v>997</v>
      </c>
      <c r="D301" s="44" t="s">
        <v>491</v>
      </c>
      <c r="E301" s="44" t="s">
        <v>1015</v>
      </c>
      <c r="F301" s="79">
        <f>VLOOKUP(C301,'Functional Assignment'!$C$2:$AP$780,'Functional Assignment'!$M$2,)</f>
        <v>0</v>
      </c>
      <c r="G301" s="79">
        <f t="shared" si="132"/>
        <v>0</v>
      </c>
      <c r="H301" s="79">
        <f t="shared" si="132"/>
        <v>0</v>
      </c>
      <c r="I301" s="79">
        <f t="shared" si="132"/>
        <v>0</v>
      </c>
      <c r="J301" s="79">
        <f t="shared" si="132"/>
        <v>0</v>
      </c>
      <c r="K301" s="79">
        <f t="shared" si="132"/>
        <v>0</v>
      </c>
      <c r="L301" s="79">
        <f t="shared" si="132"/>
        <v>0</v>
      </c>
      <c r="M301" s="79">
        <f t="shared" si="132"/>
        <v>0</v>
      </c>
      <c r="N301" s="79">
        <f t="shared" si="132"/>
        <v>0</v>
      </c>
      <c r="O301" s="79">
        <f t="shared" si="132"/>
        <v>0</v>
      </c>
      <c r="P301" s="79">
        <f t="shared" si="132"/>
        <v>0</v>
      </c>
      <c r="Q301" s="79">
        <f t="shared" si="133"/>
        <v>0</v>
      </c>
      <c r="R301" s="79">
        <f t="shared" si="133"/>
        <v>0</v>
      </c>
      <c r="S301" s="79">
        <f t="shared" si="133"/>
        <v>0</v>
      </c>
      <c r="T301" s="79">
        <f t="shared" si="133"/>
        <v>0</v>
      </c>
      <c r="U301" s="79">
        <f t="shared" si="133"/>
        <v>0</v>
      </c>
      <c r="V301" s="79">
        <f t="shared" si="133"/>
        <v>0</v>
      </c>
      <c r="W301" s="79">
        <f t="shared" si="133"/>
        <v>0</v>
      </c>
      <c r="X301" s="63">
        <f t="shared" si="133"/>
        <v>0</v>
      </c>
      <c r="Y301" s="63">
        <f t="shared" si="133"/>
        <v>0</v>
      </c>
      <c r="Z301" s="63">
        <f t="shared" si="133"/>
        <v>0</v>
      </c>
      <c r="AA301" s="63">
        <f t="shared" si="134"/>
        <v>0</v>
      </c>
      <c r="AB301" s="58" t="str">
        <f t="shared" si="135"/>
        <v>ok</v>
      </c>
    </row>
    <row r="302" spans="1:28">
      <c r="A302" s="44" t="s">
        <v>374</v>
      </c>
      <c r="D302" s="44" t="s">
        <v>492</v>
      </c>
      <c r="E302" s="44"/>
      <c r="F302" s="76">
        <f>SUM(F296:F301)</f>
        <v>212733072.11107191</v>
      </c>
      <c r="G302" s="76">
        <f t="shared" ref="G302:P302" si="136">SUM(G296:G301)</f>
        <v>93122857.990479201</v>
      </c>
      <c r="H302" s="76">
        <f t="shared" si="136"/>
        <v>35460.401037370793</v>
      </c>
      <c r="I302" s="76">
        <f t="shared" si="136"/>
        <v>26017736.225685559</v>
      </c>
      <c r="J302" s="76">
        <f t="shared" si="136"/>
        <v>1763072.0178129254</v>
      </c>
      <c r="K302" s="76">
        <f t="shared" si="136"/>
        <v>29006159.751298692</v>
      </c>
      <c r="L302" s="76">
        <f t="shared" si="136"/>
        <v>26182978.603174038</v>
      </c>
      <c r="M302" s="76">
        <f t="shared" si="136"/>
        <v>22276125.729507271</v>
      </c>
      <c r="N302" s="76">
        <f t="shared" si="136"/>
        <v>12656251.061032001</v>
      </c>
      <c r="O302" s="76">
        <f>SUM(O296:O301)</f>
        <v>751289.04715277825</v>
      </c>
      <c r="P302" s="76">
        <f t="shared" si="136"/>
        <v>769993.36310124025</v>
      </c>
      <c r="Q302" s="76">
        <f t="shared" ref="Q302:W302" si="137">SUM(Q296:Q301)</f>
        <v>26818.884545357352</v>
      </c>
      <c r="R302" s="76">
        <f t="shared" si="137"/>
        <v>36933.347679243954</v>
      </c>
      <c r="S302" s="76">
        <f t="shared" si="137"/>
        <v>36.384331942817994</v>
      </c>
      <c r="T302" s="76">
        <f t="shared" si="137"/>
        <v>335.3700259425899</v>
      </c>
      <c r="U302" s="76">
        <f t="shared" si="137"/>
        <v>83869.534208333309</v>
      </c>
      <c r="V302" s="76">
        <f t="shared" si="137"/>
        <v>3154.4</v>
      </c>
      <c r="W302" s="76">
        <f t="shared" si="137"/>
        <v>0</v>
      </c>
      <c r="X302" s="62">
        <f>SUM(X296:X301)</f>
        <v>0</v>
      </c>
      <c r="Y302" s="62">
        <f>SUM(Y296:Y301)</f>
        <v>0</v>
      </c>
      <c r="Z302" s="62">
        <f>SUM(Z296:Z301)</f>
        <v>0</v>
      </c>
      <c r="AA302" s="64">
        <f t="shared" si="134"/>
        <v>212733072.11107188</v>
      </c>
      <c r="AB302" s="58" t="str">
        <f t="shared" si="135"/>
        <v>ok</v>
      </c>
    </row>
    <row r="303" spans="1:28">
      <c r="A303" s="44"/>
      <c r="F303" s="79"/>
      <c r="G303" s="79"/>
    </row>
    <row r="304" spans="1:28" ht="14.1">
      <c r="A304" s="45" t="s">
        <v>1055</v>
      </c>
      <c r="F304" s="79"/>
      <c r="G304" s="79"/>
    </row>
    <row r="305" spans="1:28">
      <c r="A305" s="458" t="s">
        <v>1225</v>
      </c>
      <c r="C305" s="60" t="s">
        <v>997</v>
      </c>
      <c r="D305" s="60" t="s">
        <v>493</v>
      </c>
      <c r="E305" s="60" t="s">
        <v>1229</v>
      </c>
      <c r="F305" s="76">
        <f>VLOOKUP(C305,'Functional Assignment'!$C$2:$AP$780,'Functional Assignment'!$N$2,)</f>
        <v>14573794.862699246</v>
      </c>
      <c r="G305" s="76">
        <f t="shared" ref="G305:P307" si="138">IF(VLOOKUP($E305,$D$6:$AN$1150,3,)=0,0,(VLOOKUP($E305,$D$6:$AN$1150,G$2,)/VLOOKUP($E305,$D$6:$AN$1150,3,))*$F305)</f>
        <v>6880215.5564031852</v>
      </c>
      <c r="H305" s="76">
        <f t="shared" si="138"/>
        <v>25194.544503294928</v>
      </c>
      <c r="I305" s="76">
        <f t="shared" si="138"/>
        <v>1682014.3033641081</v>
      </c>
      <c r="J305" s="76">
        <f t="shared" si="138"/>
        <v>110412.69755564674</v>
      </c>
      <c r="K305" s="76">
        <f t="shared" si="138"/>
        <v>1871563.2657848955</v>
      </c>
      <c r="L305" s="76">
        <f t="shared" si="138"/>
        <v>1569538.1080841322</v>
      </c>
      <c r="M305" s="76">
        <f t="shared" si="138"/>
        <v>1485943.8413855894</v>
      </c>
      <c r="N305" s="76">
        <f t="shared" si="138"/>
        <v>774893.58906348678</v>
      </c>
      <c r="O305" s="76">
        <f t="shared" si="138"/>
        <v>49795.203079490639</v>
      </c>
      <c r="P305" s="76">
        <f t="shared" si="138"/>
        <v>118001.21486435932</v>
      </c>
      <c r="Q305" s="76">
        <f t="shared" ref="Q305:Z307" si="139">IF(VLOOKUP($E305,$D$6:$AN$1150,3,)=0,0,(VLOOKUP($E305,$D$6:$AN$1150,Q$2,)/VLOOKUP($E305,$D$6:$AN$1150,3,))*$F305)</f>
        <v>4109.9847210540993</v>
      </c>
      <c r="R305" s="76">
        <f t="shared" si="139"/>
        <v>1886.6742251757701</v>
      </c>
      <c r="S305" s="76">
        <f t="shared" si="139"/>
        <v>205.32152893433829</v>
      </c>
      <c r="T305" s="76">
        <f t="shared" si="139"/>
        <v>20.558135894017585</v>
      </c>
      <c r="U305" s="76">
        <f t="shared" si="139"/>
        <v>0</v>
      </c>
      <c r="V305" s="76">
        <f t="shared" si="139"/>
        <v>0</v>
      </c>
      <c r="W305" s="76">
        <f t="shared" si="139"/>
        <v>0</v>
      </c>
      <c r="X305" s="62">
        <f t="shared" si="139"/>
        <v>0</v>
      </c>
      <c r="Y305" s="62">
        <f t="shared" si="139"/>
        <v>0</v>
      </c>
      <c r="Z305" s="62">
        <f t="shared" si="139"/>
        <v>0</v>
      </c>
      <c r="AA305" s="64">
        <f>SUM(G305:Z305)</f>
        <v>14573794.862699244</v>
      </c>
      <c r="AB305" s="58" t="str">
        <f>IF(ABS(F305-AA305)&lt;0.01,"ok","err")</f>
        <v>ok</v>
      </c>
    </row>
    <row r="306" spans="1:28" hidden="1">
      <c r="A306" s="458" t="s">
        <v>1226</v>
      </c>
      <c r="C306" s="60" t="s">
        <v>997</v>
      </c>
      <c r="D306" s="60" t="s">
        <v>494</v>
      </c>
      <c r="E306" s="60" t="s">
        <v>1229</v>
      </c>
      <c r="F306" s="79">
        <f>VLOOKUP(C306,'Functional Assignment'!$C$2:$AP$780,'Functional Assignment'!$O$2,)</f>
        <v>0</v>
      </c>
      <c r="G306" s="79">
        <f t="shared" si="138"/>
        <v>0</v>
      </c>
      <c r="H306" s="79">
        <f t="shared" si="138"/>
        <v>0</v>
      </c>
      <c r="I306" s="79">
        <f t="shared" si="138"/>
        <v>0</v>
      </c>
      <c r="J306" s="79">
        <f t="shared" si="138"/>
        <v>0</v>
      </c>
      <c r="K306" s="79">
        <f t="shared" si="138"/>
        <v>0</v>
      </c>
      <c r="L306" s="79">
        <f t="shared" si="138"/>
        <v>0</v>
      </c>
      <c r="M306" s="79">
        <f t="shared" si="138"/>
        <v>0</v>
      </c>
      <c r="N306" s="79">
        <f t="shared" si="138"/>
        <v>0</v>
      </c>
      <c r="O306" s="79">
        <f t="shared" si="138"/>
        <v>0</v>
      </c>
      <c r="P306" s="79">
        <f t="shared" si="138"/>
        <v>0</v>
      </c>
      <c r="Q306" s="79">
        <f t="shared" si="139"/>
        <v>0</v>
      </c>
      <c r="R306" s="79">
        <f t="shared" si="139"/>
        <v>0</v>
      </c>
      <c r="S306" s="79">
        <f t="shared" si="139"/>
        <v>0</v>
      </c>
      <c r="T306" s="79">
        <f t="shared" si="139"/>
        <v>0</v>
      </c>
      <c r="U306" s="79">
        <f t="shared" si="139"/>
        <v>0</v>
      </c>
      <c r="V306" s="79">
        <f t="shared" si="139"/>
        <v>0</v>
      </c>
      <c r="W306" s="79">
        <f t="shared" si="139"/>
        <v>0</v>
      </c>
      <c r="X306" s="63">
        <f t="shared" si="139"/>
        <v>0</v>
      </c>
      <c r="Y306" s="63">
        <f t="shared" si="139"/>
        <v>0</v>
      </c>
      <c r="Z306" s="63">
        <f t="shared" si="139"/>
        <v>0</v>
      </c>
      <c r="AA306" s="63">
        <f>SUM(G306:Z306)</f>
        <v>0</v>
      </c>
      <c r="AB306" s="58" t="str">
        <f>IF(ABS(F306-AA306)&lt;0.01,"ok","err")</f>
        <v>ok</v>
      </c>
    </row>
    <row r="307" spans="1:28" hidden="1">
      <c r="A307" s="458" t="s">
        <v>1226</v>
      </c>
      <c r="C307" s="60" t="s">
        <v>997</v>
      </c>
      <c r="D307" s="60" t="s">
        <v>495</v>
      </c>
      <c r="E307" s="60" t="s">
        <v>1229</v>
      </c>
      <c r="F307" s="79">
        <f>VLOOKUP(C307,'Functional Assignment'!$C$2:$AP$780,'Functional Assignment'!$P$2,)</f>
        <v>0</v>
      </c>
      <c r="G307" s="79">
        <f t="shared" si="138"/>
        <v>0</v>
      </c>
      <c r="H307" s="79">
        <f t="shared" si="138"/>
        <v>0</v>
      </c>
      <c r="I307" s="79">
        <f t="shared" si="138"/>
        <v>0</v>
      </c>
      <c r="J307" s="79">
        <f t="shared" si="138"/>
        <v>0</v>
      </c>
      <c r="K307" s="79">
        <f t="shared" si="138"/>
        <v>0</v>
      </c>
      <c r="L307" s="79">
        <f t="shared" si="138"/>
        <v>0</v>
      </c>
      <c r="M307" s="79">
        <f t="shared" si="138"/>
        <v>0</v>
      </c>
      <c r="N307" s="79">
        <f t="shared" si="138"/>
        <v>0</v>
      </c>
      <c r="O307" s="79">
        <f t="shared" si="138"/>
        <v>0</v>
      </c>
      <c r="P307" s="79">
        <f t="shared" si="138"/>
        <v>0</v>
      </c>
      <c r="Q307" s="79">
        <f t="shared" si="139"/>
        <v>0</v>
      </c>
      <c r="R307" s="79">
        <f t="shared" si="139"/>
        <v>0</v>
      </c>
      <c r="S307" s="79">
        <f t="shared" si="139"/>
        <v>0</v>
      </c>
      <c r="T307" s="79">
        <f t="shared" si="139"/>
        <v>0</v>
      </c>
      <c r="U307" s="79">
        <f t="shared" si="139"/>
        <v>0</v>
      </c>
      <c r="V307" s="79">
        <f t="shared" si="139"/>
        <v>0</v>
      </c>
      <c r="W307" s="79">
        <f t="shared" si="139"/>
        <v>0</v>
      </c>
      <c r="X307" s="63">
        <f t="shared" si="139"/>
        <v>0</v>
      </c>
      <c r="Y307" s="63">
        <f t="shared" si="139"/>
        <v>0</v>
      </c>
      <c r="Z307" s="63">
        <f t="shared" si="139"/>
        <v>0</v>
      </c>
      <c r="AA307" s="63">
        <f>SUM(G307:Z307)</f>
        <v>0</v>
      </c>
      <c r="AB307" s="58" t="str">
        <f>IF(ABS(F307-AA307)&lt;0.01,"ok","err")</f>
        <v>ok</v>
      </c>
    </row>
    <row r="308" spans="1:28" hidden="1">
      <c r="A308" s="44" t="s">
        <v>1057</v>
      </c>
      <c r="D308" s="60" t="s">
        <v>496</v>
      </c>
      <c r="F308" s="76">
        <f>SUM(F305:F307)</f>
        <v>14573794.862699246</v>
      </c>
      <c r="G308" s="76">
        <f t="shared" ref="G308:W308" si="140">SUM(G305:G307)</f>
        <v>6880215.5564031852</v>
      </c>
      <c r="H308" s="76">
        <f t="shared" si="140"/>
        <v>25194.544503294928</v>
      </c>
      <c r="I308" s="76">
        <f t="shared" si="140"/>
        <v>1682014.3033641081</v>
      </c>
      <c r="J308" s="76">
        <f t="shared" si="140"/>
        <v>110412.69755564674</v>
      </c>
      <c r="K308" s="76">
        <f t="shared" si="140"/>
        <v>1871563.2657848955</v>
      </c>
      <c r="L308" s="76">
        <f t="shared" si="140"/>
        <v>1569538.1080841322</v>
      </c>
      <c r="M308" s="76">
        <f t="shared" si="140"/>
        <v>1485943.8413855894</v>
      </c>
      <c r="N308" s="76">
        <f t="shared" si="140"/>
        <v>774893.58906348678</v>
      </c>
      <c r="O308" s="76">
        <f>SUM(O305:O307)</f>
        <v>49795.203079490639</v>
      </c>
      <c r="P308" s="76">
        <f t="shared" si="140"/>
        <v>118001.21486435932</v>
      </c>
      <c r="Q308" s="76">
        <f t="shared" si="140"/>
        <v>4109.9847210540993</v>
      </c>
      <c r="R308" s="76">
        <f t="shared" si="140"/>
        <v>1886.6742251757701</v>
      </c>
      <c r="S308" s="76">
        <f t="shared" si="140"/>
        <v>205.32152893433829</v>
      </c>
      <c r="T308" s="76">
        <f t="shared" si="140"/>
        <v>20.558135894017585</v>
      </c>
      <c r="U308" s="76">
        <f t="shared" si="140"/>
        <v>0</v>
      </c>
      <c r="V308" s="76">
        <f t="shared" si="140"/>
        <v>0</v>
      </c>
      <c r="W308" s="76">
        <f t="shared" si="140"/>
        <v>0</v>
      </c>
      <c r="X308" s="62">
        <f>SUM(X305:X307)</f>
        <v>0</v>
      </c>
      <c r="Y308" s="62">
        <f>SUM(Y305:Y307)</f>
        <v>0</v>
      </c>
      <c r="Z308" s="62">
        <f>SUM(Z305:Z307)</f>
        <v>0</v>
      </c>
      <c r="AA308" s="64">
        <f>SUM(G308:Z308)</f>
        <v>14573794.862699244</v>
      </c>
      <c r="AB308" s="58" t="str">
        <f>IF(ABS(F308-AA308)&lt;0.01,"ok","err")</f>
        <v>ok</v>
      </c>
    </row>
    <row r="309" spans="1:28">
      <c r="A309" s="44"/>
      <c r="F309" s="79"/>
      <c r="G309" s="79"/>
    </row>
    <row r="310" spans="1:28" ht="14.1">
      <c r="A310" s="45" t="s">
        <v>337</v>
      </c>
      <c r="F310" s="79"/>
      <c r="G310" s="79"/>
    </row>
    <row r="311" spans="1:28">
      <c r="A311" s="458" t="s">
        <v>359</v>
      </c>
      <c r="C311" s="60" t="s">
        <v>997</v>
      </c>
      <c r="D311" s="60" t="s">
        <v>497</v>
      </c>
      <c r="E311" s="60" t="s">
        <v>1230</v>
      </c>
      <c r="F311" s="76">
        <f>VLOOKUP(C311,'Functional Assignment'!$C$2:$AP$780,'Functional Assignment'!$Q$2,)</f>
        <v>0</v>
      </c>
      <c r="G311" s="76">
        <f t="shared" ref="G311:Z311" si="141">IF(VLOOKUP($E311,$D$6:$AN$1150,3,)=0,0,(VLOOKUP($E311,$D$6:$AN$1150,G$2,)/VLOOKUP($E311,$D$6:$AN$1150,3,))*$F311)</f>
        <v>0</v>
      </c>
      <c r="H311" s="76">
        <f t="shared" si="141"/>
        <v>0</v>
      </c>
      <c r="I311" s="76">
        <f t="shared" si="141"/>
        <v>0</v>
      </c>
      <c r="J311" s="76">
        <f t="shared" si="141"/>
        <v>0</v>
      </c>
      <c r="K311" s="76">
        <f t="shared" si="141"/>
        <v>0</v>
      </c>
      <c r="L311" s="76">
        <f t="shared" si="141"/>
        <v>0</v>
      </c>
      <c r="M311" s="76">
        <f t="shared" si="141"/>
        <v>0</v>
      </c>
      <c r="N311" s="76">
        <f t="shared" si="141"/>
        <v>0</v>
      </c>
      <c r="O311" s="76">
        <f t="shared" si="141"/>
        <v>0</v>
      </c>
      <c r="P311" s="76">
        <f t="shared" si="141"/>
        <v>0</v>
      </c>
      <c r="Q311" s="76">
        <f t="shared" si="141"/>
        <v>0</v>
      </c>
      <c r="R311" s="76">
        <f t="shared" si="141"/>
        <v>0</v>
      </c>
      <c r="S311" s="76">
        <f t="shared" si="141"/>
        <v>0</v>
      </c>
      <c r="T311" s="76">
        <f t="shared" si="141"/>
        <v>0</v>
      </c>
      <c r="U311" s="76">
        <f t="shared" si="141"/>
        <v>0</v>
      </c>
      <c r="V311" s="76">
        <f t="shared" si="141"/>
        <v>0</v>
      </c>
      <c r="W311" s="76">
        <f t="shared" si="141"/>
        <v>0</v>
      </c>
      <c r="X311" s="62">
        <f t="shared" si="141"/>
        <v>0</v>
      </c>
      <c r="Y311" s="62">
        <f t="shared" si="141"/>
        <v>0</v>
      </c>
      <c r="Z311" s="62">
        <f t="shared" si="141"/>
        <v>0</v>
      </c>
      <c r="AA311" s="64">
        <f>SUM(G311:Z311)</f>
        <v>0</v>
      </c>
      <c r="AB311" s="58" t="str">
        <f>IF(ABS(F311-AA311)&lt;0.01,"ok","err")</f>
        <v>ok</v>
      </c>
    </row>
    <row r="312" spans="1:28">
      <c r="A312" s="44"/>
      <c r="F312" s="79"/>
    </row>
    <row r="313" spans="1:28" ht="14.1">
      <c r="A313" s="45" t="s">
        <v>338</v>
      </c>
      <c r="F313" s="79"/>
      <c r="G313" s="79"/>
    </row>
    <row r="314" spans="1:28">
      <c r="A314" s="458" t="s">
        <v>361</v>
      </c>
      <c r="C314" s="60" t="s">
        <v>997</v>
      </c>
      <c r="D314" s="60" t="s">
        <v>498</v>
      </c>
      <c r="E314" s="60" t="s">
        <v>1230</v>
      </c>
      <c r="F314" s="76">
        <f>VLOOKUP(C314,'Functional Assignment'!$C$2:$AP$780,'Functional Assignment'!$R$2,)</f>
        <v>6212135.672551712</v>
      </c>
      <c r="G314" s="76">
        <f t="shared" ref="G314:Z314" si="142">IF(VLOOKUP($E314,$D$6:$AN$1150,3,)=0,0,(VLOOKUP($E314,$D$6:$AN$1150,G$2,)/VLOOKUP($E314,$D$6:$AN$1150,3,))*$F314)</f>
        <v>3097408.3838427248</v>
      </c>
      <c r="H314" s="76">
        <f t="shared" si="142"/>
        <v>11342.347159309158</v>
      </c>
      <c r="I314" s="76">
        <f t="shared" si="142"/>
        <v>757227.03195464623</v>
      </c>
      <c r="J314" s="76">
        <f t="shared" si="142"/>
        <v>49706.758790902968</v>
      </c>
      <c r="K314" s="76">
        <f t="shared" si="142"/>
        <v>842560.19347230135</v>
      </c>
      <c r="L314" s="76">
        <f t="shared" si="142"/>
        <v>706591.30588081712</v>
      </c>
      <c r="M314" s="76">
        <f t="shared" si="142"/>
        <v>668957.95262456976</v>
      </c>
      <c r="N314" s="76">
        <f t="shared" si="142"/>
        <v>0</v>
      </c>
      <c r="O314" s="76">
        <f t="shared" si="142"/>
        <v>22417.33245552504</v>
      </c>
      <c r="P314" s="76">
        <f t="shared" si="142"/>
        <v>53123.037967078912</v>
      </c>
      <c r="Q314" s="76">
        <f t="shared" si="142"/>
        <v>1850.2764961500088</v>
      </c>
      <c r="R314" s="76">
        <f t="shared" si="142"/>
        <v>849.36300537862905</v>
      </c>
      <c r="S314" s="76">
        <f t="shared" si="142"/>
        <v>92.433822732887364</v>
      </c>
      <c r="T314" s="76">
        <f t="shared" si="142"/>
        <v>9.255079575965631</v>
      </c>
      <c r="U314" s="76">
        <f t="shared" si="142"/>
        <v>0</v>
      </c>
      <c r="V314" s="76">
        <f t="shared" si="142"/>
        <v>0</v>
      </c>
      <c r="W314" s="76">
        <f t="shared" si="142"/>
        <v>0</v>
      </c>
      <c r="X314" s="62">
        <f t="shared" si="142"/>
        <v>0</v>
      </c>
      <c r="Y314" s="62">
        <f t="shared" si="142"/>
        <v>0</v>
      </c>
      <c r="Z314" s="62">
        <f t="shared" si="142"/>
        <v>0</v>
      </c>
      <c r="AA314" s="64">
        <f>SUM(G314:Z314)</f>
        <v>6212135.672551713</v>
      </c>
      <c r="AB314" s="58" t="str">
        <f>IF(ABS(F314-AA314)&lt;0.01,"ok","err")</f>
        <v>ok</v>
      </c>
    </row>
    <row r="315" spans="1:28">
      <c r="A315" s="44"/>
      <c r="F315" s="79"/>
    </row>
    <row r="316" spans="1:28" ht="14.1">
      <c r="A316" s="45" t="s">
        <v>360</v>
      </c>
      <c r="F316" s="79"/>
    </row>
    <row r="317" spans="1:28">
      <c r="A317" s="458" t="s">
        <v>603</v>
      </c>
      <c r="C317" s="60" t="s">
        <v>997</v>
      </c>
      <c r="D317" s="60" t="s">
        <v>499</v>
      </c>
      <c r="E317" s="60" t="s">
        <v>1230</v>
      </c>
      <c r="F317" s="76">
        <f>VLOOKUP(C317,'Functional Assignment'!$C$2:$AP$780,'Functional Assignment'!$S$2,)</f>
        <v>0</v>
      </c>
      <c r="G317" s="76">
        <f t="shared" ref="G317:P321" si="143">IF(VLOOKUP($E317,$D$6:$AN$1150,3,)=0,0,(VLOOKUP($E317,$D$6:$AN$1150,G$2,)/VLOOKUP($E317,$D$6:$AN$1150,3,))*$F317)</f>
        <v>0</v>
      </c>
      <c r="H317" s="76">
        <f t="shared" si="143"/>
        <v>0</v>
      </c>
      <c r="I317" s="76">
        <f t="shared" si="143"/>
        <v>0</v>
      </c>
      <c r="J317" s="76">
        <f t="shared" si="143"/>
        <v>0</v>
      </c>
      <c r="K317" s="76">
        <f t="shared" si="143"/>
        <v>0</v>
      </c>
      <c r="L317" s="76">
        <f t="shared" si="143"/>
        <v>0</v>
      </c>
      <c r="M317" s="76">
        <f t="shared" si="143"/>
        <v>0</v>
      </c>
      <c r="N317" s="76">
        <f t="shared" si="143"/>
        <v>0</v>
      </c>
      <c r="O317" s="76">
        <f t="shared" si="143"/>
        <v>0</v>
      </c>
      <c r="P317" s="76">
        <f t="shared" si="143"/>
        <v>0</v>
      </c>
      <c r="Q317" s="76">
        <f t="shared" ref="Q317:Z321" si="144">IF(VLOOKUP($E317,$D$6:$AN$1150,3,)=0,0,(VLOOKUP($E317,$D$6:$AN$1150,Q$2,)/VLOOKUP($E317,$D$6:$AN$1150,3,))*$F317)</f>
        <v>0</v>
      </c>
      <c r="R317" s="76">
        <f t="shared" si="144"/>
        <v>0</v>
      </c>
      <c r="S317" s="76">
        <f t="shared" si="144"/>
        <v>0</v>
      </c>
      <c r="T317" s="76">
        <f t="shared" si="144"/>
        <v>0</v>
      </c>
      <c r="U317" s="76">
        <f t="shared" si="144"/>
        <v>0</v>
      </c>
      <c r="V317" s="76">
        <f t="shared" si="144"/>
        <v>0</v>
      </c>
      <c r="W317" s="76">
        <f t="shared" si="144"/>
        <v>0</v>
      </c>
      <c r="X317" s="62">
        <f t="shared" si="144"/>
        <v>0</v>
      </c>
      <c r="Y317" s="62">
        <f t="shared" si="144"/>
        <v>0</v>
      </c>
      <c r="Z317" s="62">
        <f t="shared" si="144"/>
        <v>0</v>
      </c>
      <c r="AA317" s="64">
        <f t="shared" ref="AA317:AA322" si="145">SUM(G317:Z317)</f>
        <v>0</v>
      </c>
      <c r="AB317" s="58" t="str">
        <f t="shared" ref="AB317:AB322" si="146">IF(ABS(F317-AA317)&lt;0.01,"ok","err")</f>
        <v>ok</v>
      </c>
    </row>
    <row r="318" spans="1:28">
      <c r="A318" s="458" t="s">
        <v>604</v>
      </c>
      <c r="C318" s="60" t="s">
        <v>997</v>
      </c>
      <c r="D318" s="60" t="s">
        <v>500</v>
      </c>
      <c r="E318" s="60" t="s">
        <v>1230</v>
      </c>
      <c r="F318" s="79">
        <f>VLOOKUP(C318,'Functional Assignment'!$C$2:$AP$780,'Functional Assignment'!$T$2,)</f>
        <v>9536738.2354523409</v>
      </c>
      <c r="G318" s="79">
        <f t="shared" si="143"/>
        <v>4755075.3109791586</v>
      </c>
      <c r="H318" s="79">
        <f t="shared" si="143"/>
        <v>17412.529528597068</v>
      </c>
      <c r="I318" s="79">
        <f t="shared" si="143"/>
        <v>1162478.7946065022</v>
      </c>
      <c r="J318" s="79">
        <f t="shared" si="143"/>
        <v>76308.756297154905</v>
      </c>
      <c r="K318" s="79">
        <f t="shared" si="143"/>
        <v>1293480.4447786356</v>
      </c>
      <c r="L318" s="79">
        <f t="shared" si="143"/>
        <v>1084743.907543126</v>
      </c>
      <c r="M318" s="79">
        <f t="shared" si="143"/>
        <v>1026969.986005492</v>
      </c>
      <c r="N318" s="79">
        <f t="shared" si="143"/>
        <v>0</v>
      </c>
      <c r="O318" s="79">
        <f t="shared" si="143"/>
        <v>34414.610825400116</v>
      </c>
      <c r="P318" s="79">
        <f t="shared" si="143"/>
        <v>81553.355249874498</v>
      </c>
      <c r="Q318" s="79">
        <f t="shared" si="144"/>
        <v>2840.5050271132318</v>
      </c>
      <c r="R318" s="79">
        <f t="shared" si="144"/>
        <v>1303.9239765743632</v>
      </c>
      <c r="S318" s="79">
        <f t="shared" si="144"/>
        <v>141.90243387644117</v>
      </c>
      <c r="T318" s="79">
        <f t="shared" si="144"/>
        <v>14.208200837315298</v>
      </c>
      <c r="U318" s="79">
        <f t="shared" si="144"/>
        <v>0</v>
      </c>
      <c r="V318" s="79">
        <f t="shared" si="144"/>
        <v>0</v>
      </c>
      <c r="W318" s="79">
        <f t="shared" si="144"/>
        <v>0</v>
      </c>
      <c r="X318" s="63">
        <f t="shared" si="144"/>
        <v>0</v>
      </c>
      <c r="Y318" s="63">
        <f t="shared" si="144"/>
        <v>0</v>
      </c>
      <c r="Z318" s="63">
        <f t="shared" si="144"/>
        <v>0</v>
      </c>
      <c r="AA318" s="63">
        <f t="shared" si="145"/>
        <v>9536738.2354523428</v>
      </c>
      <c r="AB318" s="58" t="str">
        <f t="shared" si="146"/>
        <v>ok</v>
      </c>
    </row>
    <row r="319" spans="1:28">
      <c r="A319" s="458" t="s">
        <v>605</v>
      </c>
      <c r="C319" s="60" t="s">
        <v>997</v>
      </c>
      <c r="D319" s="60" t="s">
        <v>501</v>
      </c>
      <c r="E319" s="60" t="s">
        <v>658</v>
      </c>
      <c r="F319" s="79">
        <f>VLOOKUP(C319,'Functional Assignment'!$C$2:$AP$780,'Functional Assignment'!$U$2,)</f>
        <v>15606193.407375533</v>
      </c>
      <c r="G319" s="79">
        <f t="shared" si="143"/>
        <v>13460850.633321427</v>
      </c>
      <c r="H319" s="79">
        <f t="shared" si="143"/>
        <v>33226.05291117046</v>
      </c>
      <c r="I319" s="79">
        <f t="shared" si="143"/>
        <v>1620985.5074708802</v>
      </c>
      <c r="J319" s="79">
        <f t="shared" si="143"/>
        <v>2501.5581648636003</v>
      </c>
      <c r="K319" s="79">
        <f t="shared" si="143"/>
        <v>99433.265490463833</v>
      </c>
      <c r="L319" s="79">
        <f t="shared" si="143"/>
        <v>4702.733533257473</v>
      </c>
      <c r="M319" s="79">
        <f t="shared" si="143"/>
        <v>18047.151148916353</v>
      </c>
      <c r="N319" s="79">
        <f t="shared" si="143"/>
        <v>0</v>
      </c>
      <c r="O319" s="79">
        <f t="shared" si="143"/>
        <v>71.473090424674297</v>
      </c>
      <c r="P319" s="79">
        <f t="shared" si="143"/>
        <v>361371.91591439908</v>
      </c>
      <c r="Q319" s="79">
        <f t="shared" si="144"/>
        <v>639.2870865762535</v>
      </c>
      <c r="R319" s="79">
        <f t="shared" si="144"/>
        <v>3970.7272458152383</v>
      </c>
      <c r="S319" s="79">
        <f t="shared" si="144"/>
        <v>35.736545212337148</v>
      </c>
      <c r="T319" s="79">
        <f t="shared" si="144"/>
        <v>357.36545212337148</v>
      </c>
      <c r="U319" s="79">
        <f t="shared" si="144"/>
        <v>0</v>
      </c>
      <c r="V319" s="79">
        <f t="shared" si="144"/>
        <v>0</v>
      </c>
      <c r="W319" s="79">
        <f t="shared" si="144"/>
        <v>0</v>
      </c>
      <c r="X319" s="63">
        <f t="shared" si="144"/>
        <v>0</v>
      </c>
      <c r="Y319" s="63">
        <f t="shared" si="144"/>
        <v>0</v>
      </c>
      <c r="Z319" s="63">
        <f t="shared" si="144"/>
        <v>0</v>
      </c>
      <c r="AA319" s="63">
        <f t="shared" si="145"/>
        <v>15606193.407375529</v>
      </c>
      <c r="AB319" s="58" t="str">
        <f t="shared" si="146"/>
        <v>ok</v>
      </c>
    </row>
    <row r="320" spans="1:28">
      <c r="A320" s="458" t="s">
        <v>606</v>
      </c>
      <c r="C320" s="60" t="s">
        <v>997</v>
      </c>
      <c r="D320" s="60" t="s">
        <v>502</v>
      </c>
      <c r="E320" s="60" t="s">
        <v>646</v>
      </c>
      <c r="F320" s="79">
        <f>VLOOKUP(C320,'Functional Assignment'!$C$2:$AP$780,'Functional Assignment'!$V$2,)</f>
        <v>2660836.9943457851</v>
      </c>
      <c r="G320" s="79">
        <f t="shared" si="143"/>
        <v>2013343.5708774824</v>
      </c>
      <c r="H320" s="79">
        <f t="shared" si="143"/>
        <v>4182.8613939724391</v>
      </c>
      <c r="I320" s="79">
        <f t="shared" si="143"/>
        <v>322036.72956851625</v>
      </c>
      <c r="J320" s="79">
        <f t="shared" si="143"/>
        <v>0</v>
      </c>
      <c r="K320" s="79">
        <f t="shared" si="143"/>
        <v>305013.7004821726</v>
      </c>
      <c r="L320" s="79">
        <f t="shared" si="143"/>
        <v>0</v>
      </c>
      <c r="M320" s="79">
        <f t="shared" si="143"/>
        <v>0</v>
      </c>
      <c r="N320" s="79">
        <f t="shared" si="143"/>
        <v>0</v>
      </c>
      <c r="O320" s="79">
        <f t="shared" si="143"/>
        <v>0</v>
      </c>
      <c r="P320" s="79">
        <f t="shared" si="143"/>
        <v>15445.639653967433</v>
      </c>
      <c r="Q320" s="79">
        <f t="shared" si="144"/>
        <v>537.97194425230578</v>
      </c>
      <c r="R320" s="79">
        <f t="shared" si="144"/>
        <v>246.95415432790401</v>
      </c>
      <c r="S320" s="79">
        <f t="shared" si="144"/>
        <v>26.875336434178461</v>
      </c>
      <c r="T320" s="79">
        <f t="shared" si="144"/>
        <v>2.6909346597938795</v>
      </c>
      <c r="U320" s="79">
        <f t="shared" si="144"/>
        <v>0</v>
      </c>
      <c r="V320" s="79">
        <f t="shared" si="144"/>
        <v>0</v>
      </c>
      <c r="W320" s="79">
        <f t="shared" si="144"/>
        <v>0</v>
      </c>
      <c r="X320" s="63">
        <f t="shared" si="144"/>
        <v>0</v>
      </c>
      <c r="Y320" s="63">
        <f t="shared" si="144"/>
        <v>0</v>
      </c>
      <c r="Z320" s="63">
        <f t="shared" si="144"/>
        <v>0</v>
      </c>
      <c r="AA320" s="63">
        <f t="shared" si="145"/>
        <v>2660836.9943457856</v>
      </c>
      <c r="AB320" s="58" t="str">
        <f t="shared" si="146"/>
        <v>ok</v>
      </c>
    </row>
    <row r="321" spans="1:28">
      <c r="A321" s="458" t="s">
        <v>607</v>
      </c>
      <c r="C321" s="60" t="s">
        <v>997</v>
      </c>
      <c r="D321" s="60" t="s">
        <v>503</v>
      </c>
      <c r="E321" s="60" t="s">
        <v>657</v>
      </c>
      <c r="F321" s="79">
        <f>VLOOKUP(C321,'Functional Assignment'!$C$2:$AP$780,'Functional Assignment'!$W$2,)</f>
        <v>4546719.1268392131</v>
      </c>
      <c r="G321" s="79">
        <f t="shared" si="143"/>
        <v>3953305.3309123106</v>
      </c>
      <c r="H321" s="79">
        <f t="shared" si="143"/>
        <v>9758.1301269141095</v>
      </c>
      <c r="I321" s="79">
        <f t="shared" si="143"/>
        <v>476065.80167772132</v>
      </c>
      <c r="J321" s="79">
        <f t="shared" si="143"/>
        <v>0</v>
      </c>
      <c r="K321" s="79">
        <f t="shared" si="143"/>
        <v>0</v>
      </c>
      <c r="L321" s="79">
        <f t="shared" si="143"/>
        <v>0</v>
      </c>
      <c r="M321" s="79">
        <f t="shared" si="143"/>
        <v>0</v>
      </c>
      <c r="N321" s="79">
        <f t="shared" si="143"/>
        <v>0</v>
      </c>
      <c r="O321" s="79">
        <f t="shared" si="143"/>
        <v>0</v>
      </c>
      <c r="P321" s="79">
        <f t="shared" si="143"/>
        <v>106130.9987416362</v>
      </c>
      <c r="Q321" s="79">
        <f t="shared" si="144"/>
        <v>187.75165969743023</v>
      </c>
      <c r="R321" s="79">
        <f t="shared" si="144"/>
        <v>1166.159377002672</v>
      </c>
      <c r="S321" s="79">
        <f t="shared" si="144"/>
        <v>0</v>
      </c>
      <c r="T321" s="79">
        <f t="shared" si="144"/>
        <v>104.95434393024048</v>
      </c>
      <c r="U321" s="79">
        <f t="shared" si="144"/>
        <v>0</v>
      </c>
      <c r="V321" s="79">
        <f t="shared" si="144"/>
        <v>0</v>
      </c>
      <c r="W321" s="79">
        <f t="shared" si="144"/>
        <v>0</v>
      </c>
      <c r="X321" s="63">
        <f t="shared" si="144"/>
        <v>0</v>
      </c>
      <c r="Y321" s="63">
        <f t="shared" si="144"/>
        <v>0</v>
      </c>
      <c r="Z321" s="63">
        <f t="shared" si="144"/>
        <v>0</v>
      </c>
      <c r="AA321" s="63">
        <f t="shared" si="145"/>
        <v>4546719.1268392131</v>
      </c>
      <c r="AB321" s="58" t="str">
        <f t="shared" si="146"/>
        <v>ok</v>
      </c>
    </row>
    <row r="322" spans="1:28">
      <c r="A322" s="44" t="s">
        <v>365</v>
      </c>
      <c r="D322" s="60" t="s">
        <v>504</v>
      </c>
      <c r="F322" s="76">
        <f>SUM(F317:F321)</f>
        <v>32350487.764012873</v>
      </c>
      <c r="G322" s="76">
        <f t="shared" ref="G322:W322" si="147">SUM(G317:G321)</f>
        <v>24182574.846090376</v>
      </c>
      <c r="H322" s="76">
        <f t="shared" si="147"/>
        <v>64579.573960654081</v>
      </c>
      <c r="I322" s="76">
        <f t="shared" si="147"/>
        <v>3581566.8333236203</v>
      </c>
      <c r="J322" s="76">
        <f t="shared" si="147"/>
        <v>78810.314462018505</v>
      </c>
      <c r="K322" s="76">
        <f t="shared" si="147"/>
        <v>1697927.4107512722</v>
      </c>
      <c r="L322" s="76">
        <f t="shared" si="147"/>
        <v>1089446.6410763834</v>
      </c>
      <c r="M322" s="76">
        <f t="shared" si="147"/>
        <v>1045017.1371544084</v>
      </c>
      <c r="N322" s="76">
        <f t="shared" si="147"/>
        <v>0</v>
      </c>
      <c r="O322" s="76">
        <f>SUM(O317:O321)</f>
        <v>34486.083915824791</v>
      </c>
      <c r="P322" s="76">
        <f t="shared" si="147"/>
        <v>564501.90955987724</v>
      </c>
      <c r="Q322" s="76">
        <f t="shared" si="147"/>
        <v>4205.5157176392213</v>
      </c>
      <c r="R322" s="76">
        <f t="shared" si="147"/>
        <v>6687.7647537201774</v>
      </c>
      <c r="S322" s="76">
        <f t="shared" si="147"/>
        <v>204.51431552295676</v>
      </c>
      <c r="T322" s="76">
        <f t="shared" si="147"/>
        <v>479.21893155072115</v>
      </c>
      <c r="U322" s="76">
        <f t="shared" si="147"/>
        <v>0</v>
      </c>
      <c r="V322" s="76">
        <f t="shared" si="147"/>
        <v>0</v>
      </c>
      <c r="W322" s="76">
        <f t="shared" si="147"/>
        <v>0</v>
      </c>
      <c r="X322" s="62">
        <f>SUM(X317:X321)</f>
        <v>0</v>
      </c>
      <c r="Y322" s="62">
        <f>SUM(Y317:Y321)</f>
        <v>0</v>
      </c>
      <c r="Z322" s="62">
        <f>SUM(Z317:Z321)</f>
        <v>0</v>
      </c>
      <c r="AA322" s="64">
        <f t="shared" si="145"/>
        <v>32350487.764012869</v>
      </c>
      <c r="AB322" s="58" t="str">
        <f t="shared" si="146"/>
        <v>ok</v>
      </c>
    </row>
    <row r="323" spans="1:28">
      <c r="A323" s="44"/>
      <c r="F323" s="79"/>
    </row>
    <row r="324" spans="1:28" ht="14.1">
      <c r="A324" s="45" t="s">
        <v>613</v>
      </c>
      <c r="F324" s="79"/>
    </row>
    <row r="325" spans="1:28">
      <c r="A325" s="458" t="s">
        <v>1014</v>
      </c>
      <c r="C325" s="60" t="s">
        <v>997</v>
      </c>
      <c r="D325" s="60" t="s">
        <v>505</v>
      </c>
      <c r="E325" s="60" t="s">
        <v>1207</v>
      </c>
      <c r="F325" s="76">
        <f>VLOOKUP(C325,'Functional Assignment'!$C$2:$AP$780,'Functional Assignment'!$X$2,)</f>
        <v>3259675.1829248848</v>
      </c>
      <c r="G325" s="76">
        <f t="shared" ref="G325:P326" si="148">IF(VLOOKUP($E325,$D$6:$AN$1150,3,)=0,0,(VLOOKUP($E325,$D$6:$AN$1150,G$2,)/VLOOKUP($E325,$D$6:$AN$1150,3,))*$F325)</f>
        <v>2251199.2048734785</v>
      </c>
      <c r="H325" s="76">
        <f t="shared" si="148"/>
        <v>4677.0230279687039</v>
      </c>
      <c r="I325" s="76">
        <f t="shared" si="148"/>
        <v>360082.02476278483</v>
      </c>
      <c r="J325" s="76">
        <f t="shared" si="148"/>
        <v>0</v>
      </c>
      <c r="K325" s="76">
        <f t="shared" si="148"/>
        <v>341047.90157683857</v>
      </c>
      <c r="L325" s="76">
        <f t="shared" si="148"/>
        <v>0</v>
      </c>
      <c r="M325" s="76">
        <f t="shared" si="148"/>
        <v>284487.93092571688</v>
      </c>
      <c r="N325" s="76">
        <f t="shared" si="148"/>
        <v>0</v>
      </c>
      <c r="O325" s="76">
        <f t="shared" si="148"/>
        <v>0</v>
      </c>
      <c r="P325" s="76">
        <f t="shared" si="148"/>
        <v>17270.381573582745</v>
      </c>
      <c r="Q325" s="76">
        <f t="shared" ref="Q325:Z326" si="149">IF(VLOOKUP($E325,$D$6:$AN$1150,3,)=0,0,(VLOOKUP($E325,$D$6:$AN$1150,Q$2,)/VLOOKUP($E325,$D$6:$AN$1150,3,))*$F325)</f>
        <v>601.52774253884547</v>
      </c>
      <c r="R325" s="76">
        <f t="shared" si="149"/>
        <v>276.12922300235192</v>
      </c>
      <c r="S325" s="76">
        <f t="shared" si="149"/>
        <v>30.050378329100138</v>
      </c>
      <c r="T325" s="76">
        <f t="shared" si="149"/>
        <v>3.0088406440507627</v>
      </c>
      <c r="U325" s="76">
        <f t="shared" si="149"/>
        <v>0</v>
      </c>
      <c r="V325" s="76">
        <f t="shared" si="149"/>
        <v>0</v>
      </c>
      <c r="W325" s="76">
        <f t="shared" si="149"/>
        <v>0</v>
      </c>
      <c r="X325" s="62">
        <f t="shared" si="149"/>
        <v>0</v>
      </c>
      <c r="Y325" s="62">
        <f t="shared" si="149"/>
        <v>0</v>
      </c>
      <c r="Z325" s="62">
        <f t="shared" si="149"/>
        <v>0</v>
      </c>
      <c r="AA325" s="64">
        <f>SUM(G325:Z325)</f>
        <v>3259675.1829248839</v>
      </c>
      <c r="AB325" s="58" t="str">
        <f>IF(ABS(F325-AA325)&lt;0.01,"ok","err")</f>
        <v>ok</v>
      </c>
    </row>
    <row r="326" spans="1:28">
      <c r="A326" s="458" t="s">
        <v>1017</v>
      </c>
      <c r="C326" s="60" t="s">
        <v>997</v>
      </c>
      <c r="D326" s="60" t="s">
        <v>506</v>
      </c>
      <c r="E326" s="60" t="s">
        <v>1205</v>
      </c>
      <c r="F326" s="79">
        <f>VLOOKUP(C326,'Functional Assignment'!$C$2:$AP$780,'Functional Assignment'!$Y$2,)</f>
        <v>1816968.7180794806</v>
      </c>
      <c r="G326" s="79">
        <f t="shared" si="148"/>
        <v>1567925.7420214955</v>
      </c>
      <c r="H326" s="79">
        <f t="shared" si="148"/>
        <v>3870.1851082302569</v>
      </c>
      <c r="I326" s="79">
        <f t="shared" si="148"/>
        <v>188813.0976147858</v>
      </c>
      <c r="J326" s="79">
        <f t="shared" si="148"/>
        <v>0</v>
      </c>
      <c r="K326" s="79">
        <f t="shared" si="148"/>
        <v>11582.03005312503</v>
      </c>
      <c r="L326" s="79">
        <f t="shared" si="148"/>
        <v>0</v>
      </c>
      <c r="M326" s="79">
        <f t="shared" si="148"/>
        <v>2102.1400227480758</v>
      </c>
      <c r="N326" s="79">
        <f t="shared" si="148"/>
        <v>0</v>
      </c>
      <c r="O326" s="79">
        <f t="shared" si="148"/>
        <v>0</v>
      </c>
      <c r="P326" s="79">
        <f t="shared" si="148"/>
        <v>42092.758090875985</v>
      </c>
      <c r="Q326" s="79">
        <f t="shared" si="149"/>
        <v>74.464438161401986</v>
      </c>
      <c r="R326" s="79">
        <f t="shared" si="149"/>
        <v>462.51203826957754</v>
      </c>
      <c r="S326" s="79">
        <f t="shared" si="149"/>
        <v>4.1626083444261974</v>
      </c>
      <c r="T326" s="79">
        <f t="shared" si="149"/>
        <v>41.62608344426198</v>
      </c>
      <c r="U326" s="79">
        <f t="shared" si="149"/>
        <v>0</v>
      </c>
      <c r="V326" s="79">
        <f t="shared" si="149"/>
        <v>0</v>
      </c>
      <c r="W326" s="79">
        <f t="shared" si="149"/>
        <v>0</v>
      </c>
      <c r="X326" s="63">
        <f t="shared" si="149"/>
        <v>0</v>
      </c>
      <c r="Y326" s="63">
        <f t="shared" si="149"/>
        <v>0</v>
      </c>
      <c r="Z326" s="63">
        <f t="shared" si="149"/>
        <v>0</v>
      </c>
      <c r="AA326" s="63">
        <f>SUM(G326:Z326)</f>
        <v>1816968.7180794803</v>
      </c>
      <c r="AB326" s="58" t="str">
        <f>IF(ABS(F326-AA326)&lt;0.01,"ok","err")</f>
        <v>ok</v>
      </c>
    </row>
    <row r="327" spans="1:28">
      <c r="A327" s="44" t="s">
        <v>672</v>
      </c>
      <c r="D327" s="60" t="s">
        <v>507</v>
      </c>
      <c r="F327" s="76">
        <f>F325+F326</f>
        <v>5076643.9010043656</v>
      </c>
      <c r="G327" s="76">
        <f t="shared" ref="G327:W327" si="150">G325+G326</f>
        <v>3819124.946894974</v>
      </c>
      <c r="H327" s="76">
        <f t="shared" si="150"/>
        <v>8547.2081361989603</v>
      </c>
      <c r="I327" s="76">
        <f t="shared" si="150"/>
        <v>548895.1223775706</v>
      </c>
      <c r="J327" s="76">
        <f t="shared" si="150"/>
        <v>0</v>
      </c>
      <c r="K327" s="76">
        <f t="shared" si="150"/>
        <v>352629.93162996363</v>
      </c>
      <c r="L327" s="76">
        <f t="shared" si="150"/>
        <v>0</v>
      </c>
      <c r="M327" s="76">
        <f t="shared" si="150"/>
        <v>286590.07094846497</v>
      </c>
      <c r="N327" s="76">
        <f t="shared" si="150"/>
        <v>0</v>
      </c>
      <c r="O327" s="76">
        <f>O325+O326</f>
        <v>0</v>
      </c>
      <c r="P327" s="76">
        <f t="shared" si="150"/>
        <v>59363.139664458729</v>
      </c>
      <c r="Q327" s="76">
        <f t="shared" si="150"/>
        <v>675.99218070024745</v>
      </c>
      <c r="R327" s="76">
        <f t="shared" si="150"/>
        <v>738.64126127192947</v>
      </c>
      <c r="S327" s="76">
        <f t="shared" si="150"/>
        <v>34.212986673526338</v>
      </c>
      <c r="T327" s="76">
        <f t="shared" si="150"/>
        <v>44.634924088312744</v>
      </c>
      <c r="U327" s="76">
        <f t="shared" si="150"/>
        <v>0</v>
      </c>
      <c r="V327" s="76">
        <f t="shared" si="150"/>
        <v>0</v>
      </c>
      <c r="W327" s="76">
        <f t="shared" si="150"/>
        <v>0</v>
      </c>
      <c r="X327" s="62">
        <f>X325+X326</f>
        <v>0</v>
      </c>
      <c r="Y327" s="62">
        <f>Y325+Y326</f>
        <v>0</v>
      </c>
      <c r="Z327" s="62">
        <f>Z325+Z326</f>
        <v>0</v>
      </c>
      <c r="AA327" s="64">
        <f>SUM(G327:Z327)</f>
        <v>5076643.9010043647</v>
      </c>
      <c r="AB327" s="58" t="str">
        <f>IF(ABS(F327-AA327)&lt;0.01,"ok","err")</f>
        <v>ok</v>
      </c>
    </row>
    <row r="328" spans="1:28">
      <c r="A328" s="44"/>
      <c r="F328" s="79"/>
    </row>
    <row r="329" spans="1:28" ht="14.1">
      <c r="A329" s="45" t="s">
        <v>343</v>
      </c>
      <c r="F329" s="79"/>
    </row>
    <row r="330" spans="1:28">
      <c r="A330" s="458" t="s">
        <v>1017</v>
      </c>
      <c r="C330" s="60" t="s">
        <v>997</v>
      </c>
      <c r="D330" s="60" t="s">
        <v>508</v>
      </c>
      <c r="E330" s="60" t="s">
        <v>1019</v>
      </c>
      <c r="F330" s="76">
        <f>VLOOKUP(C330,'Functional Assignment'!$C$2:$AP$780,'Functional Assignment'!$Z$2,)</f>
        <v>1161717.0543709998</v>
      </c>
      <c r="G330" s="76">
        <f t="shared" ref="G330:Z330" si="151">IF(VLOOKUP($E330,$D$6:$AN$1150,3,)=0,0,(VLOOKUP($E330,$D$6:$AN$1150,G$2,)/VLOOKUP($E330,$D$6:$AN$1150,3,))*$F330)</f>
        <v>998148.3541471014</v>
      </c>
      <c r="H330" s="76">
        <f t="shared" si="151"/>
        <v>2463.7766907533132</v>
      </c>
      <c r="I330" s="76">
        <f t="shared" si="151"/>
        <v>142511.3189756925</v>
      </c>
      <c r="J330" s="76">
        <f t="shared" si="151"/>
        <v>0</v>
      </c>
      <c r="K330" s="76">
        <f t="shared" si="151"/>
        <v>14658.548744823029</v>
      </c>
      <c r="L330" s="76">
        <f t="shared" si="151"/>
        <v>0</v>
      </c>
      <c r="M330" s="76">
        <f t="shared" si="151"/>
        <v>3929.7874963633894</v>
      </c>
      <c r="N330" s="76">
        <f t="shared" si="151"/>
        <v>0</v>
      </c>
      <c r="O330" s="76">
        <f t="shared" si="151"/>
        <v>0</v>
      </c>
      <c r="P330" s="76">
        <f t="shared" si="151"/>
        <v>0</v>
      </c>
      <c r="Q330" s="76">
        <f t="shared" si="151"/>
        <v>0</v>
      </c>
      <c r="R330" s="76">
        <f t="shared" si="151"/>
        <v>0</v>
      </c>
      <c r="S330" s="76">
        <f t="shared" si="151"/>
        <v>5.2683162660171865</v>
      </c>
      <c r="T330" s="76">
        <f t="shared" si="151"/>
        <v>0</v>
      </c>
      <c r="U330" s="76">
        <f t="shared" si="151"/>
        <v>0</v>
      </c>
      <c r="V330" s="76">
        <f t="shared" si="151"/>
        <v>0</v>
      </c>
      <c r="W330" s="76">
        <f t="shared" si="151"/>
        <v>0</v>
      </c>
      <c r="X330" s="62">
        <f t="shared" si="151"/>
        <v>0</v>
      </c>
      <c r="Y330" s="62">
        <f t="shared" si="151"/>
        <v>0</v>
      </c>
      <c r="Z330" s="62">
        <f t="shared" si="151"/>
        <v>0</v>
      </c>
      <c r="AA330" s="64">
        <f>SUM(G330:Z330)</f>
        <v>1161717.0543709996</v>
      </c>
      <c r="AB330" s="58" t="str">
        <f>IF(ABS(F330-AA330)&lt;0.01,"ok","err")</f>
        <v>ok</v>
      </c>
    </row>
    <row r="331" spans="1:28">
      <c r="A331" s="44"/>
      <c r="F331" s="79"/>
    </row>
    <row r="332" spans="1:28" ht="14.1">
      <c r="A332" s="45" t="s">
        <v>342</v>
      </c>
      <c r="F332" s="79"/>
    </row>
    <row r="333" spans="1:28">
      <c r="A333" s="458" t="s">
        <v>1017</v>
      </c>
      <c r="C333" s="60" t="s">
        <v>997</v>
      </c>
      <c r="D333" s="60" t="s">
        <v>509</v>
      </c>
      <c r="E333" s="60" t="s">
        <v>1313</v>
      </c>
      <c r="F333" s="76">
        <f>VLOOKUP(C333,'Functional Assignment'!$C$2:$AP$780,'Functional Assignment'!$AA$2,)</f>
        <v>1184750.9707206148</v>
      </c>
      <c r="G333" s="76">
        <f t="shared" ref="G333:Z333" si="152">IF(VLOOKUP($E333,$D$6:$AN$1150,3,)=0,0,(VLOOKUP($E333,$D$6:$AN$1150,G$2,)/VLOOKUP($E333,$D$6:$AN$1150,3,))*$F333)</f>
        <v>795333.53094008658</v>
      </c>
      <c r="H333" s="76">
        <f t="shared" si="152"/>
        <v>1963.1592906638518</v>
      </c>
      <c r="I333" s="76">
        <f t="shared" si="152"/>
        <v>247723.11073039309</v>
      </c>
      <c r="J333" s="76">
        <f t="shared" si="152"/>
        <v>8097.1362806355819</v>
      </c>
      <c r="K333" s="76">
        <f t="shared" si="152"/>
        <v>69275.159379207791</v>
      </c>
      <c r="L333" s="76">
        <f t="shared" si="152"/>
        <v>16173.194882579317</v>
      </c>
      <c r="M333" s="76">
        <f t="shared" si="152"/>
        <v>13695.270048177917</v>
      </c>
      <c r="N333" s="76">
        <f t="shared" si="152"/>
        <v>11429.506329685308</v>
      </c>
      <c r="O333" s="76">
        <f t="shared" si="152"/>
        <v>245.80346985932093</v>
      </c>
      <c r="P333" s="76">
        <f t="shared" si="152"/>
        <v>0</v>
      </c>
      <c r="Q333" s="76">
        <f t="shared" si="152"/>
        <v>339.95014336851858</v>
      </c>
      <c r="R333" s="76">
        <f t="shared" si="152"/>
        <v>2111.491573717507</v>
      </c>
      <c r="S333" s="76">
        <f t="shared" si="152"/>
        <v>24.897652239776324</v>
      </c>
      <c r="T333" s="76">
        <f t="shared" si="152"/>
        <v>18338.759999999998</v>
      </c>
      <c r="U333" s="76">
        <f t="shared" si="152"/>
        <v>0</v>
      </c>
      <c r="V333" s="76">
        <f t="shared" si="152"/>
        <v>0</v>
      </c>
      <c r="W333" s="76">
        <f t="shared" si="152"/>
        <v>0</v>
      </c>
      <c r="X333" s="62">
        <f t="shared" si="152"/>
        <v>0</v>
      </c>
      <c r="Y333" s="62">
        <f t="shared" si="152"/>
        <v>0</v>
      </c>
      <c r="Z333" s="62">
        <f t="shared" si="152"/>
        <v>0</v>
      </c>
      <c r="AA333" s="64">
        <f>SUM(G333:Z333)</f>
        <v>1184750.9707206143</v>
      </c>
      <c r="AB333" s="58" t="str">
        <f>IF(ABS(F333-AA333)&lt;0.01,"ok","err")</f>
        <v>ok</v>
      </c>
    </row>
    <row r="334" spans="1:28">
      <c r="A334" s="44"/>
      <c r="F334" s="79"/>
    </row>
    <row r="335" spans="1:28" ht="14.1">
      <c r="A335" s="45" t="s">
        <v>358</v>
      </c>
      <c r="F335" s="79"/>
    </row>
    <row r="336" spans="1:28">
      <c r="A336" s="458" t="s">
        <v>1017</v>
      </c>
      <c r="C336" s="60" t="s">
        <v>997</v>
      </c>
      <c r="D336" s="60" t="s">
        <v>510</v>
      </c>
      <c r="E336" s="60" t="s">
        <v>1021</v>
      </c>
      <c r="F336" s="76">
        <f>VLOOKUP(C336,'Functional Assignment'!$C$2:$AP$780,'Functional Assignment'!$AB$2,)</f>
        <v>3830233.2811966836</v>
      </c>
      <c r="G336" s="76">
        <f t="shared" ref="G336:Z336" si="153">IF(VLOOKUP($E336,$D$6:$AN$1150,3,)=0,0,(VLOOKUP($E336,$D$6:$AN$1150,G$2,)/VLOOKUP($E336,$D$6:$AN$1150,3,))*$F336)</f>
        <v>0</v>
      </c>
      <c r="H336" s="76">
        <f t="shared" si="153"/>
        <v>0</v>
      </c>
      <c r="I336" s="76">
        <f t="shared" si="153"/>
        <v>0</v>
      </c>
      <c r="J336" s="76">
        <f t="shared" si="153"/>
        <v>0</v>
      </c>
      <c r="K336" s="76">
        <f t="shared" si="153"/>
        <v>0</v>
      </c>
      <c r="L336" s="76">
        <f t="shared" si="153"/>
        <v>0</v>
      </c>
      <c r="M336" s="76">
        <f t="shared" si="153"/>
        <v>0</v>
      </c>
      <c r="N336" s="76">
        <f t="shared" si="153"/>
        <v>0</v>
      </c>
      <c r="O336" s="76">
        <f t="shared" si="153"/>
        <v>0</v>
      </c>
      <c r="P336" s="76">
        <f t="shared" si="153"/>
        <v>3830233.2811966836</v>
      </c>
      <c r="Q336" s="76">
        <f t="shared" si="153"/>
        <v>0</v>
      </c>
      <c r="R336" s="76">
        <f t="shared" si="153"/>
        <v>0</v>
      </c>
      <c r="S336" s="76">
        <f t="shared" si="153"/>
        <v>0</v>
      </c>
      <c r="T336" s="76">
        <f t="shared" si="153"/>
        <v>0</v>
      </c>
      <c r="U336" s="76">
        <f t="shared" si="153"/>
        <v>0</v>
      </c>
      <c r="V336" s="76">
        <f t="shared" si="153"/>
        <v>0</v>
      </c>
      <c r="W336" s="76">
        <f t="shared" si="153"/>
        <v>0</v>
      </c>
      <c r="X336" s="62">
        <f t="shared" si="153"/>
        <v>0</v>
      </c>
      <c r="Y336" s="62">
        <f t="shared" si="153"/>
        <v>0</v>
      </c>
      <c r="Z336" s="62">
        <f t="shared" si="153"/>
        <v>0</v>
      </c>
      <c r="AA336" s="64">
        <f>SUM(G336:Z336)</f>
        <v>3830233.2811966836</v>
      </c>
      <c r="AB336" s="58" t="str">
        <f>IF(ABS(F336-AA336)&lt;0.01,"ok","err")</f>
        <v>ok</v>
      </c>
    </row>
    <row r="337" spans="1:28">
      <c r="A337" s="44"/>
      <c r="F337" s="79"/>
    </row>
    <row r="338" spans="1:28" ht="14.1">
      <c r="A338" s="45" t="s">
        <v>949</v>
      </c>
      <c r="F338" s="79"/>
    </row>
    <row r="339" spans="1:28">
      <c r="A339" s="458" t="s">
        <v>1017</v>
      </c>
      <c r="C339" s="60" t="s">
        <v>997</v>
      </c>
      <c r="D339" s="60" t="s">
        <v>511</v>
      </c>
      <c r="E339" s="60" t="s">
        <v>1022</v>
      </c>
      <c r="F339" s="76">
        <f>VLOOKUP(C339,'Functional Assignment'!$C$2:$AP$780,'Functional Assignment'!$AC$2,)</f>
        <v>0</v>
      </c>
      <c r="G339" s="76">
        <f t="shared" ref="G339:Z339" si="154">IF(VLOOKUP($E339,$D$6:$AN$1150,3,)=0,0,(VLOOKUP($E339,$D$6:$AN$1150,G$2,)/VLOOKUP($E339,$D$6:$AN$1150,3,))*$F339)</f>
        <v>0</v>
      </c>
      <c r="H339" s="76">
        <f t="shared" si="154"/>
        <v>0</v>
      </c>
      <c r="I339" s="76">
        <f t="shared" si="154"/>
        <v>0</v>
      </c>
      <c r="J339" s="76">
        <f t="shared" si="154"/>
        <v>0</v>
      </c>
      <c r="K339" s="76">
        <f t="shared" si="154"/>
        <v>0</v>
      </c>
      <c r="L339" s="76">
        <f t="shared" si="154"/>
        <v>0</v>
      </c>
      <c r="M339" s="76">
        <f t="shared" si="154"/>
        <v>0</v>
      </c>
      <c r="N339" s="76">
        <f t="shared" si="154"/>
        <v>0</v>
      </c>
      <c r="O339" s="76">
        <f t="shared" si="154"/>
        <v>0</v>
      </c>
      <c r="P339" s="76">
        <f t="shared" si="154"/>
        <v>0</v>
      </c>
      <c r="Q339" s="76">
        <f t="shared" si="154"/>
        <v>0</v>
      </c>
      <c r="R339" s="76">
        <f t="shared" si="154"/>
        <v>0</v>
      </c>
      <c r="S339" s="76">
        <f t="shared" si="154"/>
        <v>0</v>
      </c>
      <c r="T339" s="76">
        <f t="shared" si="154"/>
        <v>0</v>
      </c>
      <c r="U339" s="76">
        <f t="shared" si="154"/>
        <v>0</v>
      </c>
      <c r="V339" s="76">
        <f t="shared" si="154"/>
        <v>0</v>
      </c>
      <c r="W339" s="76">
        <f t="shared" si="154"/>
        <v>0</v>
      </c>
      <c r="X339" s="62">
        <f t="shared" si="154"/>
        <v>0</v>
      </c>
      <c r="Y339" s="62">
        <f t="shared" si="154"/>
        <v>0</v>
      </c>
      <c r="Z339" s="62">
        <f t="shared" si="154"/>
        <v>0</v>
      </c>
      <c r="AA339" s="64">
        <f>SUM(G339:Z339)</f>
        <v>0</v>
      </c>
      <c r="AB339" s="58" t="str">
        <f>IF(ABS(F339-AA339)&lt;0.01,"ok","err")</f>
        <v>ok</v>
      </c>
    </row>
    <row r="340" spans="1:28">
      <c r="A340" s="44"/>
      <c r="F340" s="79"/>
    </row>
    <row r="341" spans="1:28" ht="14.1">
      <c r="A341" s="45" t="s">
        <v>340</v>
      </c>
      <c r="F341" s="79"/>
    </row>
    <row r="342" spans="1:28">
      <c r="A342" s="458" t="s">
        <v>1017</v>
      </c>
      <c r="C342" s="60" t="s">
        <v>997</v>
      </c>
      <c r="D342" s="60" t="s">
        <v>512</v>
      </c>
      <c r="E342" s="60" t="s">
        <v>1022</v>
      </c>
      <c r="F342" s="76">
        <f>VLOOKUP(C342,'Functional Assignment'!$C$2:$AP$780,'Functional Assignment'!$AD$2,)</f>
        <v>0</v>
      </c>
      <c r="G342" s="76">
        <f t="shared" ref="G342:Z342" si="155">IF(VLOOKUP($E342,$D$6:$AN$1150,3,)=0,0,(VLOOKUP($E342,$D$6:$AN$1150,G$2,)/VLOOKUP($E342,$D$6:$AN$1150,3,))*$F342)</f>
        <v>0</v>
      </c>
      <c r="H342" s="76">
        <f t="shared" si="155"/>
        <v>0</v>
      </c>
      <c r="I342" s="76">
        <f t="shared" si="155"/>
        <v>0</v>
      </c>
      <c r="J342" s="76">
        <f t="shared" si="155"/>
        <v>0</v>
      </c>
      <c r="K342" s="76">
        <f t="shared" si="155"/>
        <v>0</v>
      </c>
      <c r="L342" s="76">
        <f t="shared" si="155"/>
        <v>0</v>
      </c>
      <c r="M342" s="76">
        <f t="shared" si="155"/>
        <v>0</v>
      </c>
      <c r="N342" s="76">
        <f t="shared" si="155"/>
        <v>0</v>
      </c>
      <c r="O342" s="76">
        <f t="shared" si="155"/>
        <v>0</v>
      </c>
      <c r="P342" s="76">
        <f t="shared" si="155"/>
        <v>0</v>
      </c>
      <c r="Q342" s="76">
        <f t="shared" si="155"/>
        <v>0</v>
      </c>
      <c r="R342" s="76">
        <f t="shared" si="155"/>
        <v>0</v>
      </c>
      <c r="S342" s="76">
        <f t="shared" si="155"/>
        <v>0</v>
      </c>
      <c r="T342" s="76">
        <f t="shared" si="155"/>
        <v>0</v>
      </c>
      <c r="U342" s="76">
        <f t="shared" si="155"/>
        <v>0</v>
      </c>
      <c r="V342" s="76">
        <f t="shared" si="155"/>
        <v>0</v>
      </c>
      <c r="W342" s="76">
        <f t="shared" si="155"/>
        <v>0</v>
      </c>
      <c r="X342" s="62">
        <f t="shared" si="155"/>
        <v>0</v>
      </c>
      <c r="Y342" s="62">
        <f t="shared" si="155"/>
        <v>0</v>
      </c>
      <c r="Z342" s="62">
        <f t="shared" si="155"/>
        <v>0</v>
      </c>
      <c r="AA342" s="64">
        <f>SUM(G342:Z342)</f>
        <v>0</v>
      </c>
      <c r="AB342" s="58" t="str">
        <f>IF(ABS(F342-AA342)&lt;0.01,"ok","err")</f>
        <v>ok</v>
      </c>
    </row>
    <row r="343" spans="1:28">
      <c r="A343" s="44"/>
      <c r="F343" s="79"/>
    </row>
    <row r="344" spans="1:28" ht="14.1">
      <c r="A344" s="45" t="s">
        <v>339</v>
      </c>
      <c r="F344" s="79"/>
    </row>
    <row r="345" spans="1:28">
      <c r="A345" s="458" t="s">
        <v>1017</v>
      </c>
      <c r="C345" s="60" t="s">
        <v>997</v>
      </c>
      <c r="D345" s="60" t="s">
        <v>513</v>
      </c>
      <c r="E345" s="60" t="s">
        <v>1023</v>
      </c>
      <c r="F345" s="76">
        <f>VLOOKUP(C345,'Functional Assignment'!$C$2:$AP$780,'Functional Assignment'!$AE$2,)</f>
        <v>0</v>
      </c>
      <c r="G345" s="76">
        <f t="shared" ref="G345:Z345" si="156">IF(VLOOKUP($E345,$D$6:$AN$1150,3,)=0,0,(VLOOKUP($E345,$D$6:$AN$1150,G$2,)/VLOOKUP($E345,$D$6:$AN$1150,3,))*$F345)</f>
        <v>0</v>
      </c>
      <c r="H345" s="76">
        <f t="shared" si="156"/>
        <v>0</v>
      </c>
      <c r="I345" s="76">
        <f t="shared" si="156"/>
        <v>0</v>
      </c>
      <c r="J345" s="76">
        <f t="shared" si="156"/>
        <v>0</v>
      </c>
      <c r="K345" s="76">
        <f t="shared" si="156"/>
        <v>0</v>
      </c>
      <c r="L345" s="76">
        <f t="shared" si="156"/>
        <v>0</v>
      </c>
      <c r="M345" s="76">
        <f t="shared" si="156"/>
        <v>0</v>
      </c>
      <c r="N345" s="76">
        <f t="shared" si="156"/>
        <v>0</v>
      </c>
      <c r="O345" s="76">
        <f t="shared" si="156"/>
        <v>0</v>
      </c>
      <c r="P345" s="76">
        <f t="shared" si="156"/>
        <v>0</v>
      </c>
      <c r="Q345" s="76">
        <f t="shared" si="156"/>
        <v>0</v>
      </c>
      <c r="R345" s="76">
        <f t="shared" si="156"/>
        <v>0</v>
      </c>
      <c r="S345" s="76">
        <f t="shared" si="156"/>
        <v>0</v>
      </c>
      <c r="T345" s="76">
        <f t="shared" si="156"/>
        <v>0</v>
      </c>
      <c r="U345" s="76">
        <f t="shared" si="156"/>
        <v>0</v>
      </c>
      <c r="V345" s="76">
        <f t="shared" si="156"/>
        <v>0</v>
      </c>
      <c r="W345" s="76">
        <f t="shared" si="156"/>
        <v>0</v>
      </c>
      <c r="X345" s="62">
        <f t="shared" si="156"/>
        <v>0</v>
      </c>
      <c r="Y345" s="62">
        <f t="shared" si="156"/>
        <v>0</v>
      </c>
      <c r="Z345" s="62">
        <f t="shared" si="156"/>
        <v>0</v>
      </c>
      <c r="AA345" s="64">
        <f>SUM(G345:Z345)</f>
        <v>0</v>
      </c>
      <c r="AB345" s="58" t="str">
        <f>IF(ABS(F345-AA345)&lt;0.01,"ok","err")</f>
        <v>ok</v>
      </c>
    </row>
    <row r="346" spans="1:28">
      <c r="A346" s="44"/>
      <c r="F346" s="79"/>
    </row>
    <row r="347" spans="1:28">
      <c r="A347" s="44" t="s">
        <v>846</v>
      </c>
      <c r="D347" s="60" t="s">
        <v>514</v>
      </c>
      <c r="F347" s="76">
        <f>F302+F308+F311+F314+F322+F327+F330+F333+F336+F339+F342+F345</f>
        <v>277122835.61762834</v>
      </c>
      <c r="G347" s="76">
        <f t="shared" ref="G347:Z347" si="157">G302+G308+G311+G314+G322+G327+G330+G333+G336+G339+G342+G345</f>
        <v>132895663.60879765</v>
      </c>
      <c r="H347" s="76">
        <f t="shared" si="157"/>
        <v>149551.01077824508</v>
      </c>
      <c r="I347" s="76">
        <f t="shared" si="157"/>
        <v>32977673.946411591</v>
      </c>
      <c r="J347" s="76">
        <f t="shared" si="157"/>
        <v>2010098.9249021292</v>
      </c>
      <c r="K347" s="76">
        <f t="shared" si="157"/>
        <v>33854774.261061154</v>
      </c>
      <c r="L347" s="76">
        <f t="shared" si="157"/>
        <v>29564727.853097949</v>
      </c>
      <c r="M347" s="76">
        <f t="shared" si="157"/>
        <v>25780259.789164845</v>
      </c>
      <c r="N347" s="76">
        <f t="shared" si="157"/>
        <v>13442574.156425172</v>
      </c>
      <c r="O347" s="76">
        <f>O302+O308+O311+O314+O322+O327+O330+O333+O336+O339+O342+O345</f>
        <v>858233.47007347806</v>
      </c>
      <c r="P347" s="76">
        <f t="shared" si="157"/>
        <v>5395215.9463536981</v>
      </c>
      <c r="Q347" s="76">
        <f t="shared" si="157"/>
        <v>38000.603804269449</v>
      </c>
      <c r="R347" s="76">
        <f t="shared" si="157"/>
        <v>49207.282498507964</v>
      </c>
      <c r="S347" s="76">
        <f t="shared" si="157"/>
        <v>603.03295431232027</v>
      </c>
      <c r="T347" s="76">
        <f t="shared" si="157"/>
        <v>19227.797097051607</v>
      </c>
      <c r="U347" s="76">
        <f t="shared" si="157"/>
        <v>83869.534208333309</v>
      </c>
      <c r="V347" s="76">
        <f t="shared" si="157"/>
        <v>3154.4</v>
      </c>
      <c r="W347" s="76">
        <f t="shared" si="157"/>
        <v>0</v>
      </c>
      <c r="X347" s="62">
        <f t="shared" si="157"/>
        <v>0</v>
      </c>
      <c r="Y347" s="62">
        <f t="shared" si="157"/>
        <v>0</v>
      </c>
      <c r="Z347" s="62">
        <f t="shared" si="157"/>
        <v>0</v>
      </c>
      <c r="AA347" s="64">
        <f>SUM(G347:Z347)</f>
        <v>277122835.61762834</v>
      </c>
      <c r="AB347" s="58" t="str">
        <f>IF(ABS(F347-AA347)&lt;0.01,"ok","err")</f>
        <v>ok</v>
      </c>
    </row>
    <row r="348" spans="1:28">
      <c r="A348" s="44"/>
    </row>
    <row r="349" spans="1:28">
      <c r="A349" s="44"/>
    </row>
    <row r="350" spans="1:28" ht="14.1">
      <c r="A350" s="459" t="s">
        <v>718</v>
      </c>
    </row>
    <row r="351" spans="1:28">
      <c r="A351" s="44"/>
    </row>
    <row r="352" spans="1:28" ht="14.1">
      <c r="A352" s="45" t="s">
        <v>352</v>
      </c>
    </row>
    <row r="353" spans="1:28">
      <c r="A353" s="458" t="s">
        <v>1441</v>
      </c>
      <c r="C353" s="111" t="s">
        <v>724</v>
      </c>
      <c r="D353" s="44" t="s">
        <v>1438</v>
      </c>
      <c r="E353" s="44" t="s">
        <v>1410</v>
      </c>
      <c r="F353" s="76">
        <f>VLOOKUP(C353,'Functional Assignment'!$C$2:$AP$780,'Functional Assignment'!$H$2,)</f>
        <v>0</v>
      </c>
      <c r="G353" s="76">
        <f t="shared" ref="G353:P358" si="158">IF(VLOOKUP($E353,$D$6:$AN$1150,3,)=0,0,(VLOOKUP($E353,$D$6:$AN$1150,G$2,)/VLOOKUP($E353,$D$6:$AN$1150,3,))*$F353)</f>
        <v>0</v>
      </c>
      <c r="H353" s="76">
        <f t="shared" si="158"/>
        <v>0</v>
      </c>
      <c r="I353" s="76">
        <f t="shared" si="158"/>
        <v>0</v>
      </c>
      <c r="J353" s="76">
        <f t="shared" si="158"/>
        <v>0</v>
      </c>
      <c r="K353" s="76">
        <f t="shared" si="158"/>
        <v>0</v>
      </c>
      <c r="L353" s="76">
        <f t="shared" si="158"/>
        <v>0</v>
      </c>
      <c r="M353" s="76">
        <f t="shared" si="158"/>
        <v>0</v>
      </c>
      <c r="N353" s="76">
        <f t="shared" si="158"/>
        <v>0</v>
      </c>
      <c r="O353" s="76">
        <f t="shared" si="158"/>
        <v>0</v>
      </c>
      <c r="P353" s="76">
        <f t="shared" si="158"/>
        <v>0</v>
      </c>
      <c r="Q353" s="76">
        <f t="shared" ref="Q353:Z358" si="159">IF(VLOOKUP($E353,$D$6:$AN$1150,3,)=0,0,(VLOOKUP($E353,$D$6:$AN$1150,Q$2,)/VLOOKUP($E353,$D$6:$AN$1150,3,))*$F353)</f>
        <v>0</v>
      </c>
      <c r="R353" s="76">
        <f t="shared" si="159"/>
        <v>0</v>
      </c>
      <c r="S353" s="76">
        <f t="shared" si="159"/>
        <v>0</v>
      </c>
      <c r="T353" s="76">
        <f t="shared" si="159"/>
        <v>0</v>
      </c>
      <c r="U353" s="76">
        <f t="shared" si="159"/>
        <v>0</v>
      </c>
      <c r="V353" s="76">
        <f t="shared" si="159"/>
        <v>0</v>
      </c>
      <c r="W353" s="76">
        <f t="shared" si="159"/>
        <v>0</v>
      </c>
      <c r="X353" s="62">
        <f t="shared" si="159"/>
        <v>0</v>
      </c>
      <c r="Y353" s="62">
        <f t="shared" si="159"/>
        <v>0</v>
      </c>
      <c r="Z353" s="62">
        <f t="shared" si="159"/>
        <v>0</v>
      </c>
      <c r="AA353" s="64">
        <f t="shared" ref="AA353:AA359" si="160">SUM(G353:Z353)</f>
        <v>0</v>
      </c>
      <c r="AB353" s="58" t="str">
        <f t="shared" ref="AB353:AB359" si="161">IF(ABS(F353-AA353)&lt;0.01,"ok","err")</f>
        <v>ok</v>
      </c>
    </row>
    <row r="354" spans="1:28" hidden="1">
      <c r="A354" s="458" t="s">
        <v>1256</v>
      </c>
      <c r="C354" s="111" t="s">
        <v>724</v>
      </c>
      <c r="D354" s="44" t="s">
        <v>725</v>
      </c>
      <c r="E354" s="44" t="s">
        <v>1412</v>
      </c>
      <c r="F354" s="79">
        <f>VLOOKUP(C354,'Functional Assignment'!$C$2:$AP$780,'Functional Assignment'!$I$2,)</f>
        <v>0</v>
      </c>
      <c r="G354" s="79">
        <f t="shared" si="158"/>
        <v>0</v>
      </c>
      <c r="H354" s="79">
        <f t="shared" si="158"/>
        <v>0</v>
      </c>
      <c r="I354" s="79">
        <f t="shared" si="158"/>
        <v>0</v>
      </c>
      <c r="J354" s="79">
        <f t="shared" si="158"/>
        <v>0</v>
      </c>
      <c r="K354" s="79">
        <f t="shared" si="158"/>
        <v>0</v>
      </c>
      <c r="L354" s="79">
        <f t="shared" si="158"/>
        <v>0</v>
      </c>
      <c r="M354" s="79">
        <f t="shared" si="158"/>
        <v>0</v>
      </c>
      <c r="N354" s="79">
        <f t="shared" si="158"/>
        <v>0</v>
      </c>
      <c r="O354" s="79">
        <f t="shared" si="158"/>
        <v>0</v>
      </c>
      <c r="P354" s="79">
        <f t="shared" si="158"/>
        <v>0</v>
      </c>
      <c r="Q354" s="79">
        <f t="shared" si="159"/>
        <v>0</v>
      </c>
      <c r="R354" s="79">
        <f t="shared" si="159"/>
        <v>0</v>
      </c>
      <c r="S354" s="79">
        <f t="shared" si="159"/>
        <v>0</v>
      </c>
      <c r="T354" s="79">
        <f t="shared" si="159"/>
        <v>0</v>
      </c>
      <c r="U354" s="79">
        <f t="shared" si="159"/>
        <v>0</v>
      </c>
      <c r="V354" s="79">
        <f t="shared" si="159"/>
        <v>0</v>
      </c>
      <c r="W354" s="79">
        <f t="shared" si="159"/>
        <v>0</v>
      </c>
      <c r="X354" s="63">
        <f t="shared" si="159"/>
        <v>0</v>
      </c>
      <c r="Y354" s="63">
        <f t="shared" si="159"/>
        <v>0</v>
      </c>
      <c r="Z354" s="63">
        <f t="shared" si="159"/>
        <v>0</v>
      </c>
      <c r="AA354" s="63">
        <f t="shared" si="160"/>
        <v>0</v>
      </c>
      <c r="AB354" s="58" t="str">
        <f t="shared" si="161"/>
        <v>ok</v>
      </c>
    </row>
    <row r="355" spans="1:28" hidden="1">
      <c r="A355" s="458" t="s">
        <v>1256</v>
      </c>
      <c r="C355" s="111" t="s">
        <v>724</v>
      </c>
      <c r="D355" s="44" t="s">
        <v>726</v>
      </c>
      <c r="E355" s="44" t="s">
        <v>1412</v>
      </c>
      <c r="F355" s="79">
        <f>VLOOKUP(C355,'Functional Assignment'!$C$2:$AP$780,'Functional Assignment'!$J$2,)</f>
        <v>0</v>
      </c>
      <c r="G355" s="79">
        <f t="shared" si="158"/>
        <v>0</v>
      </c>
      <c r="H355" s="79">
        <f t="shared" si="158"/>
        <v>0</v>
      </c>
      <c r="I355" s="79">
        <f t="shared" si="158"/>
        <v>0</v>
      </c>
      <c r="J355" s="79">
        <f t="shared" si="158"/>
        <v>0</v>
      </c>
      <c r="K355" s="79">
        <f t="shared" si="158"/>
        <v>0</v>
      </c>
      <c r="L355" s="79">
        <f t="shared" si="158"/>
        <v>0</v>
      </c>
      <c r="M355" s="79">
        <f t="shared" si="158"/>
        <v>0</v>
      </c>
      <c r="N355" s="79">
        <f t="shared" si="158"/>
        <v>0</v>
      </c>
      <c r="O355" s="79">
        <f t="shared" si="158"/>
        <v>0</v>
      </c>
      <c r="P355" s="79">
        <f t="shared" si="158"/>
        <v>0</v>
      </c>
      <c r="Q355" s="79">
        <f t="shared" si="159"/>
        <v>0</v>
      </c>
      <c r="R355" s="79">
        <f t="shared" si="159"/>
        <v>0</v>
      </c>
      <c r="S355" s="79">
        <f t="shared" si="159"/>
        <v>0</v>
      </c>
      <c r="T355" s="79">
        <f t="shared" si="159"/>
        <v>0</v>
      </c>
      <c r="U355" s="79">
        <f t="shared" si="159"/>
        <v>0</v>
      </c>
      <c r="V355" s="79">
        <f t="shared" si="159"/>
        <v>0</v>
      </c>
      <c r="W355" s="79">
        <f t="shared" si="159"/>
        <v>0</v>
      </c>
      <c r="X355" s="63">
        <f t="shared" si="159"/>
        <v>0</v>
      </c>
      <c r="Y355" s="63">
        <f t="shared" si="159"/>
        <v>0</v>
      </c>
      <c r="Z355" s="63">
        <f t="shared" si="159"/>
        <v>0</v>
      </c>
      <c r="AA355" s="63">
        <f t="shared" si="160"/>
        <v>0</v>
      </c>
      <c r="AB355" s="58" t="str">
        <f t="shared" si="161"/>
        <v>ok</v>
      </c>
    </row>
    <row r="356" spans="1:28">
      <c r="A356" s="458" t="s">
        <v>1160</v>
      </c>
      <c r="C356" s="111" t="s">
        <v>724</v>
      </c>
      <c r="D356" s="44" t="s">
        <v>727</v>
      </c>
      <c r="E356" s="44" t="s">
        <v>1015</v>
      </c>
      <c r="F356" s="79">
        <f>VLOOKUP(C356,'Functional Assignment'!$C$2:$AP$780,'Functional Assignment'!$K$2,)</f>
        <v>0</v>
      </c>
      <c r="G356" s="79">
        <f t="shared" si="158"/>
        <v>0</v>
      </c>
      <c r="H356" s="79">
        <f t="shared" si="158"/>
        <v>0</v>
      </c>
      <c r="I356" s="79">
        <f t="shared" si="158"/>
        <v>0</v>
      </c>
      <c r="J356" s="79">
        <f t="shared" si="158"/>
        <v>0</v>
      </c>
      <c r="K356" s="79">
        <f t="shared" si="158"/>
        <v>0</v>
      </c>
      <c r="L356" s="79">
        <f t="shared" si="158"/>
        <v>0</v>
      </c>
      <c r="M356" s="79">
        <f t="shared" si="158"/>
        <v>0</v>
      </c>
      <c r="N356" s="79">
        <f t="shared" si="158"/>
        <v>0</v>
      </c>
      <c r="O356" s="79">
        <f t="shared" si="158"/>
        <v>0</v>
      </c>
      <c r="P356" s="79">
        <f t="shared" si="158"/>
        <v>0</v>
      </c>
      <c r="Q356" s="79">
        <f t="shared" si="159"/>
        <v>0</v>
      </c>
      <c r="R356" s="79">
        <f t="shared" si="159"/>
        <v>0</v>
      </c>
      <c r="S356" s="79">
        <f t="shared" si="159"/>
        <v>0</v>
      </c>
      <c r="T356" s="79">
        <f t="shared" si="159"/>
        <v>0</v>
      </c>
      <c r="U356" s="79">
        <f t="shared" si="159"/>
        <v>0</v>
      </c>
      <c r="V356" s="79">
        <f t="shared" si="159"/>
        <v>0</v>
      </c>
      <c r="W356" s="79">
        <f t="shared" si="159"/>
        <v>0</v>
      </c>
      <c r="X356" s="63">
        <f t="shared" si="159"/>
        <v>0</v>
      </c>
      <c r="Y356" s="63">
        <f t="shared" si="159"/>
        <v>0</v>
      </c>
      <c r="Z356" s="63">
        <f t="shared" si="159"/>
        <v>0</v>
      </c>
      <c r="AA356" s="63">
        <f t="shared" si="160"/>
        <v>0</v>
      </c>
      <c r="AB356" s="58" t="str">
        <f t="shared" si="161"/>
        <v>ok</v>
      </c>
    </row>
    <row r="357" spans="1:28" hidden="1">
      <c r="A357" s="458" t="s">
        <v>1161</v>
      </c>
      <c r="C357" s="111" t="s">
        <v>724</v>
      </c>
      <c r="D357" s="44" t="s">
        <v>728</v>
      </c>
      <c r="E357" s="44" t="s">
        <v>1015</v>
      </c>
      <c r="F357" s="79">
        <f>VLOOKUP(C357,'Functional Assignment'!$C$2:$AP$780,'Functional Assignment'!$L$2,)</f>
        <v>0</v>
      </c>
      <c r="G357" s="79">
        <f t="shared" si="158"/>
        <v>0</v>
      </c>
      <c r="H357" s="79">
        <f t="shared" si="158"/>
        <v>0</v>
      </c>
      <c r="I357" s="79">
        <f t="shared" si="158"/>
        <v>0</v>
      </c>
      <c r="J357" s="79">
        <f t="shared" si="158"/>
        <v>0</v>
      </c>
      <c r="K357" s="79">
        <f t="shared" si="158"/>
        <v>0</v>
      </c>
      <c r="L357" s="79">
        <f t="shared" si="158"/>
        <v>0</v>
      </c>
      <c r="M357" s="79">
        <f t="shared" si="158"/>
        <v>0</v>
      </c>
      <c r="N357" s="79">
        <f t="shared" si="158"/>
        <v>0</v>
      </c>
      <c r="O357" s="79">
        <f t="shared" si="158"/>
        <v>0</v>
      </c>
      <c r="P357" s="79">
        <f t="shared" si="158"/>
        <v>0</v>
      </c>
      <c r="Q357" s="79">
        <f t="shared" si="159"/>
        <v>0</v>
      </c>
      <c r="R357" s="79">
        <f t="shared" si="159"/>
        <v>0</v>
      </c>
      <c r="S357" s="79">
        <f t="shared" si="159"/>
        <v>0</v>
      </c>
      <c r="T357" s="79">
        <f t="shared" si="159"/>
        <v>0</v>
      </c>
      <c r="U357" s="79">
        <f t="shared" si="159"/>
        <v>0</v>
      </c>
      <c r="V357" s="79">
        <f t="shared" si="159"/>
        <v>0</v>
      </c>
      <c r="W357" s="79">
        <f t="shared" si="159"/>
        <v>0</v>
      </c>
      <c r="X357" s="63">
        <f t="shared" si="159"/>
        <v>0</v>
      </c>
      <c r="Y357" s="63">
        <f t="shared" si="159"/>
        <v>0</v>
      </c>
      <c r="Z357" s="63">
        <f t="shared" si="159"/>
        <v>0</v>
      </c>
      <c r="AA357" s="63">
        <f t="shared" si="160"/>
        <v>0</v>
      </c>
      <c r="AB357" s="58" t="str">
        <f t="shared" si="161"/>
        <v>ok</v>
      </c>
    </row>
    <row r="358" spans="1:28" hidden="1">
      <c r="A358" s="458" t="s">
        <v>1161</v>
      </c>
      <c r="C358" s="111" t="s">
        <v>724</v>
      </c>
      <c r="D358" s="44" t="s">
        <v>729</v>
      </c>
      <c r="E358" s="44" t="s">
        <v>1015</v>
      </c>
      <c r="F358" s="79">
        <f>VLOOKUP(C358,'Functional Assignment'!$C$2:$AP$780,'Functional Assignment'!$M$2,)</f>
        <v>0</v>
      </c>
      <c r="G358" s="79">
        <f t="shared" si="158"/>
        <v>0</v>
      </c>
      <c r="H358" s="79">
        <f t="shared" si="158"/>
        <v>0</v>
      </c>
      <c r="I358" s="79">
        <f t="shared" si="158"/>
        <v>0</v>
      </c>
      <c r="J358" s="79">
        <f t="shared" si="158"/>
        <v>0</v>
      </c>
      <c r="K358" s="79">
        <f t="shared" si="158"/>
        <v>0</v>
      </c>
      <c r="L358" s="79">
        <f t="shared" si="158"/>
        <v>0</v>
      </c>
      <c r="M358" s="79">
        <f t="shared" si="158"/>
        <v>0</v>
      </c>
      <c r="N358" s="79">
        <f t="shared" si="158"/>
        <v>0</v>
      </c>
      <c r="O358" s="79">
        <f t="shared" si="158"/>
        <v>0</v>
      </c>
      <c r="P358" s="79">
        <f t="shared" si="158"/>
        <v>0</v>
      </c>
      <c r="Q358" s="79">
        <f t="shared" si="159"/>
        <v>0</v>
      </c>
      <c r="R358" s="79">
        <f t="shared" si="159"/>
        <v>0</v>
      </c>
      <c r="S358" s="79">
        <f t="shared" si="159"/>
        <v>0</v>
      </c>
      <c r="T358" s="79">
        <f t="shared" si="159"/>
        <v>0</v>
      </c>
      <c r="U358" s="79">
        <f t="shared" si="159"/>
        <v>0</v>
      </c>
      <c r="V358" s="79">
        <f t="shared" si="159"/>
        <v>0</v>
      </c>
      <c r="W358" s="79">
        <f t="shared" si="159"/>
        <v>0</v>
      </c>
      <c r="X358" s="63">
        <f t="shared" si="159"/>
        <v>0</v>
      </c>
      <c r="Y358" s="63">
        <f t="shared" si="159"/>
        <v>0</v>
      </c>
      <c r="Z358" s="63">
        <f t="shared" si="159"/>
        <v>0</v>
      </c>
      <c r="AA358" s="63">
        <f t="shared" si="160"/>
        <v>0</v>
      </c>
      <c r="AB358" s="58" t="str">
        <f t="shared" si="161"/>
        <v>ok</v>
      </c>
    </row>
    <row r="359" spans="1:28">
      <c r="A359" s="44" t="s">
        <v>374</v>
      </c>
      <c r="D359" s="44" t="s">
        <v>730</v>
      </c>
      <c r="E359" s="44"/>
      <c r="F359" s="76">
        <f t="shared" ref="F359:P359" si="162">SUM(F353:F358)</f>
        <v>0</v>
      </c>
      <c r="G359" s="76">
        <f t="shared" si="162"/>
        <v>0</v>
      </c>
      <c r="H359" s="76">
        <f t="shared" si="162"/>
        <v>0</v>
      </c>
      <c r="I359" s="76">
        <f t="shared" si="162"/>
        <v>0</v>
      </c>
      <c r="J359" s="76">
        <f t="shared" si="162"/>
        <v>0</v>
      </c>
      <c r="K359" s="76">
        <f t="shared" si="162"/>
        <v>0</v>
      </c>
      <c r="L359" s="76">
        <f t="shared" si="162"/>
        <v>0</v>
      </c>
      <c r="M359" s="76">
        <f t="shared" si="162"/>
        <v>0</v>
      </c>
      <c r="N359" s="76">
        <f t="shared" si="162"/>
        <v>0</v>
      </c>
      <c r="O359" s="76">
        <f>SUM(O353:O358)</f>
        <v>0</v>
      </c>
      <c r="P359" s="76">
        <f t="shared" si="162"/>
        <v>0</v>
      </c>
      <c r="Q359" s="76">
        <f t="shared" ref="Q359:Z359" si="163">SUM(Q353:Q358)</f>
        <v>0</v>
      </c>
      <c r="R359" s="76">
        <f t="shared" si="163"/>
        <v>0</v>
      </c>
      <c r="S359" s="76">
        <f t="shared" si="163"/>
        <v>0</v>
      </c>
      <c r="T359" s="76">
        <f t="shared" si="163"/>
        <v>0</v>
      </c>
      <c r="U359" s="76">
        <f t="shared" si="163"/>
        <v>0</v>
      </c>
      <c r="V359" s="76">
        <f t="shared" si="163"/>
        <v>0</v>
      </c>
      <c r="W359" s="76">
        <f t="shared" si="163"/>
        <v>0</v>
      </c>
      <c r="X359" s="62">
        <f t="shared" si="163"/>
        <v>0</v>
      </c>
      <c r="Y359" s="62">
        <f t="shared" si="163"/>
        <v>0</v>
      </c>
      <c r="Z359" s="62">
        <f t="shared" si="163"/>
        <v>0</v>
      </c>
      <c r="AA359" s="64">
        <f t="shared" si="160"/>
        <v>0</v>
      </c>
      <c r="AB359" s="58" t="str">
        <f t="shared" si="161"/>
        <v>ok</v>
      </c>
    </row>
    <row r="360" spans="1:28">
      <c r="A360" s="44"/>
      <c r="F360" s="79"/>
      <c r="G360" s="79"/>
    </row>
    <row r="361" spans="1:28" ht="14.1">
      <c r="A361" s="45" t="s">
        <v>1055</v>
      </c>
      <c r="F361" s="79"/>
      <c r="G361" s="79"/>
    </row>
    <row r="362" spans="1:28">
      <c r="A362" s="458" t="s">
        <v>1225</v>
      </c>
      <c r="C362" s="111" t="s">
        <v>724</v>
      </c>
      <c r="D362" s="60" t="s">
        <v>731</v>
      </c>
      <c r="E362" s="60" t="s">
        <v>1229</v>
      </c>
      <c r="F362" s="76">
        <f>VLOOKUP(C362,'Functional Assignment'!$C$2:$AP$780,'Functional Assignment'!$N$2,)</f>
        <v>0</v>
      </c>
      <c r="G362" s="76">
        <f t="shared" ref="G362:P364" si="164">IF(VLOOKUP($E362,$D$6:$AN$1150,3,)=0,0,(VLOOKUP($E362,$D$6:$AN$1150,G$2,)/VLOOKUP($E362,$D$6:$AN$1150,3,))*$F362)</f>
        <v>0</v>
      </c>
      <c r="H362" s="76">
        <f t="shared" si="164"/>
        <v>0</v>
      </c>
      <c r="I362" s="76">
        <f t="shared" si="164"/>
        <v>0</v>
      </c>
      <c r="J362" s="76">
        <f t="shared" si="164"/>
        <v>0</v>
      </c>
      <c r="K362" s="76">
        <f t="shared" si="164"/>
        <v>0</v>
      </c>
      <c r="L362" s="76">
        <f t="shared" si="164"/>
        <v>0</v>
      </c>
      <c r="M362" s="76">
        <f t="shared" si="164"/>
        <v>0</v>
      </c>
      <c r="N362" s="76">
        <f t="shared" si="164"/>
        <v>0</v>
      </c>
      <c r="O362" s="76">
        <f t="shared" si="164"/>
        <v>0</v>
      </c>
      <c r="P362" s="76">
        <f t="shared" si="164"/>
        <v>0</v>
      </c>
      <c r="Q362" s="76">
        <f t="shared" ref="Q362:Z364" si="165">IF(VLOOKUP($E362,$D$6:$AN$1150,3,)=0,0,(VLOOKUP($E362,$D$6:$AN$1150,Q$2,)/VLOOKUP($E362,$D$6:$AN$1150,3,))*$F362)</f>
        <v>0</v>
      </c>
      <c r="R362" s="76">
        <f t="shared" si="165"/>
        <v>0</v>
      </c>
      <c r="S362" s="76">
        <f t="shared" si="165"/>
        <v>0</v>
      </c>
      <c r="T362" s="76">
        <f t="shared" si="165"/>
        <v>0</v>
      </c>
      <c r="U362" s="76">
        <f t="shared" si="165"/>
        <v>0</v>
      </c>
      <c r="V362" s="76">
        <f t="shared" si="165"/>
        <v>0</v>
      </c>
      <c r="W362" s="76">
        <f t="shared" si="165"/>
        <v>0</v>
      </c>
      <c r="X362" s="62">
        <f t="shared" si="165"/>
        <v>0</v>
      </c>
      <c r="Y362" s="62">
        <f t="shared" si="165"/>
        <v>0</v>
      </c>
      <c r="Z362" s="62">
        <f t="shared" si="165"/>
        <v>0</v>
      </c>
      <c r="AA362" s="64">
        <f>SUM(G362:Z362)</f>
        <v>0</v>
      </c>
      <c r="AB362" s="58" t="str">
        <f>IF(ABS(F362-AA362)&lt;0.01,"ok","err")</f>
        <v>ok</v>
      </c>
    </row>
    <row r="363" spans="1:28" hidden="1">
      <c r="A363" s="458" t="s">
        <v>1226</v>
      </c>
      <c r="C363" s="111" t="s">
        <v>724</v>
      </c>
      <c r="D363" s="60" t="s">
        <v>732</v>
      </c>
      <c r="E363" s="60" t="s">
        <v>1229</v>
      </c>
      <c r="F363" s="79">
        <f>VLOOKUP(C363,'Functional Assignment'!$C$2:$AP$780,'Functional Assignment'!$O$2,)</f>
        <v>0</v>
      </c>
      <c r="G363" s="79">
        <f t="shared" si="164"/>
        <v>0</v>
      </c>
      <c r="H363" s="79">
        <f t="shared" si="164"/>
        <v>0</v>
      </c>
      <c r="I363" s="79">
        <f t="shared" si="164"/>
        <v>0</v>
      </c>
      <c r="J363" s="79">
        <f t="shared" si="164"/>
        <v>0</v>
      </c>
      <c r="K363" s="79">
        <f t="shared" si="164"/>
        <v>0</v>
      </c>
      <c r="L363" s="79">
        <f t="shared" si="164"/>
        <v>0</v>
      </c>
      <c r="M363" s="79">
        <f t="shared" si="164"/>
        <v>0</v>
      </c>
      <c r="N363" s="79">
        <f t="shared" si="164"/>
        <v>0</v>
      </c>
      <c r="O363" s="79">
        <f t="shared" si="164"/>
        <v>0</v>
      </c>
      <c r="P363" s="79">
        <f t="shared" si="164"/>
        <v>0</v>
      </c>
      <c r="Q363" s="79">
        <f t="shared" si="165"/>
        <v>0</v>
      </c>
      <c r="R363" s="79">
        <f t="shared" si="165"/>
        <v>0</v>
      </c>
      <c r="S363" s="79">
        <f t="shared" si="165"/>
        <v>0</v>
      </c>
      <c r="T363" s="79">
        <f t="shared" si="165"/>
        <v>0</v>
      </c>
      <c r="U363" s="79">
        <f t="shared" si="165"/>
        <v>0</v>
      </c>
      <c r="V363" s="79">
        <f t="shared" si="165"/>
        <v>0</v>
      </c>
      <c r="W363" s="79">
        <f t="shared" si="165"/>
        <v>0</v>
      </c>
      <c r="X363" s="63">
        <f t="shared" si="165"/>
        <v>0</v>
      </c>
      <c r="Y363" s="63">
        <f t="shared" si="165"/>
        <v>0</v>
      </c>
      <c r="Z363" s="63">
        <f t="shared" si="165"/>
        <v>0</v>
      </c>
      <c r="AA363" s="63">
        <f>SUM(G363:Z363)</f>
        <v>0</v>
      </c>
      <c r="AB363" s="58" t="str">
        <f>IF(ABS(F363-AA363)&lt;0.01,"ok","err")</f>
        <v>ok</v>
      </c>
    </row>
    <row r="364" spans="1:28" hidden="1">
      <c r="A364" s="458" t="s">
        <v>1226</v>
      </c>
      <c r="C364" s="111" t="s">
        <v>724</v>
      </c>
      <c r="D364" s="60" t="s">
        <v>733</v>
      </c>
      <c r="E364" s="60" t="s">
        <v>1229</v>
      </c>
      <c r="F364" s="79">
        <f>VLOOKUP(C364,'Functional Assignment'!$C$2:$AP$780,'Functional Assignment'!$P$2,)</f>
        <v>0</v>
      </c>
      <c r="G364" s="79">
        <f t="shared" si="164"/>
        <v>0</v>
      </c>
      <c r="H364" s="79">
        <f t="shared" si="164"/>
        <v>0</v>
      </c>
      <c r="I364" s="79">
        <f t="shared" si="164"/>
        <v>0</v>
      </c>
      <c r="J364" s="79">
        <f t="shared" si="164"/>
        <v>0</v>
      </c>
      <c r="K364" s="79">
        <f t="shared" si="164"/>
        <v>0</v>
      </c>
      <c r="L364" s="79">
        <f t="shared" si="164"/>
        <v>0</v>
      </c>
      <c r="M364" s="79">
        <f t="shared" si="164"/>
        <v>0</v>
      </c>
      <c r="N364" s="79">
        <f t="shared" si="164"/>
        <v>0</v>
      </c>
      <c r="O364" s="79">
        <f t="shared" si="164"/>
        <v>0</v>
      </c>
      <c r="P364" s="79">
        <f t="shared" si="164"/>
        <v>0</v>
      </c>
      <c r="Q364" s="79">
        <f t="shared" si="165"/>
        <v>0</v>
      </c>
      <c r="R364" s="79">
        <f t="shared" si="165"/>
        <v>0</v>
      </c>
      <c r="S364" s="79">
        <f t="shared" si="165"/>
        <v>0</v>
      </c>
      <c r="T364" s="79">
        <f t="shared" si="165"/>
        <v>0</v>
      </c>
      <c r="U364" s="79">
        <f t="shared" si="165"/>
        <v>0</v>
      </c>
      <c r="V364" s="79">
        <f t="shared" si="165"/>
        <v>0</v>
      </c>
      <c r="W364" s="79">
        <f t="shared" si="165"/>
        <v>0</v>
      </c>
      <c r="X364" s="63">
        <f t="shared" si="165"/>
        <v>0</v>
      </c>
      <c r="Y364" s="63">
        <f t="shared" si="165"/>
        <v>0</v>
      </c>
      <c r="Z364" s="63">
        <f t="shared" si="165"/>
        <v>0</v>
      </c>
      <c r="AA364" s="63">
        <f>SUM(G364:Z364)</f>
        <v>0</v>
      </c>
      <c r="AB364" s="58" t="str">
        <f>IF(ABS(F364-AA364)&lt;0.01,"ok","err")</f>
        <v>ok</v>
      </c>
    </row>
    <row r="365" spans="1:28" hidden="1">
      <c r="A365" s="44" t="s">
        <v>1057</v>
      </c>
      <c r="D365" s="60" t="s">
        <v>734</v>
      </c>
      <c r="F365" s="76">
        <f t="shared" ref="F365:P365" si="166">SUM(F362:F364)</f>
        <v>0</v>
      </c>
      <c r="G365" s="76">
        <f t="shared" si="166"/>
        <v>0</v>
      </c>
      <c r="H365" s="76">
        <f t="shared" si="166"/>
        <v>0</v>
      </c>
      <c r="I365" s="76">
        <f t="shared" si="166"/>
        <v>0</v>
      </c>
      <c r="J365" s="76">
        <f t="shared" si="166"/>
        <v>0</v>
      </c>
      <c r="K365" s="76">
        <f t="shared" si="166"/>
        <v>0</v>
      </c>
      <c r="L365" s="76">
        <f t="shared" si="166"/>
        <v>0</v>
      </c>
      <c r="M365" s="76">
        <f t="shared" si="166"/>
        <v>0</v>
      </c>
      <c r="N365" s="76">
        <f t="shared" si="166"/>
        <v>0</v>
      </c>
      <c r="O365" s="76">
        <f>SUM(O362:O364)</f>
        <v>0</v>
      </c>
      <c r="P365" s="76">
        <f t="shared" si="166"/>
        <v>0</v>
      </c>
      <c r="Q365" s="76">
        <f t="shared" ref="Q365:Z365" si="167">SUM(Q362:Q364)</f>
        <v>0</v>
      </c>
      <c r="R365" s="76">
        <f t="shared" si="167"/>
        <v>0</v>
      </c>
      <c r="S365" s="76">
        <f t="shared" si="167"/>
        <v>0</v>
      </c>
      <c r="T365" s="76">
        <f t="shared" si="167"/>
        <v>0</v>
      </c>
      <c r="U365" s="76">
        <f t="shared" si="167"/>
        <v>0</v>
      </c>
      <c r="V365" s="76">
        <f t="shared" si="167"/>
        <v>0</v>
      </c>
      <c r="W365" s="76">
        <f t="shared" si="167"/>
        <v>0</v>
      </c>
      <c r="X365" s="62">
        <f t="shared" si="167"/>
        <v>0</v>
      </c>
      <c r="Y365" s="62">
        <f t="shared" si="167"/>
        <v>0</v>
      </c>
      <c r="Z365" s="62">
        <f t="shared" si="167"/>
        <v>0</v>
      </c>
      <c r="AA365" s="64">
        <f>SUM(G365:Z365)</f>
        <v>0</v>
      </c>
      <c r="AB365" s="58" t="str">
        <f>IF(ABS(F365-AA365)&lt;0.01,"ok","err")</f>
        <v>ok</v>
      </c>
    </row>
    <row r="366" spans="1:28">
      <c r="A366" s="44"/>
      <c r="F366" s="79"/>
      <c r="G366" s="79"/>
    </row>
    <row r="367" spans="1:28" ht="14.1">
      <c r="A367" s="45" t="s">
        <v>337</v>
      </c>
      <c r="F367" s="79"/>
      <c r="G367" s="79"/>
    </row>
    <row r="368" spans="1:28">
      <c r="A368" s="458" t="s">
        <v>359</v>
      </c>
      <c r="C368" s="111" t="s">
        <v>724</v>
      </c>
      <c r="D368" s="60" t="s">
        <v>735</v>
      </c>
      <c r="E368" s="60" t="s">
        <v>1230</v>
      </c>
      <c r="F368" s="76">
        <f>VLOOKUP(C368,'Functional Assignment'!$C$2:$AP$780,'Functional Assignment'!$Q$2,)</f>
        <v>0</v>
      </c>
      <c r="G368" s="76">
        <f t="shared" ref="G368:Z368" si="168">IF(VLOOKUP($E368,$D$6:$AN$1150,3,)=0,0,(VLOOKUP($E368,$D$6:$AN$1150,G$2,)/VLOOKUP($E368,$D$6:$AN$1150,3,))*$F368)</f>
        <v>0</v>
      </c>
      <c r="H368" s="76">
        <f t="shared" si="168"/>
        <v>0</v>
      </c>
      <c r="I368" s="76">
        <f t="shared" si="168"/>
        <v>0</v>
      </c>
      <c r="J368" s="76">
        <f t="shared" si="168"/>
        <v>0</v>
      </c>
      <c r="K368" s="76">
        <f t="shared" si="168"/>
        <v>0</v>
      </c>
      <c r="L368" s="76">
        <f t="shared" si="168"/>
        <v>0</v>
      </c>
      <c r="M368" s="76">
        <f t="shared" si="168"/>
        <v>0</v>
      </c>
      <c r="N368" s="76">
        <f t="shared" si="168"/>
        <v>0</v>
      </c>
      <c r="O368" s="76">
        <f t="shared" si="168"/>
        <v>0</v>
      </c>
      <c r="P368" s="76">
        <f t="shared" si="168"/>
        <v>0</v>
      </c>
      <c r="Q368" s="76">
        <f t="shared" si="168"/>
        <v>0</v>
      </c>
      <c r="R368" s="76">
        <f t="shared" si="168"/>
        <v>0</v>
      </c>
      <c r="S368" s="76">
        <f t="shared" si="168"/>
        <v>0</v>
      </c>
      <c r="T368" s="76">
        <f t="shared" si="168"/>
        <v>0</v>
      </c>
      <c r="U368" s="76">
        <f t="shared" si="168"/>
        <v>0</v>
      </c>
      <c r="V368" s="76">
        <f t="shared" si="168"/>
        <v>0</v>
      </c>
      <c r="W368" s="76">
        <f t="shared" si="168"/>
        <v>0</v>
      </c>
      <c r="X368" s="62">
        <f t="shared" si="168"/>
        <v>0</v>
      </c>
      <c r="Y368" s="62">
        <f t="shared" si="168"/>
        <v>0</v>
      </c>
      <c r="Z368" s="62">
        <f t="shared" si="168"/>
        <v>0</v>
      </c>
      <c r="AA368" s="64">
        <f>SUM(G368:Z368)</f>
        <v>0</v>
      </c>
      <c r="AB368" s="58" t="str">
        <f>IF(ABS(F368-AA368)&lt;0.01,"ok","err")</f>
        <v>ok</v>
      </c>
    </row>
    <row r="369" spans="1:28">
      <c r="A369" s="44"/>
      <c r="F369" s="79"/>
    </row>
    <row r="370" spans="1:28" ht="14.1">
      <c r="A370" s="45" t="s">
        <v>338</v>
      </c>
      <c r="F370" s="79"/>
      <c r="G370" s="79"/>
    </row>
    <row r="371" spans="1:28">
      <c r="A371" s="458" t="s">
        <v>361</v>
      </c>
      <c r="C371" s="111" t="s">
        <v>724</v>
      </c>
      <c r="D371" s="60" t="s">
        <v>736</v>
      </c>
      <c r="E371" s="60" t="s">
        <v>1230</v>
      </c>
      <c r="F371" s="76">
        <f>VLOOKUP(C371,'Functional Assignment'!$C$2:$AP$780,'Functional Assignment'!$R$2,)</f>
        <v>0</v>
      </c>
      <c r="G371" s="76">
        <f t="shared" ref="G371:Z371" si="169">IF(VLOOKUP($E371,$D$6:$AN$1150,3,)=0,0,(VLOOKUP($E371,$D$6:$AN$1150,G$2,)/VLOOKUP($E371,$D$6:$AN$1150,3,))*$F371)</f>
        <v>0</v>
      </c>
      <c r="H371" s="76">
        <f t="shared" si="169"/>
        <v>0</v>
      </c>
      <c r="I371" s="76">
        <f t="shared" si="169"/>
        <v>0</v>
      </c>
      <c r="J371" s="76">
        <f t="shared" si="169"/>
        <v>0</v>
      </c>
      <c r="K371" s="76">
        <f t="shared" si="169"/>
        <v>0</v>
      </c>
      <c r="L371" s="76">
        <f t="shared" si="169"/>
        <v>0</v>
      </c>
      <c r="M371" s="76">
        <f t="shared" si="169"/>
        <v>0</v>
      </c>
      <c r="N371" s="76">
        <f t="shared" si="169"/>
        <v>0</v>
      </c>
      <c r="O371" s="76">
        <f t="shared" si="169"/>
        <v>0</v>
      </c>
      <c r="P371" s="76">
        <f t="shared" si="169"/>
        <v>0</v>
      </c>
      <c r="Q371" s="76">
        <f t="shared" si="169"/>
        <v>0</v>
      </c>
      <c r="R371" s="76">
        <f t="shared" si="169"/>
        <v>0</v>
      </c>
      <c r="S371" s="76">
        <f t="shared" si="169"/>
        <v>0</v>
      </c>
      <c r="T371" s="76">
        <f t="shared" si="169"/>
        <v>0</v>
      </c>
      <c r="U371" s="76">
        <f t="shared" si="169"/>
        <v>0</v>
      </c>
      <c r="V371" s="76">
        <f t="shared" si="169"/>
        <v>0</v>
      </c>
      <c r="W371" s="76">
        <f t="shared" si="169"/>
        <v>0</v>
      </c>
      <c r="X371" s="62">
        <f t="shared" si="169"/>
        <v>0</v>
      </c>
      <c r="Y371" s="62">
        <f t="shared" si="169"/>
        <v>0</v>
      </c>
      <c r="Z371" s="62">
        <f t="shared" si="169"/>
        <v>0</v>
      </c>
      <c r="AA371" s="64">
        <f>SUM(G371:Z371)</f>
        <v>0</v>
      </c>
      <c r="AB371" s="58" t="str">
        <f>IF(ABS(F371-AA371)&lt;0.01,"ok","err")</f>
        <v>ok</v>
      </c>
    </row>
    <row r="372" spans="1:28">
      <c r="A372" s="44"/>
      <c r="F372" s="79"/>
    </row>
    <row r="373" spans="1:28" ht="14.1">
      <c r="A373" s="45" t="s">
        <v>360</v>
      </c>
      <c r="F373" s="79"/>
    </row>
    <row r="374" spans="1:28">
      <c r="A374" s="458" t="s">
        <v>603</v>
      </c>
      <c r="C374" s="111" t="s">
        <v>724</v>
      </c>
      <c r="D374" s="60" t="s">
        <v>737</v>
      </c>
      <c r="E374" s="60" t="s">
        <v>1230</v>
      </c>
      <c r="F374" s="76">
        <f>VLOOKUP(C374,'Functional Assignment'!$C$2:$AP$780,'Functional Assignment'!$S$2,)</f>
        <v>0</v>
      </c>
      <c r="G374" s="76">
        <f t="shared" ref="G374:P378" si="170">IF(VLOOKUP($E374,$D$6:$AN$1150,3,)=0,0,(VLOOKUP($E374,$D$6:$AN$1150,G$2,)/VLOOKUP($E374,$D$6:$AN$1150,3,))*$F374)</f>
        <v>0</v>
      </c>
      <c r="H374" s="76">
        <f t="shared" si="170"/>
        <v>0</v>
      </c>
      <c r="I374" s="76">
        <f t="shared" si="170"/>
        <v>0</v>
      </c>
      <c r="J374" s="76">
        <f t="shared" si="170"/>
        <v>0</v>
      </c>
      <c r="K374" s="76">
        <f t="shared" si="170"/>
        <v>0</v>
      </c>
      <c r="L374" s="76">
        <f t="shared" si="170"/>
        <v>0</v>
      </c>
      <c r="M374" s="76">
        <f t="shared" si="170"/>
        <v>0</v>
      </c>
      <c r="N374" s="76">
        <f t="shared" si="170"/>
        <v>0</v>
      </c>
      <c r="O374" s="76">
        <f t="shared" si="170"/>
        <v>0</v>
      </c>
      <c r="P374" s="76">
        <f t="shared" si="170"/>
        <v>0</v>
      </c>
      <c r="Q374" s="76">
        <f t="shared" ref="Q374:Z378" si="171">IF(VLOOKUP($E374,$D$6:$AN$1150,3,)=0,0,(VLOOKUP($E374,$D$6:$AN$1150,Q$2,)/VLOOKUP($E374,$D$6:$AN$1150,3,))*$F374)</f>
        <v>0</v>
      </c>
      <c r="R374" s="76">
        <f t="shared" si="171"/>
        <v>0</v>
      </c>
      <c r="S374" s="76">
        <f t="shared" si="171"/>
        <v>0</v>
      </c>
      <c r="T374" s="76">
        <f t="shared" si="171"/>
        <v>0</v>
      </c>
      <c r="U374" s="76">
        <f t="shared" si="171"/>
        <v>0</v>
      </c>
      <c r="V374" s="76">
        <f t="shared" si="171"/>
        <v>0</v>
      </c>
      <c r="W374" s="76">
        <f t="shared" si="171"/>
        <v>0</v>
      </c>
      <c r="X374" s="62">
        <f t="shared" si="171"/>
        <v>0</v>
      </c>
      <c r="Y374" s="62">
        <f t="shared" si="171"/>
        <v>0</v>
      </c>
      <c r="Z374" s="62">
        <f t="shared" si="171"/>
        <v>0</v>
      </c>
      <c r="AA374" s="64">
        <f t="shared" ref="AA374:AA379" si="172">SUM(G374:Z374)</f>
        <v>0</v>
      </c>
      <c r="AB374" s="58" t="str">
        <f t="shared" ref="AB374:AB379" si="173">IF(ABS(F374-AA374)&lt;0.01,"ok","err")</f>
        <v>ok</v>
      </c>
    </row>
    <row r="375" spans="1:28">
      <c r="A375" s="458" t="s">
        <v>604</v>
      </c>
      <c r="C375" s="111" t="s">
        <v>724</v>
      </c>
      <c r="D375" s="60" t="s">
        <v>738</v>
      </c>
      <c r="E375" s="60" t="s">
        <v>1230</v>
      </c>
      <c r="F375" s="79">
        <f>VLOOKUP(C375,'Functional Assignment'!$C$2:$AP$780,'Functional Assignment'!$T$2,)</f>
        <v>0</v>
      </c>
      <c r="G375" s="79">
        <f t="shared" si="170"/>
        <v>0</v>
      </c>
      <c r="H375" s="79">
        <f t="shared" si="170"/>
        <v>0</v>
      </c>
      <c r="I375" s="79">
        <f t="shared" si="170"/>
        <v>0</v>
      </c>
      <c r="J375" s="79">
        <f t="shared" si="170"/>
        <v>0</v>
      </c>
      <c r="K375" s="79">
        <f t="shared" si="170"/>
        <v>0</v>
      </c>
      <c r="L375" s="79">
        <f t="shared" si="170"/>
        <v>0</v>
      </c>
      <c r="M375" s="79">
        <f t="shared" si="170"/>
        <v>0</v>
      </c>
      <c r="N375" s="79">
        <f t="shared" si="170"/>
        <v>0</v>
      </c>
      <c r="O375" s="79">
        <f t="shared" si="170"/>
        <v>0</v>
      </c>
      <c r="P375" s="79">
        <f t="shared" si="170"/>
        <v>0</v>
      </c>
      <c r="Q375" s="79">
        <f t="shared" si="171"/>
        <v>0</v>
      </c>
      <c r="R375" s="79">
        <f t="shared" si="171"/>
        <v>0</v>
      </c>
      <c r="S375" s="79">
        <f t="shared" si="171"/>
        <v>0</v>
      </c>
      <c r="T375" s="79">
        <f t="shared" si="171"/>
        <v>0</v>
      </c>
      <c r="U375" s="79">
        <f t="shared" si="171"/>
        <v>0</v>
      </c>
      <c r="V375" s="79">
        <f t="shared" si="171"/>
        <v>0</v>
      </c>
      <c r="W375" s="79">
        <f t="shared" si="171"/>
        <v>0</v>
      </c>
      <c r="X375" s="63">
        <f t="shared" si="171"/>
        <v>0</v>
      </c>
      <c r="Y375" s="63">
        <f t="shared" si="171"/>
        <v>0</v>
      </c>
      <c r="Z375" s="63">
        <f t="shared" si="171"/>
        <v>0</v>
      </c>
      <c r="AA375" s="63">
        <f t="shared" si="172"/>
        <v>0</v>
      </c>
      <c r="AB375" s="58" t="str">
        <f t="shared" si="173"/>
        <v>ok</v>
      </c>
    </row>
    <row r="376" spans="1:28">
      <c r="A376" s="458" t="s">
        <v>605</v>
      </c>
      <c r="C376" s="111" t="s">
        <v>724</v>
      </c>
      <c r="D376" s="60" t="s">
        <v>739</v>
      </c>
      <c r="E376" s="60" t="s">
        <v>658</v>
      </c>
      <c r="F376" s="79">
        <f>VLOOKUP(C376,'Functional Assignment'!$C$2:$AP$780,'Functional Assignment'!$U$2,)</f>
        <v>0</v>
      </c>
      <c r="G376" s="79">
        <f t="shared" si="170"/>
        <v>0</v>
      </c>
      <c r="H376" s="79">
        <f t="shared" si="170"/>
        <v>0</v>
      </c>
      <c r="I376" s="79">
        <f t="shared" si="170"/>
        <v>0</v>
      </c>
      <c r="J376" s="79">
        <f t="shared" si="170"/>
        <v>0</v>
      </c>
      <c r="K376" s="79">
        <f t="shared" si="170"/>
        <v>0</v>
      </c>
      <c r="L376" s="79">
        <f t="shared" si="170"/>
        <v>0</v>
      </c>
      <c r="M376" s="79">
        <f t="shared" si="170"/>
        <v>0</v>
      </c>
      <c r="N376" s="79">
        <f t="shared" si="170"/>
        <v>0</v>
      </c>
      <c r="O376" s="79">
        <f t="shared" si="170"/>
        <v>0</v>
      </c>
      <c r="P376" s="79">
        <f t="shared" si="170"/>
        <v>0</v>
      </c>
      <c r="Q376" s="79">
        <f t="shared" si="171"/>
        <v>0</v>
      </c>
      <c r="R376" s="79">
        <f t="shared" si="171"/>
        <v>0</v>
      </c>
      <c r="S376" s="79">
        <f t="shared" si="171"/>
        <v>0</v>
      </c>
      <c r="T376" s="79">
        <f t="shared" si="171"/>
        <v>0</v>
      </c>
      <c r="U376" s="79">
        <f t="shared" si="171"/>
        <v>0</v>
      </c>
      <c r="V376" s="79">
        <f t="shared" si="171"/>
        <v>0</v>
      </c>
      <c r="W376" s="79">
        <f t="shared" si="171"/>
        <v>0</v>
      </c>
      <c r="X376" s="63">
        <f t="shared" si="171"/>
        <v>0</v>
      </c>
      <c r="Y376" s="63">
        <f t="shared" si="171"/>
        <v>0</v>
      </c>
      <c r="Z376" s="63">
        <f t="shared" si="171"/>
        <v>0</v>
      </c>
      <c r="AA376" s="63">
        <f t="shared" si="172"/>
        <v>0</v>
      </c>
      <c r="AB376" s="58" t="str">
        <f t="shared" si="173"/>
        <v>ok</v>
      </c>
    </row>
    <row r="377" spans="1:28">
      <c r="A377" s="458" t="s">
        <v>606</v>
      </c>
      <c r="C377" s="111" t="s">
        <v>724</v>
      </c>
      <c r="D377" s="60" t="s">
        <v>740</v>
      </c>
      <c r="E377" s="60" t="s">
        <v>646</v>
      </c>
      <c r="F377" s="79">
        <f>VLOOKUP(C377,'Functional Assignment'!$C$2:$AP$780,'Functional Assignment'!$V$2,)</f>
        <v>0</v>
      </c>
      <c r="G377" s="79">
        <f t="shared" si="170"/>
        <v>0</v>
      </c>
      <c r="H377" s="79">
        <f t="shared" si="170"/>
        <v>0</v>
      </c>
      <c r="I377" s="79">
        <f t="shared" si="170"/>
        <v>0</v>
      </c>
      <c r="J377" s="79">
        <f t="shared" si="170"/>
        <v>0</v>
      </c>
      <c r="K377" s="79">
        <f t="shared" si="170"/>
        <v>0</v>
      </c>
      <c r="L377" s="79">
        <f t="shared" si="170"/>
        <v>0</v>
      </c>
      <c r="M377" s="79">
        <f t="shared" si="170"/>
        <v>0</v>
      </c>
      <c r="N377" s="79">
        <f t="shared" si="170"/>
        <v>0</v>
      </c>
      <c r="O377" s="79">
        <f t="shared" si="170"/>
        <v>0</v>
      </c>
      <c r="P377" s="79">
        <f t="shared" si="170"/>
        <v>0</v>
      </c>
      <c r="Q377" s="79">
        <f t="shared" si="171"/>
        <v>0</v>
      </c>
      <c r="R377" s="79">
        <f t="shared" si="171"/>
        <v>0</v>
      </c>
      <c r="S377" s="79">
        <f t="shared" si="171"/>
        <v>0</v>
      </c>
      <c r="T377" s="79">
        <f t="shared" si="171"/>
        <v>0</v>
      </c>
      <c r="U377" s="79">
        <f t="shared" si="171"/>
        <v>0</v>
      </c>
      <c r="V377" s="79">
        <f t="shared" si="171"/>
        <v>0</v>
      </c>
      <c r="W377" s="79">
        <f t="shared" si="171"/>
        <v>0</v>
      </c>
      <c r="X377" s="63">
        <f t="shared" si="171"/>
        <v>0</v>
      </c>
      <c r="Y377" s="63">
        <f t="shared" si="171"/>
        <v>0</v>
      </c>
      <c r="Z377" s="63">
        <f t="shared" si="171"/>
        <v>0</v>
      </c>
      <c r="AA377" s="63">
        <f t="shared" si="172"/>
        <v>0</v>
      </c>
      <c r="AB377" s="58" t="str">
        <f t="shared" si="173"/>
        <v>ok</v>
      </c>
    </row>
    <row r="378" spans="1:28">
      <c r="A378" s="458" t="s">
        <v>607</v>
      </c>
      <c r="C378" s="111" t="s">
        <v>724</v>
      </c>
      <c r="D378" s="60" t="s">
        <v>741</v>
      </c>
      <c r="E378" s="60" t="s">
        <v>657</v>
      </c>
      <c r="F378" s="79">
        <f>VLOOKUP(C378,'Functional Assignment'!$C$2:$AP$780,'Functional Assignment'!$W$2,)</f>
        <v>0</v>
      </c>
      <c r="G378" s="79">
        <f t="shared" si="170"/>
        <v>0</v>
      </c>
      <c r="H378" s="79">
        <f t="shared" si="170"/>
        <v>0</v>
      </c>
      <c r="I378" s="79">
        <f t="shared" si="170"/>
        <v>0</v>
      </c>
      <c r="J378" s="79">
        <f t="shared" si="170"/>
        <v>0</v>
      </c>
      <c r="K378" s="79">
        <f t="shared" si="170"/>
        <v>0</v>
      </c>
      <c r="L378" s="79">
        <f t="shared" si="170"/>
        <v>0</v>
      </c>
      <c r="M378" s="79">
        <f t="shared" si="170"/>
        <v>0</v>
      </c>
      <c r="N378" s="79">
        <f t="shared" si="170"/>
        <v>0</v>
      </c>
      <c r="O378" s="79">
        <f t="shared" si="170"/>
        <v>0</v>
      </c>
      <c r="P378" s="79">
        <f t="shared" si="170"/>
        <v>0</v>
      </c>
      <c r="Q378" s="79">
        <f t="shared" si="171"/>
        <v>0</v>
      </c>
      <c r="R378" s="79">
        <f t="shared" si="171"/>
        <v>0</v>
      </c>
      <c r="S378" s="79">
        <f t="shared" si="171"/>
        <v>0</v>
      </c>
      <c r="T378" s="79">
        <f t="shared" si="171"/>
        <v>0</v>
      </c>
      <c r="U378" s="79">
        <f t="shared" si="171"/>
        <v>0</v>
      </c>
      <c r="V378" s="79">
        <f t="shared" si="171"/>
        <v>0</v>
      </c>
      <c r="W378" s="79">
        <f t="shared" si="171"/>
        <v>0</v>
      </c>
      <c r="X378" s="63">
        <f t="shared" si="171"/>
        <v>0</v>
      </c>
      <c r="Y378" s="63">
        <f t="shared" si="171"/>
        <v>0</v>
      </c>
      <c r="Z378" s="63">
        <f t="shared" si="171"/>
        <v>0</v>
      </c>
      <c r="AA378" s="63">
        <f t="shared" si="172"/>
        <v>0</v>
      </c>
      <c r="AB378" s="58" t="str">
        <f t="shared" si="173"/>
        <v>ok</v>
      </c>
    </row>
    <row r="379" spans="1:28">
      <c r="A379" s="44" t="s">
        <v>365</v>
      </c>
      <c r="D379" s="60" t="s">
        <v>742</v>
      </c>
      <c r="F379" s="76">
        <f t="shared" ref="F379:P379" si="174">SUM(F374:F378)</f>
        <v>0</v>
      </c>
      <c r="G379" s="76">
        <f t="shared" si="174"/>
        <v>0</v>
      </c>
      <c r="H379" s="76">
        <f t="shared" si="174"/>
        <v>0</v>
      </c>
      <c r="I379" s="76">
        <f t="shared" si="174"/>
        <v>0</v>
      </c>
      <c r="J379" s="76">
        <f t="shared" si="174"/>
        <v>0</v>
      </c>
      <c r="K379" s="76">
        <f t="shared" si="174"/>
        <v>0</v>
      </c>
      <c r="L379" s="76">
        <f t="shared" si="174"/>
        <v>0</v>
      </c>
      <c r="M379" s="76">
        <f t="shared" si="174"/>
        <v>0</v>
      </c>
      <c r="N379" s="76">
        <f t="shared" si="174"/>
        <v>0</v>
      </c>
      <c r="O379" s="76">
        <f>SUM(O374:O378)</f>
        <v>0</v>
      </c>
      <c r="P379" s="76">
        <f t="shared" si="174"/>
        <v>0</v>
      </c>
      <c r="Q379" s="76">
        <f t="shared" ref="Q379:Z379" si="175">SUM(Q374:Q378)</f>
        <v>0</v>
      </c>
      <c r="R379" s="76">
        <f t="shared" si="175"/>
        <v>0</v>
      </c>
      <c r="S379" s="76">
        <f t="shared" si="175"/>
        <v>0</v>
      </c>
      <c r="T379" s="76">
        <f t="shared" si="175"/>
        <v>0</v>
      </c>
      <c r="U379" s="76">
        <f t="shared" si="175"/>
        <v>0</v>
      </c>
      <c r="V379" s="76">
        <f t="shared" si="175"/>
        <v>0</v>
      </c>
      <c r="W379" s="76">
        <f t="shared" si="175"/>
        <v>0</v>
      </c>
      <c r="X379" s="62">
        <f t="shared" si="175"/>
        <v>0</v>
      </c>
      <c r="Y379" s="62">
        <f t="shared" si="175"/>
        <v>0</v>
      </c>
      <c r="Z379" s="62">
        <f t="shared" si="175"/>
        <v>0</v>
      </c>
      <c r="AA379" s="64">
        <f t="shared" si="172"/>
        <v>0</v>
      </c>
      <c r="AB379" s="58" t="str">
        <f t="shared" si="173"/>
        <v>ok</v>
      </c>
    </row>
    <row r="380" spans="1:28">
      <c r="A380" s="44"/>
      <c r="F380" s="79"/>
    </row>
    <row r="381" spans="1:28" ht="14.1">
      <c r="A381" s="45" t="s">
        <v>613</v>
      </c>
      <c r="F381" s="79"/>
    </row>
    <row r="382" spans="1:28">
      <c r="A382" s="458" t="s">
        <v>1014</v>
      </c>
      <c r="C382" s="111" t="s">
        <v>724</v>
      </c>
      <c r="D382" s="60" t="s">
        <v>743</v>
      </c>
      <c r="E382" s="60" t="s">
        <v>1207</v>
      </c>
      <c r="F382" s="76">
        <f>VLOOKUP(C382,'Functional Assignment'!$C$2:$AP$780,'Functional Assignment'!$X$2,)</f>
        <v>0</v>
      </c>
      <c r="G382" s="76">
        <f t="shared" ref="G382:P383" si="176">IF(VLOOKUP($E382,$D$6:$AN$1150,3,)=0,0,(VLOOKUP($E382,$D$6:$AN$1150,G$2,)/VLOOKUP($E382,$D$6:$AN$1150,3,))*$F382)</f>
        <v>0</v>
      </c>
      <c r="H382" s="76">
        <f t="shared" si="176"/>
        <v>0</v>
      </c>
      <c r="I382" s="76">
        <f t="shared" si="176"/>
        <v>0</v>
      </c>
      <c r="J382" s="76">
        <f t="shared" si="176"/>
        <v>0</v>
      </c>
      <c r="K382" s="76">
        <f t="shared" si="176"/>
        <v>0</v>
      </c>
      <c r="L382" s="76">
        <f t="shared" si="176"/>
        <v>0</v>
      </c>
      <c r="M382" s="76">
        <f t="shared" si="176"/>
        <v>0</v>
      </c>
      <c r="N382" s="76">
        <f t="shared" si="176"/>
        <v>0</v>
      </c>
      <c r="O382" s="76">
        <f t="shared" si="176"/>
        <v>0</v>
      </c>
      <c r="P382" s="76">
        <f t="shared" si="176"/>
        <v>0</v>
      </c>
      <c r="Q382" s="76">
        <f t="shared" ref="Q382:Z383" si="177">IF(VLOOKUP($E382,$D$6:$AN$1150,3,)=0,0,(VLOOKUP($E382,$D$6:$AN$1150,Q$2,)/VLOOKUP($E382,$D$6:$AN$1150,3,))*$F382)</f>
        <v>0</v>
      </c>
      <c r="R382" s="76">
        <f t="shared" si="177"/>
        <v>0</v>
      </c>
      <c r="S382" s="76">
        <f t="shared" si="177"/>
        <v>0</v>
      </c>
      <c r="T382" s="76">
        <f t="shared" si="177"/>
        <v>0</v>
      </c>
      <c r="U382" s="76">
        <f t="shared" si="177"/>
        <v>0</v>
      </c>
      <c r="V382" s="76">
        <f t="shared" si="177"/>
        <v>0</v>
      </c>
      <c r="W382" s="76">
        <f t="shared" si="177"/>
        <v>0</v>
      </c>
      <c r="X382" s="62">
        <f t="shared" si="177"/>
        <v>0</v>
      </c>
      <c r="Y382" s="62">
        <f t="shared" si="177"/>
        <v>0</v>
      </c>
      <c r="Z382" s="62">
        <f t="shared" si="177"/>
        <v>0</v>
      </c>
      <c r="AA382" s="64">
        <f>SUM(G382:Z382)</f>
        <v>0</v>
      </c>
      <c r="AB382" s="58" t="str">
        <f>IF(ABS(F382-AA382)&lt;0.01,"ok","err")</f>
        <v>ok</v>
      </c>
    </row>
    <row r="383" spans="1:28">
      <c r="A383" s="458" t="s">
        <v>1017</v>
      </c>
      <c r="C383" s="111" t="s">
        <v>724</v>
      </c>
      <c r="D383" s="60" t="s">
        <v>744</v>
      </c>
      <c r="E383" s="60" t="s">
        <v>1205</v>
      </c>
      <c r="F383" s="79">
        <f>VLOOKUP(C383,'Functional Assignment'!$C$2:$AP$780,'Functional Assignment'!$Y$2,)</f>
        <v>0</v>
      </c>
      <c r="G383" s="79">
        <f t="shared" si="176"/>
        <v>0</v>
      </c>
      <c r="H383" s="79">
        <f t="shared" si="176"/>
        <v>0</v>
      </c>
      <c r="I383" s="79">
        <f t="shared" si="176"/>
        <v>0</v>
      </c>
      <c r="J383" s="79">
        <f t="shared" si="176"/>
        <v>0</v>
      </c>
      <c r="K383" s="79">
        <f t="shared" si="176"/>
        <v>0</v>
      </c>
      <c r="L383" s="79">
        <f t="shared" si="176"/>
        <v>0</v>
      </c>
      <c r="M383" s="79">
        <f t="shared" si="176"/>
        <v>0</v>
      </c>
      <c r="N383" s="79">
        <f t="shared" si="176"/>
        <v>0</v>
      </c>
      <c r="O383" s="79">
        <f t="shared" si="176"/>
        <v>0</v>
      </c>
      <c r="P383" s="79">
        <f t="shared" si="176"/>
        <v>0</v>
      </c>
      <c r="Q383" s="79">
        <f t="shared" si="177"/>
        <v>0</v>
      </c>
      <c r="R383" s="79">
        <f t="shared" si="177"/>
        <v>0</v>
      </c>
      <c r="S383" s="79">
        <f t="shared" si="177"/>
        <v>0</v>
      </c>
      <c r="T383" s="79">
        <f t="shared" si="177"/>
        <v>0</v>
      </c>
      <c r="U383" s="79">
        <f t="shared" si="177"/>
        <v>0</v>
      </c>
      <c r="V383" s="79">
        <f t="shared" si="177"/>
        <v>0</v>
      </c>
      <c r="W383" s="79">
        <f t="shared" si="177"/>
        <v>0</v>
      </c>
      <c r="X383" s="63">
        <f t="shared" si="177"/>
        <v>0</v>
      </c>
      <c r="Y383" s="63">
        <f t="shared" si="177"/>
        <v>0</v>
      </c>
      <c r="Z383" s="63">
        <f t="shared" si="177"/>
        <v>0</v>
      </c>
      <c r="AA383" s="63">
        <f>SUM(G383:Z383)</f>
        <v>0</v>
      </c>
      <c r="AB383" s="58" t="str">
        <f>IF(ABS(F383-AA383)&lt;0.01,"ok","err")</f>
        <v>ok</v>
      </c>
    </row>
    <row r="384" spans="1:28">
      <c r="A384" s="44" t="s">
        <v>672</v>
      </c>
      <c r="D384" s="60" t="s">
        <v>745</v>
      </c>
      <c r="F384" s="76">
        <f t="shared" ref="F384:P384" si="178">F382+F383</f>
        <v>0</v>
      </c>
      <c r="G384" s="76">
        <f t="shared" si="178"/>
        <v>0</v>
      </c>
      <c r="H384" s="76">
        <f t="shared" si="178"/>
        <v>0</v>
      </c>
      <c r="I384" s="76">
        <f t="shared" si="178"/>
        <v>0</v>
      </c>
      <c r="J384" s="76">
        <f t="shared" si="178"/>
        <v>0</v>
      </c>
      <c r="K384" s="76">
        <f t="shared" si="178"/>
        <v>0</v>
      </c>
      <c r="L384" s="76">
        <f t="shared" si="178"/>
        <v>0</v>
      </c>
      <c r="M384" s="76">
        <f t="shared" si="178"/>
        <v>0</v>
      </c>
      <c r="N384" s="76">
        <f t="shared" si="178"/>
        <v>0</v>
      </c>
      <c r="O384" s="76">
        <f>O382+O383</f>
        <v>0</v>
      </c>
      <c r="P384" s="76">
        <f t="shared" si="178"/>
        <v>0</v>
      </c>
      <c r="Q384" s="76">
        <f t="shared" ref="Q384:Z384" si="179">Q382+Q383</f>
        <v>0</v>
      </c>
      <c r="R384" s="76">
        <f t="shared" si="179"/>
        <v>0</v>
      </c>
      <c r="S384" s="76">
        <f t="shared" si="179"/>
        <v>0</v>
      </c>
      <c r="T384" s="76">
        <f t="shared" si="179"/>
        <v>0</v>
      </c>
      <c r="U384" s="76">
        <f t="shared" si="179"/>
        <v>0</v>
      </c>
      <c r="V384" s="76">
        <f t="shared" si="179"/>
        <v>0</v>
      </c>
      <c r="W384" s="76">
        <f t="shared" si="179"/>
        <v>0</v>
      </c>
      <c r="X384" s="62">
        <f t="shared" si="179"/>
        <v>0</v>
      </c>
      <c r="Y384" s="62">
        <f t="shared" si="179"/>
        <v>0</v>
      </c>
      <c r="Z384" s="62">
        <f t="shared" si="179"/>
        <v>0</v>
      </c>
      <c r="AA384" s="64">
        <f>SUM(G384:Z384)</f>
        <v>0</v>
      </c>
      <c r="AB384" s="58" t="str">
        <f>IF(ABS(F384-AA384)&lt;0.01,"ok","err")</f>
        <v>ok</v>
      </c>
    </row>
    <row r="385" spans="1:28">
      <c r="A385" s="44"/>
      <c r="F385" s="79"/>
    </row>
    <row r="386" spans="1:28" ht="14.1">
      <c r="A386" s="45" t="s">
        <v>343</v>
      </c>
      <c r="F386" s="79"/>
    </row>
    <row r="387" spans="1:28">
      <c r="A387" s="458" t="s">
        <v>1017</v>
      </c>
      <c r="C387" s="111" t="s">
        <v>724</v>
      </c>
      <c r="D387" s="60" t="s">
        <v>746</v>
      </c>
      <c r="E387" s="60" t="s">
        <v>1019</v>
      </c>
      <c r="F387" s="76">
        <f>VLOOKUP(C387,'Functional Assignment'!$C$2:$AP$780,'Functional Assignment'!$Z$2,)</f>
        <v>0</v>
      </c>
      <c r="G387" s="76">
        <f t="shared" ref="G387:Z387" si="180">IF(VLOOKUP($E387,$D$6:$AN$1150,3,)=0,0,(VLOOKUP($E387,$D$6:$AN$1150,G$2,)/VLOOKUP($E387,$D$6:$AN$1150,3,))*$F387)</f>
        <v>0</v>
      </c>
      <c r="H387" s="76">
        <f t="shared" si="180"/>
        <v>0</v>
      </c>
      <c r="I387" s="76">
        <f t="shared" si="180"/>
        <v>0</v>
      </c>
      <c r="J387" s="76">
        <f t="shared" si="180"/>
        <v>0</v>
      </c>
      <c r="K387" s="76">
        <f t="shared" si="180"/>
        <v>0</v>
      </c>
      <c r="L387" s="76">
        <f t="shared" si="180"/>
        <v>0</v>
      </c>
      <c r="M387" s="76">
        <f t="shared" si="180"/>
        <v>0</v>
      </c>
      <c r="N387" s="76">
        <f t="shared" si="180"/>
        <v>0</v>
      </c>
      <c r="O387" s="76">
        <f t="shared" si="180"/>
        <v>0</v>
      </c>
      <c r="P387" s="76">
        <f t="shared" si="180"/>
        <v>0</v>
      </c>
      <c r="Q387" s="76">
        <f t="shared" si="180"/>
        <v>0</v>
      </c>
      <c r="R387" s="76">
        <f t="shared" si="180"/>
        <v>0</v>
      </c>
      <c r="S387" s="76">
        <f t="shared" si="180"/>
        <v>0</v>
      </c>
      <c r="T387" s="76">
        <f t="shared" si="180"/>
        <v>0</v>
      </c>
      <c r="U387" s="76">
        <f t="shared" si="180"/>
        <v>0</v>
      </c>
      <c r="V387" s="76">
        <f t="shared" si="180"/>
        <v>0</v>
      </c>
      <c r="W387" s="76">
        <f t="shared" si="180"/>
        <v>0</v>
      </c>
      <c r="X387" s="62">
        <f t="shared" si="180"/>
        <v>0</v>
      </c>
      <c r="Y387" s="62">
        <f t="shared" si="180"/>
        <v>0</v>
      </c>
      <c r="Z387" s="62">
        <f t="shared" si="180"/>
        <v>0</v>
      </c>
      <c r="AA387" s="64">
        <f>SUM(G387:Z387)</f>
        <v>0</v>
      </c>
      <c r="AB387" s="58" t="str">
        <f>IF(ABS(F387-AA387)&lt;0.01,"ok","err")</f>
        <v>ok</v>
      </c>
    </row>
    <row r="388" spans="1:28">
      <c r="A388" s="458"/>
      <c r="C388" s="111"/>
      <c r="F388" s="79"/>
      <c r="AB388" s="58"/>
    </row>
    <row r="389" spans="1:28" hidden="1">
      <c r="A389" s="44"/>
      <c r="F389" s="79">
        <v>-481.11596323706613</v>
      </c>
      <c r="G389" s="60">
        <v>-282.97749498118196</v>
      </c>
      <c r="H389" s="60">
        <v>-81.183507636622537</v>
      </c>
      <c r="I389" s="60">
        <v>0</v>
      </c>
      <c r="J389" s="60">
        <v>-86.606165658267514</v>
      </c>
      <c r="K389" s="60">
        <v>0</v>
      </c>
      <c r="L389" s="60">
        <v>-1.6617745370208263</v>
      </c>
      <c r="M389" s="60">
        <v>0</v>
      </c>
      <c r="N389" s="60">
        <v>-26.887646721466677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-0.14048586126522331</v>
      </c>
      <c r="U389" s="60">
        <v>-0.66586449312009954</v>
      </c>
      <c r="V389" s="60">
        <v>0</v>
      </c>
      <c r="W389" s="60">
        <v>-0.99302334812130444</v>
      </c>
      <c r="AA389" s="44">
        <v>-482.10898658518755</v>
      </c>
    </row>
    <row r="390" spans="1:28" ht="14.1">
      <c r="A390" s="45" t="s">
        <v>342</v>
      </c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62"/>
      <c r="Y390" s="62"/>
      <c r="Z390" s="62"/>
      <c r="AA390" s="64"/>
    </row>
    <row r="391" spans="1:28">
      <c r="A391" s="458" t="s">
        <v>1017</v>
      </c>
      <c r="C391" s="111" t="s">
        <v>724</v>
      </c>
      <c r="D391" s="60" t="s">
        <v>747</v>
      </c>
      <c r="E391" s="60" t="s">
        <v>1020</v>
      </c>
      <c r="F391" s="76">
        <f>VLOOKUP(C391,'Functional Assignment'!$C$2:$AP$780,'Functional Assignment'!$AA$2,)</f>
        <v>0</v>
      </c>
      <c r="G391" s="76">
        <f t="shared" ref="G391:Z391" si="181">IF(VLOOKUP($E391,$D$6:$AN$1150,3,)=0,0,(VLOOKUP($E391,$D$6:$AN$1150,G$2,)/VLOOKUP($E391,$D$6:$AN$1150,3,))*$F391)</f>
        <v>0</v>
      </c>
      <c r="H391" s="76">
        <f t="shared" si="181"/>
        <v>0</v>
      </c>
      <c r="I391" s="76">
        <f t="shared" si="181"/>
        <v>0</v>
      </c>
      <c r="J391" s="76">
        <f t="shared" si="181"/>
        <v>0</v>
      </c>
      <c r="K391" s="76">
        <f t="shared" si="181"/>
        <v>0</v>
      </c>
      <c r="L391" s="76">
        <f t="shared" si="181"/>
        <v>0</v>
      </c>
      <c r="M391" s="76">
        <f t="shared" si="181"/>
        <v>0</v>
      </c>
      <c r="N391" s="76">
        <f t="shared" si="181"/>
        <v>0</v>
      </c>
      <c r="O391" s="76">
        <f t="shared" si="181"/>
        <v>0</v>
      </c>
      <c r="P391" s="76">
        <f t="shared" si="181"/>
        <v>0</v>
      </c>
      <c r="Q391" s="76">
        <f t="shared" si="181"/>
        <v>0</v>
      </c>
      <c r="R391" s="76">
        <f t="shared" si="181"/>
        <v>0</v>
      </c>
      <c r="S391" s="76">
        <f t="shared" si="181"/>
        <v>0</v>
      </c>
      <c r="T391" s="76">
        <f t="shared" si="181"/>
        <v>0</v>
      </c>
      <c r="U391" s="76">
        <f t="shared" si="181"/>
        <v>0</v>
      </c>
      <c r="V391" s="76">
        <f t="shared" si="181"/>
        <v>0</v>
      </c>
      <c r="W391" s="76">
        <f t="shared" si="181"/>
        <v>0</v>
      </c>
      <c r="X391" s="62">
        <f t="shared" si="181"/>
        <v>0</v>
      </c>
      <c r="Y391" s="62">
        <f t="shared" si="181"/>
        <v>0</v>
      </c>
      <c r="Z391" s="62">
        <f t="shared" si="181"/>
        <v>0</v>
      </c>
      <c r="AA391" s="64">
        <f>SUM(G391:Z391)</f>
        <v>0</v>
      </c>
      <c r="AB391" s="58" t="str">
        <f>IF(ABS(F391-AA391)&lt;0.01,"ok","err")</f>
        <v>ok</v>
      </c>
    </row>
    <row r="392" spans="1:28">
      <c r="A392" s="44"/>
      <c r="F392" s="79"/>
    </row>
    <row r="393" spans="1:28" ht="14.1">
      <c r="A393" s="45" t="s">
        <v>358</v>
      </c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62"/>
      <c r="Y393" s="62"/>
      <c r="Z393" s="62"/>
      <c r="AA393" s="64"/>
    </row>
    <row r="394" spans="1:28">
      <c r="A394" s="458" t="s">
        <v>1017</v>
      </c>
      <c r="C394" s="111" t="s">
        <v>724</v>
      </c>
      <c r="D394" s="60" t="s">
        <v>748</v>
      </c>
      <c r="E394" s="60" t="s">
        <v>1021</v>
      </c>
      <c r="F394" s="76">
        <f>VLOOKUP(C394,'Functional Assignment'!$C$2:$AP$780,'Functional Assignment'!$AB$2,)</f>
        <v>0</v>
      </c>
      <c r="G394" s="76">
        <f t="shared" ref="G394:Z394" si="182">IF(VLOOKUP($E394,$D$6:$AN$1150,3,)=0,0,(VLOOKUP($E394,$D$6:$AN$1150,G$2,)/VLOOKUP($E394,$D$6:$AN$1150,3,))*$F394)</f>
        <v>0</v>
      </c>
      <c r="H394" s="76">
        <f t="shared" si="182"/>
        <v>0</v>
      </c>
      <c r="I394" s="76">
        <f t="shared" si="182"/>
        <v>0</v>
      </c>
      <c r="J394" s="76">
        <f t="shared" si="182"/>
        <v>0</v>
      </c>
      <c r="K394" s="76">
        <f t="shared" si="182"/>
        <v>0</v>
      </c>
      <c r="L394" s="76">
        <f t="shared" si="182"/>
        <v>0</v>
      </c>
      <c r="M394" s="76">
        <f t="shared" si="182"/>
        <v>0</v>
      </c>
      <c r="N394" s="76">
        <f t="shared" si="182"/>
        <v>0</v>
      </c>
      <c r="O394" s="76">
        <f t="shared" si="182"/>
        <v>0</v>
      </c>
      <c r="P394" s="76">
        <f t="shared" si="182"/>
        <v>0</v>
      </c>
      <c r="Q394" s="76">
        <f t="shared" si="182"/>
        <v>0</v>
      </c>
      <c r="R394" s="76">
        <f t="shared" si="182"/>
        <v>0</v>
      </c>
      <c r="S394" s="76">
        <f t="shared" si="182"/>
        <v>0</v>
      </c>
      <c r="T394" s="76">
        <f t="shared" si="182"/>
        <v>0</v>
      </c>
      <c r="U394" s="76">
        <f t="shared" si="182"/>
        <v>0</v>
      </c>
      <c r="V394" s="76">
        <f t="shared" si="182"/>
        <v>0</v>
      </c>
      <c r="W394" s="76">
        <f t="shared" si="182"/>
        <v>0</v>
      </c>
      <c r="X394" s="62">
        <f t="shared" si="182"/>
        <v>0</v>
      </c>
      <c r="Y394" s="62">
        <f t="shared" si="182"/>
        <v>0</v>
      </c>
      <c r="Z394" s="62">
        <f t="shared" si="182"/>
        <v>0</v>
      </c>
      <c r="AA394" s="64">
        <f>SUM(G394:Z394)</f>
        <v>0</v>
      </c>
      <c r="AB394" s="58" t="str">
        <f>IF(ABS(F394-AA394)&lt;0.01,"ok","err")</f>
        <v>ok</v>
      </c>
    </row>
    <row r="395" spans="1:28">
      <c r="A395" s="44"/>
      <c r="F395" s="79"/>
    </row>
    <row r="396" spans="1:28" ht="14.1">
      <c r="A396" s="45" t="s">
        <v>949</v>
      </c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62"/>
      <c r="Y396" s="62"/>
      <c r="Z396" s="62"/>
      <c r="AA396" s="64"/>
    </row>
    <row r="397" spans="1:28">
      <c r="A397" s="458" t="s">
        <v>1017</v>
      </c>
      <c r="C397" s="111" t="s">
        <v>724</v>
      </c>
      <c r="D397" s="60" t="s">
        <v>749</v>
      </c>
      <c r="E397" s="60" t="s">
        <v>1022</v>
      </c>
      <c r="F397" s="76">
        <f>VLOOKUP(C397,'Functional Assignment'!$C$2:$AP$780,'Functional Assignment'!$AC$2,)</f>
        <v>0</v>
      </c>
      <c r="G397" s="76">
        <f t="shared" ref="G397:Z397" si="183">IF(VLOOKUP($E397,$D$6:$AN$1150,3,)=0,0,(VLOOKUP($E397,$D$6:$AN$1150,G$2,)/VLOOKUP($E397,$D$6:$AN$1150,3,))*$F397)</f>
        <v>0</v>
      </c>
      <c r="H397" s="76">
        <f t="shared" si="183"/>
        <v>0</v>
      </c>
      <c r="I397" s="76">
        <f t="shared" si="183"/>
        <v>0</v>
      </c>
      <c r="J397" s="76">
        <f t="shared" si="183"/>
        <v>0</v>
      </c>
      <c r="K397" s="76">
        <f t="shared" si="183"/>
        <v>0</v>
      </c>
      <c r="L397" s="76">
        <f t="shared" si="183"/>
        <v>0</v>
      </c>
      <c r="M397" s="76">
        <f t="shared" si="183"/>
        <v>0</v>
      </c>
      <c r="N397" s="76">
        <f t="shared" si="183"/>
        <v>0</v>
      </c>
      <c r="O397" s="76">
        <f t="shared" si="183"/>
        <v>0</v>
      </c>
      <c r="P397" s="76">
        <f t="shared" si="183"/>
        <v>0</v>
      </c>
      <c r="Q397" s="76">
        <f t="shared" si="183"/>
        <v>0</v>
      </c>
      <c r="R397" s="76">
        <f t="shared" si="183"/>
        <v>0</v>
      </c>
      <c r="S397" s="76">
        <f t="shared" si="183"/>
        <v>0</v>
      </c>
      <c r="T397" s="76">
        <f t="shared" si="183"/>
        <v>0</v>
      </c>
      <c r="U397" s="76">
        <f t="shared" si="183"/>
        <v>0</v>
      </c>
      <c r="V397" s="76">
        <f t="shared" si="183"/>
        <v>0</v>
      </c>
      <c r="W397" s="76">
        <f t="shared" si="183"/>
        <v>0</v>
      </c>
      <c r="X397" s="62">
        <f t="shared" si="183"/>
        <v>0</v>
      </c>
      <c r="Y397" s="62">
        <f t="shared" si="183"/>
        <v>0</v>
      </c>
      <c r="Z397" s="62">
        <f t="shared" si="183"/>
        <v>0</v>
      </c>
      <c r="AA397" s="64">
        <f>SUM(G397:Z397)</f>
        <v>0</v>
      </c>
      <c r="AB397" s="58" t="str">
        <f>IF(ABS(F397-AA397)&lt;0.01,"ok","err")</f>
        <v>ok</v>
      </c>
    </row>
    <row r="398" spans="1:28">
      <c r="A398" s="44"/>
      <c r="F398" s="79"/>
    </row>
    <row r="399" spans="1:28" ht="14.1">
      <c r="A399" s="45" t="s">
        <v>340</v>
      </c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62"/>
      <c r="Y399" s="62"/>
      <c r="Z399" s="62"/>
      <c r="AA399" s="64"/>
    </row>
    <row r="400" spans="1:28">
      <c r="A400" s="458" t="s">
        <v>1017</v>
      </c>
      <c r="C400" s="111" t="s">
        <v>724</v>
      </c>
      <c r="D400" s="60" t="s">
        <v>750</v>
      </c>
      <c r="E400" s="60" t="s">
        <v>1022</v>
      </c>
      <c r="F400" s="76">
        <f>VLOOKUP(C400,'Functional Assignment'!$C$2:$AP$780,'Functional Assignment'!$AD$2,)</f>
        <v>0</v>
      </c>
      <c r="G400" s="76">
        <f t="shared" ref="G400:Z400" si="184">IF(VLOOKUP($E400,$D$6:$AN$1150,3,)=0,0,(VLOOKUP($E400,$D$6:$AN$1150,G$2,)/VLOOKUP($E400,$D$6:$AN$1150,3,))*$F400)</f>
        <v>0</v>
      </c>
      <c r="H400" s="76">
        <f t="shared" si="184"/>
        <v>0</v>
      </c>
      <c r="I400" s="76">
        <f t="shared" si="184"/>
        <v>0</v>
      </c>
      <c r="J400" s="76">
        <f t="shared" si="184"/>
        <v>0</v>
      </c>
      <c r="K400" s="76">
        <f t="shared" si="184"/>
        <v>0</v>
      </c>
      <c r="L400" s="76">
        <f t="shared" si="184"/>
        <v>0</v>
      </c>
      <c r="M400" s="76">
        <f t="shared" si="184"/>
        <v>0</v>
      </c>
      <c r="N400" s="76">
        <f t="shared" si="184"/>
        <v>0</v>
      </c>
      <c r="O400" s="76">
        <f t="shared" si="184"/>
        <v>0</v>
      </c>
      <c r="P400" s="76">
        <f t="shared" si="184"/>
        <v>0</v>
      </c>
      <c r="Q400" s="76">
        <f t="shared" si="184"/>
        <v>0</v>
      </c>
      <c r="R400" s="76">
        <f t="shared" si="184"/>
        <v>0</v>
      </c>
      <c r="S400" s="76">
        <f t="shared" si="184"/>
        <v>0</v>
      </c>
      <c r="T400" s="76">
        <f t="shared" si="184"/>
        <v>0</v>
      </c>
      <c r="U400" s="76">
        <f t="shared" si="184"/>
        <v>0</v>
      </c>
      <c r="V400" s="76">
        <f t="shared" si="184"/>
        <v>0</v>
      </c>
      <c r="W400" s="76">
        <f t="shared" si="184"/>
        <v>0</v>
      </c>
      <c r="X400" s="62">
        <f t="shared" si="184"/>
        <v>0</v>
      </c>
      <c r="Y400" s="62">
        <f t="shared" si="184"/>
        <v>0</v>
      </c>
      <c r="Z400" s="62">
        <f t="shared" si="184"/>
        <v>0</v>
      </c>
      <c r="AA400" s="64">
        <f>SUM(G400:Z400)</f>
        <v>0</v>
      </c>
      <c r="AB400" s="58" t="str">
        <f>IF(ABS(F400-AA400)&lt;0.01,"ok","err")</f>
        <v>ok</v>
      </c>
    </row>
    <row r="401" spans="1:28">
      <c r="A401" s="44"/>
      <c r="F401" s="79"/>
    </row>
    <row r="402" spans="1:28" ht="14.1">
      <c r="A402" s="45" t="s">
        <v>339</v>
      </c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62"/>
      <c r="Y402" s="62"/>
      <c r="Z402" s="62"/>
      <c r="AA402" s="64"/>
    </row>
    <row r="403" spans="1:28">
      <c r="A403" s="458" t="s">
        <v>1017</v>
      </c>
      <c r="C403" s="111" t="s">
        <v>724</v>
      </c>
      <c r="D403" s="60" t="s">
        <v>751</v>
      </c>
      <c r="E403" s="60" t="s">
        <v>1023</v>
      </c>
      <c r="F403" s="76">
        <f>VLOOKUP(C403,'Functional Assignment'!$C$2:$AP$780,'Functional Assignment'!$AE$2,)</f>
        <v>0</v>
      </c>
      <c r="G403" s="76">
        <f t="shared" ref="G403:Z403" si="185">IF(VLOOKUP($E403,$D$6:$AN$1150,3,)=0,0,(VLOOKUP($E403,$D$6:$AN$1150,G$2,)/VLOOKUP($E403,$D$6:$AN$1150,3,))*$F403)</f>
        <v>0</v>
      </c>
      <c r="H403" s="76">
        <f t="shared" si="185"/>
        <v>0</v>
      </c>
      <c r="I403" s="76">
        <f t="shared" si="185"/>
        <v>0</v>
      </c>
      <c r="J403" s="76">
        <f t="shared" si="185"/>
        <v>0</v>
      </c>
      <c r="K403" s="76">
        <f t="shared" si="185"/>
        <v>0</v>
      </c>
      <c r="L403" s="76">
        <f t="shared" si="185"/>
        <v>0</v>
      </c>
      <c r="M403" s="76">
        <f t="shared" si="185"/>
        <v>0</v>
      </c>
      <c r="N403" s="76">
        <f t="shared" si="185"/>
        <v>0</v>
      </c>
      <c r="O403" s="76">
        <f t="shared" si="185"/>
        <v>0</v>
      </c>
      <c r="P403" s="76">
        <f t="shared" si="185"/>
        <v>0</v>
      </c>
      <c r="Q403" s="76">
        <f t="shared" si="185"/>
        <v>0</v>
      </c>
      <c r="R403" s="76">
        <f t="shared" si="185"/>
        <v>0</v>
      </c>
      <c r="S403" s="76">
        <f t="shared" si="185"/>
        <v>0</v>
      </c>
      <c r="T403" s="76">
        <f t="shared" si="185"/>
        <v>0</v>
      </c>
      <c r="U403" s="76">
        <f t="shared" si="185"/>
        <v>0</v>
      </c>
      <c r="V403" s="76">
        <f t="shared" si="185"/>
        <v>0</v>
      </c>
      <c r="W403" s="76">
        <f t="shared" si="185"/>
        <v>0</v>
      </c>
      <c r="X403" s="62">
        <f t="shared" si="185"/>
        <v>0</v>
      </c>
      <c r="Y403" s="62">
        <f t="shared" si="185"/>
        <v>0</v>
      </c>
      <c r="Z403" s="62">
        <f t="shared" si="185"/>
        <v>0</v>
      </c>
      <c r="AA403" s="64">
        <f>SUM(G403:Z403)</f>
        <v>0</v>
      </c>
      <c r="AB403" s="58" t="str">
        <f>IF(ABS(F403-AA403)&lt;0.01,"ok","err")</f>
        <v>ok</v>
      </c>
    </row>
    <row r="404" spans="1:28">
      <c r="A404" s="44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62"/>
      <c r="Y404" s="62"/>
      <c r="Z404" s="62"/>
      <c r="AA404" s="64"/>
    </row>
    <row r="405" spans="1:28">
      <c r="A405" s="44" t="s">
        <v>846</v>
      </c>
      <c r="D405" s="60" t="s">
        <v>752</v>
      </c>
      <c r="F405" s="76">
        <f t="shared" ref="F405:P405" si="186">F359+F365+F368+F371+F379+F384+F387+F391+F394+F397+F400+F403</f>
        <v>0</v>
      </c>
      <c r="G405" s="76">
        <f t="shared" si="186"/>
        <v>0</v>
      </c>
      <c r="H405" s="76">
        <f t="shared" si="186"/>
        <v>0</v>
      </c>
      <c r="I405" s="76">
        <f t="shared" si="186"/>
        <v>0</v>
      </c>
      <c r="J405" s="76">
        <f t="shared" si="186"/>
        <v>0</v>
      </c>
      <c r="K405" s="76">
        <f t="shared" si="186"/>
        <v>0</v>
      </c>
      <c r="L405" s="76">
        <f t="shared" si="186"/>
        <v>0</v>
      </c>
      <c r="M405" s="76">
        <f t="shared" si="186"/>
        <v>0</v>
      </c>
      <c r="N405" s="76">
        <f t="shared" si="186"/>
        <v>0</v>
      </c>
      <c r="O405" s="76">
        <f>O359+O365+O368+O371+O379+O384+O387+O391+O394+O397+O400+O403</f>
        <v>0</v>
      </c>
      <c r="P405" s="76">
        <f t="shared" si="186"/>
        <v>0</v>
      </c>
      <c r="Q405" s="76">
        <f>Q359+Q365+Q368+Q371+Q379+Q384+Q387+Q391+Q394+Q397+Q400+Q403</f>
        <v>0</v>
      </c>
      <c r="R405" s="76">
        <f>R359+R365+R368+R371+R379+R384+R387+R391+R394+R397+R400+R403</f>
        <v>0</v>
      </c>
      <c r="S405" s="76">
        <f t="shared" ref="S405:Z405" si="187">S359+S365+S368+S371+S379+S384+S387+S391+S394+S397+S400+S403</f>
        <v>0</v>
      </c>
      <c r="T405" s="76">
        <f t="shared" si="187"/>
        <v>0</v>
      </c>
      <c r="U405" s="76">
        <f t="shared" si="187"/>
        <v>0</v>
      </c>
      <c r="V405" s="76">
        <f t="shared" si="187"/>
        <v>0</v>
      </c>
      <c r="W405" s="76">
        <f t="shared" si="187"/>
        <v>0</v>
      </c>
      <c r="X405" s="62">
        <f t="shared" si="187"/>
        <v>0</v>
      </c>
      <c r="Y405" s="62">
        <f t="shared" si="187"/>
        <v>0</v>
      </c>
      <c r="Z405" s="62">
        <f t="shared" si="187"/>
        <v>0</v>
      </c>
      <c r="AA405" s="64">
        <f>SUM(G405:Z405)</f>
        <v>0</v>
      </c>
      <c r="AB405" s="58" t="str">
        <f>IF(ABS(F405-AA405)&lt;0.01,"ok","err")</f>
        <v>ok</v>
      </c>
    </row>
    <row r="406" spans="1:28">
      <c r="A406" s="44"/>
    </row>
    <row r="407" spans="1:28">
      <c r="A407" s="44"/>
    </row>
    <row r="408" spans="1:28" ht="14.1">
      <c r="A408" s="45" t="s">
        <v>693</v>
      </c>
    </row>
    <row r="409" spans="1:28">
      <c r="A409" s="44"/>
    </row>
    <row r="410" spans="1:28" ht="14.1">
      <c r="A410" s="45" t="s">
        <v>352</v>
      </c>
    </row>
    <row r="411" spans="1:28">
      <c r="A411" s="458" t="s">
        <v>1441</v>
      </c>
      <c r="C411" s="60" t="s">
        <v>694</v>
      </c>
      <c r="D411" s="44" t="s">
        <v>1439</v>
      </c>
      <c r="E411" s="44" t="s">
        <v>1410</v>
      </c>
      <c r="F411" s="76">
        <f>VLOOKUP(C411,'Functional Assignment'!$C$2:$AP$780,'Functional Assignment'!$H$2,)</f>
        <v>0</v>
      </c>
      <c r="G411" s="76">
        <f t="shared" ref="G411:P416" si="188">IF(VLOOKUP($E411,$D$6:$AN$1150,3,)=0,0,(VLOOKUP($E411,$D$6:$AN$1150,G$2,)/VLOOKUP($E411,$D$6:$AN$1150,3,))*$F411)</f>
        <v>0</v>
      </c>
      <c r="H411" s="76">
        <f t="shared" si="188"/>
        <v>0</v>
      </c>
      <c r="I411" s="76">
        <f t="shared" si="188"/>
        <v>0</v>
      </c>
      <c r="J411" s="76">
        <f t="shared" si="188"/>
        <v>0</v>
      </c>
      <c r="K411" s="76">
        <f t="shared" si="188"/>
        <v>0</v>
      </c>
      <c r="L411" s="76">
        <f t="shared" si="188"/>
        <v>0</v>
      </c>
      <c r="M411" s="76">
        <f t="shared" si="188"/>
        <v>0</v>
      </c>
      <c r="N411" s="76">
        <f t="shared" si="188"/>
        <v>0</v>
      </c>
      <c r="O411" s="76">
        <f t="shared" si="188"/>
        <v>0</v>
      </c>
      <c r="P411" s="76">
        <f t="shared" si="188"/>
        <v>0</v>
      </c>
      <c r="Q411" s="76">
        <f t="shared" ref="Q411:Z416" si="189">IF(VLOOKUP($E411,$D$6:$AN$1150,3,)=0,0,(VLOOKUP($E411,$D$6:$AN$1150,Q$2,)/VLOOKUP($E411,$D$6:$AN$1150,3,))*$F411)</f>
        <v>0</v>
      </c>
      <c r="R411" s="76">
        <f t="shared" si="189"/>
        <v>0</v>
      </c>
      <c r="S411" s="76">
        <f t="shared" si="189"/>
        <v>0</v>
      </c>
      <c r="T411" s="76">
        <f t="shared" si="189"/>
        <v>0</v>
      </c>
      <c r="U411" s="76">
        <f t="shared" si="189"/>
        <v>0</v>
      </c>
      <c r="V411" s="76">
        <f t="shared" si="189"/>
        <v>0</v>
      </c>
      <c r="W411" s="76">
        <f t="shared" si="189"/>
        <v>0</v>
      </c>
      <c r="X411" s="62">
        <f t="shared" si="189"/>
        <v>0</v>
      </c>
      <c r="Y411" s="62">
        <f t="shared" si="189"/>
        <v>0</v>
      </c>
      <c r="Z411" s="62">
        <f t="shared" si="189"/>
        <v>0</v>
      </c>
      <c r="AA411" s="64">
        <f t="shared" ref="AA411:AA417" si="190">SUM(G411:Z411)</f>
        <v>0</v>
      </c>
      <c r="AB411" s="58" t="str">
        <f t="shared" ref="AB411:AB417" si="191">IF(ABS(F411-AA411)&lt;0.01,"ok","err")</f>
        <v>ok</v>
      </c>
    </row>
    <row r="412" spans="1:28" hidden="1">
      <c r="A412" s="458" t="s">
        <v>1256</v>
      </c>
      <c r="C412" s="60" t="s">
        <v>694</v>
      </c>
      <c r="D412" s="44" t="s">
        <v>695</v>
      </c>
      <c r="E412" s="44" t="s">
        <v>1412</v>
      </c>
      <c r="F412" s="79">
        <f>VLOOKUP(C412,'Functional Assignment'!$C$2:$AP$780,'Functional Assignment'!$I$2,)</f>
        <v>0</v>
      </c>
      <c r="G412" s="79">
        <f t="shared" si="188"/>
        <v>0</v>
      </c>
      <c r="H412" s="79">
        <f t="shared" si="188"/>
        <v>0</v>
      </c>
      <c r="I412" s="79">
        <f t="shared" si="188"/>
        <v>0</v>
      </c>
      <c r="J412" s="79">
        <f t="shared" si="188"/>
        <v>0</v>
      </c>
      <c r="K412" s="79">
        <f t="shared" si="188"/>
        <v>0</v>
      </c>
      <c r="L412" s="79">
        <f t="shared" si="188"/>
        <v>0</v>
      </c>
      <c r="M412" s="79">
        <f t="shared" si="188"/>
        <v>0</v>
      </c>
      <c r="N412" s="79">
        <f t="shared" si="188"/>
        <v>0</v>
      </c>
      <c r="O412" s="79">
        <f t="shared" si="188"/>
        <v>0</v>
      </c>
      <c r="P412" s="79">
        <f t="shared" si="188"/>
        <v>0</v>
      </c>
      <c r="Q412" s="79">
        <f t="shared" si="189"/>
        <v>0</v>
      </c>
      <c r="R412" s="79">
        <f t="shared" si="189"/>
        <v>0</v>
      </c>
      <c r="S412" s="79">
        <f t="shared" si="189"/>
        <v>0</v>
      </c>
      <c r="T412" s="79">
        <f t="shared" si="189"/>
        <v>0</v>
      </c>
      <c r="U412" s="79">
        <f t="shared" si="189"/>
        <v>0</v>
      </c>
      <c r="V412" s="79">
        <f t="shared" si="189"/>
        <v>0</v>
      </c>
      <c r="W412" s="79">
        <f t="shared" si="189"/>
        <v>0</v>
      </c>
      <c r="X412" s="63">
        <f t="shared" si="189"/>
        <v>0</v>
      </c>
      <c r="Y412" s="63">
        <f t="shared" si="189"/>
        <v>0</v>
      </c>
      <c r="Z412" s="63">
        <f t="shared" si="189"/>
        <v>0</v>
      </c>
      <c r="AA412" s="63">
        <f t="shared" si="190"/>
        <v>0</v>
      </c>
      <c r="AB412" s="58" t="str">
        <f t="shared" si="191"/>
        <v>ok</v>
      </c>
    </row>
    <row r="413" spans="1:28" hidden="1">
      <c r="A413" s="458" t="s">
        <v>1256</v>
      </c>
      <c r="C413" s="60" t="s">
        <v>694</v>
      </c>
      <c r="D413" s="44" t="s">
        <v>696</v>
      </c>
      <c r="E413" s="44" t="s">
        <v>1412</v>
      </c>
      <c r="F413" s="79">
        <f>VLOOKUP(C413,'Functional Assignment'!$C$2:$AP$780,'Functional Assignment'!$J$2,)</f>
        <v>0</v>
      </c>
      <c r="G413" s="79">
        <f t="shared" si="188"/>
        <v>0</v>
      </c>
      <c r="H413" s="79">
        <f t="shared" si="188"/>
        <v>0</v>
      </c>
      <c r="I413" s="79">
        <f t="shared" si="188"/>
        <v>0</v>
      </c>
      <c r="J413" s="79">
        <f t="shared" si="188"/>
        <v>0</v>
      </c>
      <c r="K413" s="79">
        <f t="shared" si="188"/>
        <v>0</v>
      </c>
      <c r="L413" s="79">
        <f t="shared" si="188"/>
        <v>0</v>
      </c>
      <c r="M413" s="79">
        <f t="shared" si="188"/>
        <v>0</v>
      </c>
      <c r="N413" s="79">
        <f t="shared" si="188"/>
        <v>0</v>
      </c>
      <c r="O413" s="79">
        <f t="shared" si="188"/>
        <v>0</v>
      </c>
      <c r="P413" s="79">
        <f t="shared" si="188"/>
        <v>0</v>
      </c>
      <c r="Q413" s="79">
        <f t="shared" si="189"/>
        <v>0</v>
      </c>
      <c r="R413" s="79">
        <f t="shared" si="189"/>
        <v>0</v>
      </c>
      <c r="S413" s="79">
        <f t="shared" si="189"/>
        <v>0</v>
      </c>
      <c r="T413" s="79">
        <f t="shared" si="189"/>
        <v>0</v>
      </c>
      <c r="U413" s="79">
        <f t="shared" si="189"/>
        <v>0</v>
      </c>
      <c r="V413" s="79">
        <f t="shared" si="189"/>
        <v>0</v>
      </c>
      <c r="W413" s="79">
        <f t="shared" si="189"/>
        <v>0</v>
      </c>
      <c r="X413" s="63">
        <f t="shared" si="189"/>
        <v>0</v>
      </c>
      <c r="Y413" s="63">
        <f t="shared" si="189"/>
        <v>0</v>
      </c>
      <c r="Z413" s="63">
        <f t="shared" si="189"/>
        <v>0</v>
      </c>
      <c r="AA413" s="63">
        <f t="shared" si="190"/>
        <v>0</v>
      </c>
      <c r="AB413" s="58" t="str">
        <f t="shared" si="191"/>
        <v>ok</v>
      </c>
    </row>
    <row r="414" spans="1:28">
      <c r="A414" s="458" t="s">
        <v>1160</v>
      </c>
      <c r="C414" s="60" t="s">
        <v>694</v>
      </c>
      <c r="D414" s="44" t="s">
        <v>697</v>
      </c>
      <c r="E414" s="44" t="s">
        <v>1015</v>
      </c>
      <c r="F414" s="79">
        <f>VLOOKUP(C414,'Functional Assignment'!$C$2:$AP$780,'Functional Assignment'!$K$2,)</f>
        <v>0</v>
      </c>
      <c r="G414" s="79">
        <f t="shared" si="188"/>
        <v>0</v>
      </c>
      <c r="H414" s="79">
        <f t="shared" si="188"/>
        <v>0</v>
      </c>
      <c r="I414" s="79">
        <f t="shared" si="188"/>
        <v>0</v>
      </c>
      <c r="J414" s="79">
        <f t="shared" si="188"/>
        <v>0</v>
      </c>
      <c r="K414" s="79">
        <f t="shared" si="188"/>
        <v>0</v>
      </c>
      <c r="L414" s="79">
        <f t="shared" si="188"/>
        <v>0</v>
      </c>
      <c r="M414" s="79">
        <f t="shared" si="188"/>
        <v>0</v>
      </c>
      <c r="N414" s="79">
        <f t="shared" si="188"/>
        <v>0</v>
      </c>
      <c r="O414" s="79">
        <f t="shared" si="188"/>
        <v>0</v>
      </c>
      <c r="P414" s="79">
        <f t="shared" si="188"/>
        <v>0</v>
      </c>
      <c r="Q414" s="79">
        <f t="shared" si="189"/>
        <v>0</v>
      </c>
      <c r="R414" s="79">
        <f t="shared" si="189"/>
        <v>0</v>
      </c>
      <c r="S414" s="79">
        <f t="shared" si="189"/>
        <v>0</v>
      </c>
      <c r="T414" s="79">
        <f t="shared" si="189"/>
        <v>0</v>
      </c>
      <c r="U414" s="79">
        <f t="shared" si="189"/>
        <v>0</v>
      </c>
      <c r="V414" s="79">
        <f t="shared" si="189"/>
        <v>0</v>
      </c>
      <c r="W414" s="79">
        <f t="shared" si="189"/>
        <v>0</v>
      </c>
      <c r="X414" s="63">
        <f t="shared" si="189"/>
        <v>0</v>
      </c>
      <c r="Y414" s="63">
        <f t="shared" si="189"/>
        <v>0</v>
      </c>
      <c r="Z414" s="63">
        <f t="shared" si="189"/>
        <v>0</v>
      </c>
      <c r="AA414" s="63">
        <f t="shared" si="190"/>
        <v>0</v>
      </c>
      <c r="AB414" s="58" t="str">
        <f t="shared" si="191"/>
        <v>ok</v>
      </c>
    </row>
    <row r="415" spans="1:28" hidden="1">
      <c r="A415" s="458" t="s">
        <v>1161</v>
      </c>
      <c r="C415" s="60" t="s">
        <v>694</v>
      </c>
      <c r="D415" s="44" t="s">
        <v>698</v>
      </c>
      <c r="E415" s="44" t="s">
        <v>1015</v>
      </c>
      <c r="F415" s="79">
        <f>VLOOKUP(C415,'Functional Assignment'!$C$2:$AP$780,'Functional Assignment'!$L$2,)</f>
        <v>0</v>
      </c>
      <c r="G415" s="79">
        <f t="shared" si="188"/>
        <v>0</v>
      </c>
      <c r="H415" s="79">
        <f t="shared" si="188"/>
        <v>0</v>
      </c>
      <c r="I415" s="79">
        <f t="shared" si="188"/>
        <v>0</v>
      </c>
      <c r="J415" s="79">
        <f t="shared" si="188"/>
        <v>0</v>
      </c>
      <c r="K415" s="79">
        <f t="shared" si="188"/>
        <v>0</v>
      </c>
      <c r="L415" s="79">
        <f t="shared" si="188"/>
        <v>0</v>
      </c>
      <c r="M415" s="79">
        <f t="shared" si="188"/>
        <v>0</v>
      </c>
      <c r="N415" s="79">
        <f t="shared" si="188"/>
        <v>0</v>
      </c>
      <c r="O415" s="79">
        <f t="shared" si="188"/>
        <v>0</v>
      </c>
      <c r="P415" s="79">
        <f t="shared" si="188"/>
        <v>0</v>
      </c>
      <c r="Q415" s="79">
        <f t="shared" si="189"/>
        <v>0</v>
      </c>
      <c r="R415" s="79">
        <f t="shared" si="189"/>
        <v>0</v>
      </c>
      <c r="S415" s="79">
        <f t="shared" si="189"/>
        <v>0</v>
      </c>
      <c r="T415" s="79">
        <f t="shared" si="189"/>
        <v>0</v>
      </c>
      <c r="U415" s="79">
        <f t="shared" si="189"/>
        <v>0</v>
      </c>
      <c r="V415" s="79">
        <f t="shared" si="189"/>
        <v>0</v>
      </c>
      <c r="W415" s="79">
        <f t="shared" si="189"/>
        <v>0</v>
      </c>
      <c r="X415" s="63">
        <f t="shared" si="189"/>
        <v>0</v>
      </c>
      <c r="Y415" s="63">
        <f t="shared" si="189"/>
        <v>0</v>
      </c>
      <c r="Z415" s="63">
        <f t="shared" si="189"/>
        <v>0</v>
      </c>
      <c r="AA415" s="63">
        <f t="shared" si="190"/>
        <v>0</v>
      </c>
      <c r="AB415" s="58" t="str">
        <f t="shared" si="191"/>
        <v>ok</v>
      </c>
    </row>
    <row r="416" spans="1:28" hidden="1">
      <c r="A416" s="458" t="s">
        <v>1161</v>
      </c>
      <c r="C416" s="60" t="s">
        <v>694</v>
      </c>
      <c r="D416" s="44" t="s">
        <v>699</v>
      </c>
      <c r="E416" s="44" t="s">
        <v>1015</v>
      </c>
      <c r="F416" s="79">
        <f>VLOOKUP(C416,'Functional Assignment'!$C$2:$AP$780,'Functional Assignment'!$M$2,)</f>
        <v>0</v>
      </c>
      <c r="G416" s="79">
        <f t="shared" si="188"/>
        <v>0</v>
      </c>
      <c r="H416" s="79">
        <f t="shared" si="188"/>
        <v>0</v>
      </c>
      <c r="I416" s="79">
        <f t="shared" si="188"/>
        <v>0</v>
      </c>
      <c r="J416" s="79">
        <f t="shared" si="188"/>
        <v>0</v>
      </c>
      <c r="K416" s="79">
        <f t="shared" si="188"/>
        <v>0</v>
      </c>
      <c r="L416" s="79">
        <f t="shared" si="188"/>
        <v>0</v>
      </c>
      <c r="M416" s="79">
        <f t="shared" si="188"/>
        <v>0</v>
      </c>
      <c r="N416" s="79">
        <f t="shared" si="188"/>
        <v>0</v>
      </c>
      <c r="O416" s="79">
        <f t="shared" si="188"/>
        <v>0</v>
      </c>
      <c r="P416" s="79">
        <f t="shared" si="188"/>
        <v>0</v>
      </c>
      <c r="Q416" s="79">
        <f t="shared" si="189"/>
        <v>0</v>
      </c>
      <c r="R416" s="79">
        <f t="shared" si="189"/>
        <v>0</v>
      </c>
      <c r="S416" s="79">
        <f t="shared" si="189"/>
        <v>0</v>
      </c>
      <c r="T416" s="79">
        <f t="shared" si="189"/>
        <v>0</v>
      </c>
      <c r="U416" s="79">
        <f t="shared" si="189"/>
        <v>0</v>
      </c>
      <c r="V416" s="79">
        <f t="shared" si="189"/>
        <v>0</v>
      </c>
      <c r="W416" s="79">
        <f t="shared" si="189"/>
        <v>0</v>
      </c>
      <c r="X416" s="63">
        <f t="shared" si="189"/>
        <v>0</v>
      </c>
      <c r="Y416" s="63">
        <f t="shared" si="189"/>
        <v>0</v>
      </c>
      <c r="Z416" s="63">
        <f t="shared" si="189"/>
        <v>0</v>
      </c>
      <c r="AA416" s="63">
        <f t="shared" si="190"/>
        <v>0</v>
      </c>
      <c r="AB416" s="58" t="str">
        <f t="shared" si="191"/>
        <v>ok</v>
      </c>
    </row>
    <row r="417" spans="1:28">
      <c r="A417" s="44" t="s">
        <v>374</v>
      </c>
      <c r="D417" s="44" t="s">
        <v>700</v>
      </c>
      <c r="E417" s="44"/>
      <c r="F417" s="76">
        <f>SUM(F411:F416)</f>
        <v>0</v>
      </c>
      <c r="G417" s="76">
        <f t="shared" ref="G417:W417" si="192">SUM(G411:G416)</f>
        <v>0</v>
      </c>
      <c r="H417" s="76">
        <f t="shared" si="192"/>
        <v>0</v>
      </c>
      <c r="I417" s="76">
        <f t="shared" si="192"/>
        <v>0</v>
      </c>
      <c r="J417" s="76">
        <f t="shared" si="192"/>
        <v>0</v>
      </c>
      <c r="K417" s="76">
        <f t="shared" si="192"/>
        <v>0</v>
      </c>
      <c r="L417" s="76">
        <f t="shared" si="192"/>
        <v>0</v>
      </c>
      <c r="M417" s="76">
        <f t="shared" si="192"/>
        <v>0</v>
      </c>
      <c r="N417" s="76">
        <f t="shared" si="192"/>
        <v>0</v>
      </c>
      <c r="O417" s="76">
        <f>SUM(O411:O416)</f>
        <v>0</v>
      </c>
      <c r="P417" s="76">
        <f t="shared" si="192"/>
        <v>0</v>
      </c>
      <c r="Q417" s="76">
        <f t="shared" si="192"/>
        <v>0</v>
      </c>
      <c r="R417" s="76">
        <f t="shared" si="192"/>
        <v>0</v>
      </c>
      <c r="S417" s="76">
        <f t="shared" si="192"/>
        <v>0</v>
      </c>
      <c r="T417" s="76">
        <f t="shared" si="192"/>
        <v>0</v>
      </c>
      <c r="U417" s="76">
        <f t="shared" si="192"/>
        <v>0</v>
      </c>
      <c r="V417" s="76">
        <f t="shared" si="192"/>
        <v>0</v>
      </c>
      <c r="W417" s="76">
        <f t="shared" si="192"/>
        <v>0</v>
      </c>
      <c r="X417" s="62">
        <f>SUM(X411:X416)</f>
        <v>0</v>
      </c>
      <c r="Y417" s="62">
        <f>SUM(Y411:Y416)</f>
        <v>0</v>
      </c>
      <c r="Z417" s="62">
        <f>SUM(Z411:Z416)</f>
        <v>0</v>
      </c>
      <c r="AA417" s="64">
        <f t="shared" si="190"/>
        <v>0</v>
      </c>
      <c r="AB417" s="58" t="str">
        <f t="shared" si="191"/>
        <v>ok</v>
      </c>
    </row>
    <row r="418" spans="1:28">
      <c r="A418" s="44"/>
      <c r="F418" s="79"/>
      <c r="G418" s="79"/>
    </row>
    <row r="419" spans="1:28" ht="14.1">
      <c r="A419" s="45" t="s">
        <v>1055</v>
      </c>
      <c r="F419" s="79"/>
      <c r="G419" s="79"/>
    </row>
    <row r="420" spans="1:28">
      <c r="A420" s="458" t="s">
        <v>1225</v>
      </c>
      <c r="C420" s="60" t="s">
        <v>694</v>
      </c>
      <c r="D420" s="60" t="s">
        <v>701</v>
      </c>
      <c r="E420" s="60" t="s">
        <v>1229</v>
      </c>
      <c r="F420" s="76">
        <f>VLOOKUP(C420,'Functional Assignment'!$C$2:$AP$780,'Functional Assignment'!$N$2,)</f>
        <v>0</v>
      </c>
      <c r="G420" s="76">
        <f t="shared" ref="G420:P422" si="193">IF(VLOOKUP($E420,$D$6:$AN$1150,3,)=0,0,(VLOOKUP($E420,$D$6:$AN$1150,G$2,)/VLOOKUP($E420,$D$6:$AN$1150,3,))*$F420)</f>
        <v>0</v>
      </c>
      <c r="H420" s="76">
        <f t="shared" si="193"/>
        <v>0</v>
      </c>
      <c r="I420" s="76">
        <f t="shared" si="193"/>
        <v>0</v>
      </c>
      <c r="J420" s="76">
        <f t="shared" si="193"/>
        <v>0</v>
      </c>
      <c r="K420" s="76">
        <f t="shared" si="193"/>
        <v>0</v>
      </c>
      <c r="L420" s="76">
        <f t="shared" si="193"/>
        <v>0</v>
      </c>
      <c r="M420" s="76">
        <f t="shared" si="193"/>
        <v>0</v>
      </c>
      <c r="N420" s="76">
        <f t="shared" si="193"/>
        <v>0</v>
      </c>
      <c r="O420" s="76">
        <f t="shared" si="193"/>
        <v>0</v>
      </c>
      <c r="P420" s="76">
        <f t="shared" si="193"/>
        <v>0</v>
      </c>
      <c r="Q420" s="76">
        <f t="shared" ref="Q420:Z422" si="194">IF(VLOOKUP($E420,$D$6:$AN$1150,3,)=0,0,(VLOOKUP($E420,$D$6:$AN$1150,Q$2,)/VLOOKUP($E420,$D$6:$AN$1150,3,))*$F420)</f>
        <v>0</v>
      </c>
      <c r="R420" s="76">
        <f t="shared" si="194"/>
        <v>0</v>
      </c>
      <c r="S420" s="76">
        <f t="shared" si="194"/>
        <v>0</v>
      </c>
      <c r="T420" s="76">
        <f t="shared" si="194"/>
        <v>0</v>
      </c>
      <c r="U420" s="76">
        <f t="shared" si="194"/>
        <v>0</v>
      </c>
      <c r="V420" s="76">
        <f t="shared" si="194"/>
        <v>0</v>
      </c>
      <c r="W420" s="76">
        <f t="shared" si="194"/>
        <v>0</v>
      </c>
      <c r="X420" s="62">
        <f t="shared" si="194"/>
        <v>0</v>
      </c>
      <c r="Y420" s="62">
        <f t="shared" si="194"/>
        <v>0</v>
      </c>
      <c r="Z420" s="62">
        <f t="shared" si="194"/>
        <v>0</v>
      </c>
      <c r="AA420" s="64">
        <f>SUM(G420:Z420)</f>
        <v>0</v>
      </c>
      <c r="AB420" s="58" t="str">
        <f>IF(ABS(F420-AA420)&lt;0.01,"ok","err")</f>
        <v>ok</v>
      </c>
    </row>
    <row r="421" spans="1:28" hidden="1">
      <c r="A421" s="458" t="s">
        <v>1226</v>
      </c>
      <c r="C421" s="60" t="s">
        <v>694</v>
      </c>
      <c r="D421" s="60" t="s">
        <v>702</v>
      </c>
      <c r="E421" s="60" t="s">
        <v>1229</v>
      </c>
      <c r="F421" s="79">
        <f>VLOOKUP(C421,'Functional Assignment'!$C$2:$AP$780,'Functional Assignment'!$O$2,)</f>
        <v>0</v>
      </c>
      <c r="G421" s="79">
        <f t="shared" si="193"/>
        <v>0</v>
      </c>
      <c r="H421" s="79">
        <f t="shared" si="193"/>
        <v>0</v>
      </c>
      <c r="I421" s="79">
        <f t="shared" si="193"/>
        <v>0</v>
      </c>
      <c r="J421" s="79">
        <f t="shared" si="193"/>
        <v>0</v>
      </c>
      <c r="K421" s="79">
        <f t="shared" si="193"/>
        <v>0</v>
      </c>
      <c r="L421" s="79">
        <f t="shared" si="193"/>
        <v>0</v>
      </c>
      <c r="M421" s="79">
        <f t="shared" si="193"/>
        <v>0</v>
      </c>
      <c r="N421" s="79">
        <f t="shared" si="193"/>
        <v>0</v>
      </c>
      <c r="O421" s="79">
        <f t="shared" si="193"/>
        <v>0</v>
      </c>
      <c r="P421" s="79">
        <f t="shared" si="193"/>
        <v>0</v>
      </c>
      <c r="Q421" s="79">
        <f t="shared" si="194"/>
        <v>0</v>
      </c>
      <c r="R421" s="79">
        <f t="shared" si="194"/>
        <v>0</v>
      </c>
      <c r="S421" s="79">
        <f t="shared" si="194"/>
        <v>0</v>
      </c>
      <c r="T421" s="79">
        <f t="shared" si="194"/>
        <v>0</v>
      </c>
      <c r="U421" s="79">
        <f t="shared" si="194"/>
        <v>0</v>
      </c>
      <c r="V421" s="79">
        <f t="shared" si="194"/>
        <v>0</v>
      </c>
      <c r="W421" s="79">
        <f t="shared" si="194"/>
        <v>0</v>
      </c>
      <c r="X421" s="63">
        <f t="shared" si="194"/>
        <v>0</v>
      </c>
      <c r="Y421" s="63">
        <f t="shared" si="194"/>
        <v>0</v>
      </c>
      <c r="Z421" s="63">
        <f t="shared" si="194"/>
        <v>0</v>
      </c>
      <c r="AA421" s="63">
        <f>SUM(G421:Z421)</f>
        <v>0</v>
      </c>
      <c r="AB421" s="58" t="str">
        <f>IF(ABS(F421-AA421)&lt;0.01,"ok","err")</f>
        <v>ok</v>
      </c>
    </row>
    <row r="422" spans="1:28" hidden="1">
      <c r="A422" s="458" t="s">
        <v>1226</v>
      </c>
      <c r="C422" s="60" t="s">
        <v>694</v>
      </c>
      <c r="D422" s="60" t="s">
        <v>703</v>
      </c>
      <c r="E422" s="60" t="s">
        <v>1229</v>
      </c>
      <c r="F422" s="79">
        <f>VLOOKUP(C422,'Functional Assignment'!$C$2:$AP$780,'Functional Assignment'!$P$2,)</f>
        <v>0</v>
      </c>
      <c r="G422" s="79">
        <f t="shared" si="193"/>
        <v>0</v>
      </c>
      <c r="H422" s="79">
        <f t="shared" si="193"/>
        <v>0</v>
      </c>
      <c r="I422" s="79">
        <f t="shared" si="193"/>
        <v>0</v>
      </c>
      <c r="J422" s="79">
        <f t="shared" si="193"/>
        <v>0</v>
      </c>
      <c r="K422" s="79">
        <f t="shared" si="193"/>
        <v>0</v>
      </c>
      <c r="L422" s="79">
        <f t="shared" si="193"/>
        <v>0</v>
      </c>
      <c r="M422" s="79">
        <f t="shared" si="193"/>
        <v>0</v>
      </c>
      <c r="N422" s="79">
        <f t="shared" si="193"/>
        <v>0</v>
      </c>
      <c r="O422" s="79">
        <f t="shared" si="193"/>
        <v>0</v>
      </c>
      <c r="P422" s="79">
        <f t="shared" si="193"/>
        <v>0</v>
      </c>
      <c r="Q422" s="79">
        <f t="shared" si="194"/>
        <v>0</v>
      </c>
      <c r="R422" s="79">
        <f t="shared" si="194"/>
        <v>0</v>
      </c>
      <c r="S422" s="79">
        <f t="shared" si="194"/>
        <v>0</v>
      </c>
      <c r="T422" s="79">
        <f t="shared" si="194"/>
        <v>0</v>
      </c>
      <c r="U422" s="79">
        <f t="shared" si="194"/>
        <v>0</v>
      </c>
      <c r="V422" s="79">
        <f t="shared" si="194"/>
        <v>0</v>
      </c>
      <c r="W422" s="79">
        <f t="shared" si="194"/>
        <v>0</v>
      </c>
      <c r="X422" s="63">
        <f t="shared" si="194"/>
        <v>0</v>
      </c>
      <c r="Y422" s="63">
        <f t="shared" si="194"/>
        <v>0</v>
      </c>
      <c r="Z422" s="63">
        <f t="shared" si="194"/>
        <v>0</v>
      </c>
      <c r="AA422" s="63">
        <f>SUM(G422:Z422)</f>
        <v>0</v>
      </c>
      <c r="AB422" s="58" t="str">
        <f>IF(ABS(F422-AA422)&lt;0.01,"ok","err")</f>
        <v>ok</v>
      </c>
    </row>
    <row r="423" spans="1:28" hidden="1">
      <c r="A423" s="44" t="s">
        <v>1057</v>
      </c>
      <c r="D423" s="60" t="s">
        <v>704</v>
      </c>
      <c r="F423" s="76">
        <f>SUM(F420:F422)</f>
        <v>0</v>
      </c>
      <c r="G423" s="76">
        <f t="shared" ref="G423:W423" si="195">SUM(G420:G422)</f>
        <v>0</v>
      </c>
      <c r="H423" s="76">
        <f t="shared" si="195"/>
        <v>0</v>
      </c>
      <c r="I423" s="76">
        <f t="shared" si="195"/>
        <v>0</v>
      </c>
      <c r="J423" s="76">
        <f t="shared" si="195"/>
        <v>0</v>
      </c>
      <c r="K423" s="76">
        <f t="shared" si="195"/>
        <v>0</v>
      </c>
      <c r="L423" s="76">
        <f t="shared" si="195"/>
        <v>0</v>
      </c>
      <c r="M423" s="76">
        <f t="shared" si="195"/>
        <v>0</v>
      </c>
      <c r="N423" s="76">
        <f t="shared" si="195"/>
        <v>0</v>
      </c>
      <c r="O423" s="76">
        <f>SUM(O420:O422)</f>
        <v>0</v>
      </c>
      <c r="P423" s="76">
        <f t="shared" si="195"/>
        <v>0</v>
      </c>
      <c r="Q423" s="76">
        <f t="shared" si="195"/>
        <v>0</v>
      </c>
      <c r="R423" s="76">
        <f t="shared" si="195"/>
        <v>0</v>
      </c>
      <c r="S423" s="76">
        <f t="shared" si="195"/>
        <v>0</v>
      </c>
      <c r="T423" s="76">
        <f t="shared" si="195"/>
        <v>0</v>
      </c>
      <c r="U423" s="76">
        <f t="shared" si="195"/>
        <v>0</v>
      </c>
      <c r="V423" s="76">
        <f t="shared" si="195"/>
        <v>0</v>
      </c>
      <c r="W423" s="76">
        <f t="shared" si="195"/>
        <v>0</v>
      </c>
      <c r="X423" s="62">
        <f>SUM(X420:X422)</f>
        <v>0</v>
      </c>
      <c r="Y423" s="62">
        <f>SUM(Y420:Y422)</f>
        <v>0</v>
      </c>
      <c r="Z423" s="62">
        <f>SUM(Z420:Z422)</f>
        <v>0</v>
      </c>
      <c r="AA423" s="64">
        <f>SUM(G423:Z423)</f>
        <v>0</v>
      </c>
      <c r="AB423" s="58" t="str">
        <f>IF(ABS(F423-AA423)&lt;0.01,"ok","err")</f>
        <v>ok</v>
      </c>
    </row>
    <row r="424" spans="1:28">
      <c r="A424" s="44"/>
      <c r="F424" s="79"/>
      <c r="G424" s="79"/>
    </row>
    <row r="425" spans="1:28" ht="14.1">
      <c r="A425" s="45" t="s">
        <v>337</v>
      </c>
      <c r="F425" s="79"/>
      <c r="G425" s="79"/>
    </row>
    <row r="426" spans="1:28">
      <c r="A426" s="458" t="s">
        <v>359</v>
      </c>
      <c r="C426" s="60" t="s">
        <v>694</v>
      </c>
      <c r="D426" s="60" t="s">
        <v>705</v>
      </c>
      <c r="E426" s="60" t="s">
        <v>1230</v>
      </c>
      <c r="F426" s="76">
        <f>VLOOKUP(C426,'Functional Assignment'!$C$2:$AP$780,'Functional Assignment'!$Q$2,)</f>
        <v>0</v>
      </c>
      <c r="G426" s="76">
        <f t="shared" ref="G426:Z426" si="196">IF(VLOOKUP($E426,$D$6:$AN$1150,3,)=0,0,(VLOOKUP($E426,$D$6:$AN$1150,G$2,)/VLOOKUP($E426,$D$6:$AN$1150,3,))*$F426)</f>
        <v>0</v>
      </c>
      <c r="H426" s="76">
        <f t="shared" si="196"/>
        <v>0</v>
      </c>
      <c r="I426" s="76">
        <f t="shared" si="196"/>
        <v>0</v>
      </c>
      <c r="J426" s="76">
        <f t="shared" si="196"/>
        <v>0</v>
      </c>
      <c r="K426" s="76">
        <f t="shared" si="196"/>
        <v>0</v>
      </c>
      <c r="L426" s="76">
        <f t="shared" si="196"/>
        <v>0</v>
      </c>
      <c r="M426" s="76">
        <f t="shared" si="196"/>
        <v>0</v>
      </c>
      <c r="N426" s="76">
        <f t="shared" si="196"/>
        <v>0</v>
      </c>
      <c r="O426" s="76">
        <f t="shared" si="196"/>
        <v>0</v>
      </c>
      <c r="P426" s="76">
        <f t="shared" si="196"/>
        <v>0</v>
      </c>
      <c r="Q426" s="76">
        <f t="shared" si="196"/>
        <v>0</v>
      </c>
      <c r="R426" s="76">
        <f t="shared" si="196"/>
        <v>0</v>
      </c>
      <c r="S426" s="76">
        <f t="shared" si="196"/>
        <v>0</v>
      </c>
      <c r="T426" s="76">
        <f t="shared" si="196"/>
        <v>0</v>
      </c>
      <c r="U426" s="76">
        <f t="shared" si="196"/>
        <v>0</v>
      </c>
      <c r="V426" s="76">
        <f t="shared" si="196"/>
        <v>0</v>
      </c>
      <c r="W426" s="76">
        <f t="shared" si="196"/>
        <v>0</v>
      </c>
      <c r="X426" s="62">
        <f t="shared" si="196"/>
        <v>0</v>
      </c>
      <c r="Y426" s="62">
        <f t="shared" si="196"/>
        <v>0</v>
      </c>
      <c r="Z426" s="62">
        <f t="shared" si="196"/>
        <v>0</v>
      </c>
      <c r="AA426" s="64">
        <f>SUM(G426:Z426)</f>
        <v>0</v>
      </c>
      <c r="AB426" s="58" t="str">
        <f>IF(ABS(F426-AA426)&lt;0.01,"ok","err")</f>
        <v>ok</v>
      </c>
    </row>
    <row r="427" spans="1:28">
      <c r="A427" s="44"/>
      <c r="F427" s="79"/>
    </row>
    <row r="428" spans="1:28" ht="14.1">
      <c r="A428" s="45" t="s">
        <v>338</v>
      </c>
      <c r="F428" s="79"/>
      <c r="G428" s="79"/>
    </row>
    <row r="429" spans="1:28">
      <c r="A429" s="458" t="s">
        <v>361</v>
      </c>
      <c r="C429" s="60" t="s">
        <v>694</v>
      </c>
      <c r="D429" s="60" t="s">
        <v>706</v>
      </c>
      <c r="E429" s="60" t="s">
        <v>1230</v>
      </c>
      <c r="F429" s="76">
        <f>VLOOKUP(C429,'Functional Assignment'!$C$2:$AP$780,'Functional Assignment'!$R$2,)</f>
        <v>0</v>
      </c>
      <c r="G429" s="76">
        <f t="shared" ref="G429:Z429" si="197">IF(VLOOKUP($E429,$D$6:$AN$1150,3,)=0,0,(VLOOKUP($E429,$D$6:$AN$1150,G$2,)/VLOOKUP($E429,$D$6:$AN$1150,3,))*$F429)</f>
        <v>0</v>
      </c>
      <c r="H429" s="76">
        <f t="shared" si="197"/>
        <v>0</v>
      </c>
      <c r="I429" s="76">
        <f t="shared" si="197"/>
        <v>0</v>
      </c>
      <c r="J429" s="76">
        <f t="shared" si="197"/>
        <v>0</v>
      </c>
      <c r="K429" s="76">
        <f t="shared" si="197"/>
        <v>0</v>
      </c>
      <c r="L429" s="76">
        <f t="shared" si="197"/>
        <v>0</v>
      </c>
      <c r="M429" s="76">
        <f t="shared" si="197"/>
        <v>0</v>
      </c>
      <c r="N429" s="76">
        <f t="shared" si="197"/>
        <v>0</v>
      </c>
      <c r="O429" s="76">
        <f t="shared" si="197"/>
        <v>0</v>
      </c>
      <c r="P429" s="76">
        <f t="shared" si="197"/>
        <v>0</v>
      </c>
      <c r="Q429" s="76">
        <f t="shared" si="197"/>
        <v>0</v>
      </c>
      <c r="R429" s="76">
        <f t="shared" si="197"/>
        <v>0</v>
      </c>
      <c r="S429" s="76">
        <f t="shared" si="197"/>
        <v>0</v>
      </c>
      <c r="T429" s="76">
        <f t="shared" si="197"/>
        <v>0</v>
      </c>
      <c r="U429" s="76">
        <f t="shared" si="197"/>
        <v>0</v>
      </c>
      <c r="V429" s="76">
        <f t="shared" si="197"/>
        <v>0</v>
      </c>
      <c r="W429" s="76">
        <f t="shared" si="197"/>
        <v>0</v>
      </c>
      <c r="X429" s="62">
        <f t="shared" si="197"/>
        <v>0</v>
      </c>
      <c r="Y429" s="62">
        <f t="shared" si="197"/>
        <v>0</v>
      </c>
      <c r="Z429" s="62">
        <f t="shared" si="197"/>
        <v>0</v>
      </c>
      <c r="AA429" s="64">
        <f>SUM(G429:Z429)</f>
        <v>0</v>
      </c>
      <c r="AB429" s="58" t="str">
        <f>IF(ABS(F429-AA429)&lt;0.01,"ok","err")</f>
        <v>ok</v>
      </c>
    </row>
    <row r="430" spans="1:28">
      <c r="A430" s="44"/>
      <c r="F430" s="79"/>
    </row>
    <row r="431" spans="1:28" ht="14.1">
      <c r="A431" s="45" t="s">
        <v>360</v>
      </c>
      <c r="F431" s="79"/>
    </row>
    <row r="432" spans="1:28">
      <c r="A432" s="458" t="s">
        <v>603</v>
      </c>
      <c r="C432" s="60" t="s">
        <v>694</v>
      </c>
      <c r="D432" s="60" t="s">
        <v>707</v>
      </c>
      <c r="E432" s="60" t="s">
        <v>1230</v>
      </c>
      <c r="F432" s="76">
        <f>VLOOKUP(C432,'Functional Assignment'!$C$2:$AP$780,'Functional Assignment'!$S$2,)</f>
        <v>0</v>
      </c>
      <c r="G432" s="76">
        <f t="shared" ref="G432:P436" si="198">IF(VLOOKUP($E432,$D$6:$AN$1150,3,)=0,0,(VLOOKUP($E432,$D$6:$AN$1150,G$2,)/VLOOKUP($E432,$D$6:$AN$1150,3,))*$F432)</f>
        <v>0</v>
      </c>
      <c r="H432" s="76">
        <f t="shared" si="198"/>
        <v>0</v>
      </c>
      <c r="I432" s="76">
        <f t="shared" si="198"/>
        <v>0</v>
      </c>
      <c r="J432" s="76">
        <f t="shared" si="198"/>
        <v>0</v>
      </c>
      <c r="K432" s="76">
        <f t="shared" si="198"/>
        <v>0</v>
      </c>
      <c r="L432" s="76">
        <f t="shared" si="198"/>
        <v>0</v>
      </c>
      <c r="M432" s="76">
        <f t="shared" si="198"/>
        <v>0</v>
      </c>
      <c r="N432" s="76">
        <f t="shared" si="198"/>
        <v>0</v>
      </c>
      <c r="O432" s="76">
        <f t="shared" si="198"/>
        <v>0</v>
      </c>
      <c r="P432" s="76">
        <f t="shared" si="198"/>
        <v>0</v>
      </c>
      <c r="Q432" s="76">
        <f t="shared" ref="Q432:Z436" si="199">IF(VLOOKUP($E432,$D$6:$AN$1150,3,)=0,0,(VLOOKUP($E432,$D$6:$AN$1150,Q$2,)/VLOOKUP($E432,$D$6:$AN$1150,3,))*$F432)</f>
        <v>0</v>
      </c>
      <c r="R432" s="76">
        <f t="shared" si="199"/>
        <v>0</v>
      </c>
      <c r="S432" s="76">
        <f t="shared" si="199"/>
        <v>0</v>
      </c>
      <c r="T432" s="76">
        <f t="shared" si="199"/>
        <v>0</v>
      </c>
      <c r="U432" s="76">
        <f t="shared" si="199"/>
        <v>0</v>
      </c>
      <c r="V432" s="76">
        <f t="shared" si="199"/>
        <v>0</v>
      </c>
      <c r="W432" s="76">
        <f t="shared" si="199"/>
        <v>0</v>
      </c>
      <c r="X432" s="62">
        <f t="shared" si="199"/>
        <v>0</v>
      </c>
      <c r="Y432" s="62">
        <f t="shared" si="199"/>
        <v>0</v>
      </c>
      <c r="Z432" s="62">
        <f t="shared" si="199"/>
        <v>0</v>
      </c>
      <c r="AA432" s="64">
        <f t="shared" ref="AA432:AA437" si="200">SUM(G432:Z432)</f>
        <v>0</v>
      </c>
      <c r="AB432" s="58" t="str">
        <f t="shared" ref="AB432:AB437" si="201">IF(ABS(F432-AA432)&lt;0.01,"ok","err")</f>
        <v>ok</v>
      </c>
    </row>
    <row r="433" spans="1:28">
      <c r="A433" s="458" t="s">
        <v>604</v>
      </c>
      <c r="C433" s="60" t="s">
        <v>694</v>
      </c>
      <c r="D433" s="60" t="s">
        <v>708</v>
      </c>
      <c r="E433" s="60" t="s">
        <v>1230</v>
      </c>
      <c r="F433" s="79">
        <f>VLOOKUP(C433,'Functional Assignment'!$C$2:$AP$780,'Functional Assignment'!$T$2,)</f>
        <v>0</v>
      </c>
      <c r="G433" s="79">
        <f t="shared" si="198"/>
        <v>0</v>
      </c>
      <c r="H433" s="79">
        <f t="shared" si="198"/>
        <v>0</v>
      </c>
      <c r="I433" s="79">
        <f t="shared" si="198"/>
        <v>0</v>
      </c>
      <c r="J433" s="79">
        <f t="shared" si="198"/>
        <v>0</v>
      </c>
      <c r="K433" s="79">
        <f t="shared" si="198"/>
        <v>0</v>
      </c>
      <c r="L433" s="79">
        <f t="shared" si="198"/>
        <v>0</v>
      </c>
      <c r="M433" s="79">
        <f t="shared" si="198"/>
        <v>0</v>
      </c>
      <c r="N433" s="79">
        <f t="shared" si="198"/>
        <v>0</v>
      </c>
      <c r="O433" s="79">
        <f t="shared" si="198"/>
        <v>0</v>
      </c>
      <c r="P433" s="79">
        <f t="shared" si="198"/>
        <v>0</v>
      </c>
      <c r="Q433" s="79">
        <f t="shared" si="199"/>
        <v>0</v>
      </c>
      <c r="R433" s="79">
        <f t="shared" si="199"/>
        <v>0</v>
      </c>
      <c r="S433" s="79">
        <f t="shared" si="199"/>
        <v>0</v>
      </c>
      <c r="T433" s="79">
        <f t="shared" si="199"/>
        <v>0</v>
      </c>
      <c r="U433" s="79">
        <f t="shared" si="199"/>
        <v>0</v>
      </c>
      <c r="V433" s="79">
        <f t="shared" si="199"/>
        <v>0</v>
      </c>
      <c r="W433" s="79">
        <f t="shared" si="199"/>
        <v>0</v>
      </c>
      <c r="X433" s="63">
        <f t="shared" si="199"/>
        <v>0</v>
      </c>
      <c r="Y433" s="63">
        <f t="shared" si="199"/>
        <v>0</v>
      </c>
      <c r="Z433" s="63">
        <f t="shared" si="199"/>
        <v>0</v>
      </c>
      <c r="AA433" s="63">
        <f t="shared" si="200"/>
        <v>0</v>
      </c>
      <c r="AB433" s="58" t="str">
        <f t="shared" si="201"/>
        <v>ok</v>
      </c>
    </row>
    <row r="434" spans="1:28">
      <c r="A434" s="458" t="s">
        <v>605</v>
      </c>
      <c r="C434" s="60" t="s">
        <v>694</v>
      </c>
      <c r="D434" s="60" t="s">
        <v>709</v>
      </c>
      <c r="E434" s="60" t="s">
        <v>658</v>
      </c>
      <c r="F434" s="79">
        <f>VLOOKUP(C434,'Functional Assignment'!$C$2:$AP$780,'Functional Assignment'!$U$2,)</f>
        <v>0</v>
      </c>
      <c r="G434" s="79">
        <f t="shared" si="198"/>
        <v>0</v>
      </c>
      <c r="H434" s="79">
        <f t="shared" si="198"/>
        <v>0</v>
      </c>
      <c r="I434" s="79">
        <f t="shared" si="198"/>
        <v>0</v>
      </c>
      <c r="J434" s="79">
        <f t="shared" si="198"/>
        <v>0</v>
      </c>
      <c r="K434" s="79">
        <f t="shared" si="198"/>
        <v>0</v>
      </c>
      <c r="L434" s="79">
        <f t="shared" si="198"/>
        <v>0</v>
      </c>
      <c r="M434" s="79">
        <f t="shared" si="198"/>
        <v>0</v>
      </c>
      <c r="N434" s="79">
        <f t="shared" si="198"/>
        <v>0</v>
      </c>
      <c r="O434" s="79">
        <f t="shared" si="198"/>
        <v>0</v>
      </c>
      <c r="P434" s="79">
        <f t="shared" si="198"/>
        <v>0</v>
      </c>
      <c r="Q434" s="79">
        <f t="shared" si="199"/>
        <v>0</v>
      </c>
      <c r="R434" s="79">
        <f t="shared" si="199"/>
        <v>0</v>
      </c>
      <c r="S434" s="79">
        <f t="shared" si="199"/>
        <v>0</v>
      </c>
      <c r="T434" s="79">
        <f t="shared" si="199"/>
        <v>0</v>
      </c>
      <c r="U434" s="79">
        <f t="shared" si="199"/>
        <v>0</v>
      </c>
      <c r="V434" s="79">
        <f t="shared" si="199"/>
        <v>0</v>
      </c>
      <c r="W434" s="79">
        <f t="shared" si="199"/>
        <v>0</v>
      </c>
      <c r="X434" s="63">
        <f t="shared" si="199"/>
        <v>0</v>
      </c>
      <c r="Y434" s="63">
        <f t="shared" si="199"/>
        <v>0</v>
      </c>
      <c r="Z434" s="63">
        <f t="shared" si="199"/>
        <v>0</v>
      </c>
      <c r="AA434" s="63">
        <f t="shared" si="200"/>
        <v>0</v>
      </c>
      <c r="AB434" s="58" t="str">
        <f t="shared" si="201"/>
        <v>ok</v>
      </c>
    </row>
    <row r="435" spans="1:28">
      <c r="A435" s="458" t="s">
        <v>606</v>
      </c>
      <c r="C435" s="60" t="s">
        <v>694</v>
      </c>
      <c r="D435" s="60" t="s">
        <v>710</v>
      </c>
      <c r="E435" s="60" t="s">
        <v>646</v>
      </c>
      <c r="F435" s="79">
        <f>VLOOKUP(C435,'Functional Assignment'!$C$2:$AP$780,'Functional Assignment'!$V$2,)</f>
        <v>0</v>
      </c>
      <c r="G435" s="79">
        <f t="shared" si="198"/>
        <v>0</v>
      </c>
      <c r="H435" s="79">
        <f t="shared" si="198"/>
        <v>0</v>
      </c>
      <c r="I435" s="79">
        <f t="shared" si="198"/>
        <v>0</v>
      </c>
      <c r="J435" s="79">
        <f t="shared" si="198"/>
        <v>0</v>
      </c>
      <c r="K435" s="79">
        <f t="shared" si="198"/>
        <v>0</v>
      </c>
      <c r="L435" s="79">
        <f t="shared" si="198"/>
        <v>0</v>
      </c>
      <c r="M435" s="79">
        <f t="shared" si="198"/>
        <v>0</v>
      </c>
      <c r="N435" s="79">
        <f t="shared" si="198"/>
        <v>0</v>
      </c>
      <c r="O435" s="79">
        <f t="shared" si="198"/>
        <v>0</v>
      </c>
      <c r="P435" s="79">
        <f t="shared" si="198"/>
        <v>0</v>
      </c>
      <c r="Q435" s="79">
        <f t="shared" si="199"/>
        <v>0</v>
      </c>
      <c r="R435" s="79">
        <f t="shared" si="199"/>
        <v>0</v>
      </c>
      <c r="S435" s="79">
        <f t="shared" si="199"/>
        <v>0</v>
      </c>
      <c r="T435" s="79">
        <f t="shared" si="199"/>
        <v>0</v>
      </c>
      <c r="U435" s="79">
        <f t="shared" si="199"/>
        <v>0</v>
      </c>
      <c r="V435" s="79">
        <f t="shared" si="199"/>
        <v>0</v>
      </c>
      <c r="W435" s="79">
        <f t="shared" si="199"/>
        <v>0</v>
      </c>
      <c r="X435" s="63">
        <f t="shared" si="199"/>
        <v>0</v>
      </c>
      <c r="Y435" s="63">
        <f t="shared" si="199"/>
        <v>0</v>
      </c>
      <c r="Z435" s="63">
        <f t="shared" si="199"/>
        <v>0</v>
      </c>
      <c r="AA435" s="63">
        <f t="shared" si="200"/>
        <v>0</v>
      </c>
      <c r="AB435" s="58" t="str">
        <f t="shared" si="201"/>
        <v>ok</v>
      </c>
    </row>
    <row r="436" spans="1:28">
      <c r="A436" s="458" t="s">
        <v>607</v>
      </c>
      <c r="C436" s="60" t="s">
        <v>694</v>
      </c>
      <c r="D436" s="60" t="s">
        <v>711</v>
      </c>
      <c r="E436" s="60" t="s">
        <v>657</v>
      </c>
      <c r="F436" s="79">
        <f>VLOOKUP(C436,'Functional Assignment'!$C$2:$AP$780,'Functional Assignment'!$W$2,)</f>
        <v>0</v>
      </c>
      <c r="G436" s="79">
        <f t="shared" si="198"/>
        <v>0</v>
      </c>
      <c r="H436" s="79">
        <f t="shared" si="198"/>
        <v>0</v>
      </c>
      <c r="I436" s="79">
        <f t="shared" si="198"/>
        <v>0</v>
      </c>
      <c r="J436" s="79">
        <f t="shared" si="198"/>
        <v>0</v>
      </c>
      <c r="K436" s="79">
        <f t="shared" si="198"/>
        <v>0</v>
      </c>
      <c r="L436" s="79">
        <f t="shared" si="198"/>
        <v>0</v>
      </c>
      <c r="M436" s="79">
        <f t="shared" si="198"/>
        <v>0</v>
      </c>
      <c r="N436" s="79">
        <f t="shared" si="198"/>
        <v>0</v>
      </c>
      <c r="O436" s="79">
        <f t="shared" si="198"/>
        <v>0</v>
      </c>
      <c r="P436" s="79">
        <f t="shared" si="198"/>
        <v>0</v>
      </c>
      <c r="Q436" s="79">
        <f t="shared" si="199"/>
        <v>0</v>
      </c>
      <c r="R436" s="79">
        <f t="shared" si="199"/>
        <v>0</v>
      </c>
      <c r="S436" s="79">
        <f t="shared" si="199"/>
        <v>0</v>
      </c>
      <c r="T436" s="79">
        <f t="shared" si="199"/>
        <v>0</v>
      </c>
      <c r="U436" s="79">
        <f t="shared" si="199"/>
        <v>0</v>
      </c>
      <c r="V436" s="79">
        <f t="shared" si="199"/>
        <v>0</v>
      </c>
      <c r="W436" s="79">
        <f t="shared" si="199"/>
        <v>0</v>
      </c>
      <c r="X436" s="63">
        <f t="shared" si="199"/>
        <v>0</v>
      </c>
      <c r="Y436" s="63">
        <f t="shared" si="199"/>
        <v>0</v>
      </c>
      <c r="Z436" s="63">
        <f t="shared" si="199"/>
        <v>0</v>
      </c>
      <c r="AA436" s="63">
        <f t="shared" si="200"/>
        <v>0</v>
      </c>
      <c r="AB436" s="58" t="str">
        <f t="shared" si="201"/>
        <v>ok</v>
      </c>
    </row>
    <row r="437" spans="1:28">
      <c r="A437" s="44" t="s">
        <v>365</v>
      </c>
      <c r="D437" s="60" t="s">
        <v>712</v>
      </c>
      <c r="F437" s="76">
        <f>SUM(F432:F436)</f>
        <v>0</v>
      </c>
      <c r="G437" s="76">
        <f t="shared" ref="G437:W437" si="202">SUM(G432:G436)</f>
        <v>0</v>
      </c>
      <c r="H437" s="76">
        <f t="shared" si="202"/>
        <v>0</v>
      </c>
      <c r="I437" s="76">
        <f t="shared" si="202"/>
        <v>0</v>
      </c>
      <c r="J437" s="76">
        <f t="shared" si="202"/>
        <v>0</v>
      </c>
      <c r="K437" s="76">
        <f t="shared" si="202"/>
        <v>0</v>
      </c>
      <c r="L437" s="76">
        <f t="shared" si="202"/>
        <v>0</v>
      </c>
      <c r="M437" s="76">
        <f t="shared" si="202"/>
        <v>0</v>
      </c>
      <c r="N437" s="76">
        <f t="shared" si="202"/>
        <v>0</v>
      </c>
      <c r="O437" s="76">
        <f>SUM(O432:O436)</f>
        <v>0</v>
      </c>
      <c r="P437" s="76">
        <f t="shared" si="202"/>
        <v>0</v>
      </c>
      <c r="Q437" s="76">
        <f t="shared" si="202"/>
        <v>0</v>
      </c>
      <c r="R437" s="76">
        <f t="shared" si="202"/>
        <v>0</v>
      </c>
      <c r="S437" s="76">
        <f t="shared" si="202"/>
        <v>0</v>
      </c>
      <c r="T437" s="76">
        <f t="shared" si="202"/>
        <v>0</v>
      </c>
      <c r="U437" s="76">
        <f t="shared" si="202"/>
        <v>0</v>
      </c>
      <c r="V437" s="76">
        <f t="shared" si="202"/>
        <v>0</v>
      </c>
      <c r="W437" s="76">
        <f t="shared" si="202"/>
        <v>0</v>
      </c>
      <c r="X437" s="62">
        <f>SUM(X432:X436)</f>
        <v>0</v>
      </c>
      <c r="Y437" s="62">
        <f>SUM(Y432:Y436)</f>
        <v>0</v>
      </c>
      <c r="Z437" s="62">
        <f>SUM(Z432:Z436)</f>
        <v>0</v>
      </c>
      <c r="AA437" s="64">
        <f t="shared" si="200"/>
        <v>0</v>
      </c>
      <c r="AB437" s="58" t="str">
        <f t="shared" si="201"/>
        <v>ok</v>
      </c>
    </row>
    <row r="438" spans="1:28">
      <c r="A438" s="44"/>
      <c r="F438" s="79"/>
    </row>
    <row r="439" spans="1:28" ht="14.1">
      <c r="A439" s="45" t="s">
        <v>613</v>
      </c>
      <c r="F439" s="79"/>
    </row>
    <row r="440" spans="1:28">
      <c r="A440" s="458" t="s">
        <v>1014</v>
      </c>
      <c r="C440" s="60" t="s">
        <v>694</v>
      </c>
      <c r="D440" s="60" t="s">
        <v>713</v>
      </c>
      <c r="E440" s="60" t="s">
        <v>1207</v>
      </c>
      <c r="F440" s="76">
        <f>VLOOKUP(C440,'Functional Assignment'!$C$2:$AP$780,'Functional Assignment'!$X$2,)</f>
        <v>0</v>
      </c>
      <c r="G440" s="76">
        <f t="shared" ref="G440:P441" si="203">IF(VLOOKUP($E440,$D$6:$AN$1150,3,)=0,0,(VLOOKUP($E440,$D$6:$AN$1150,G$2,)/VLOOKUP($E440,$D$6:$AN$1150,3,))*$F440)</f>
        <v>0</v>
      </c>
      <c r="H440" s="76">
        <f t="shared" si="203"/>
        <v>0</v>
      </c>
      <c r="I440" s="76">
        <f t="shared" si="203"/>
        <v>0</v>
      </c>
      <c r="J440" s="76">
        <f t="shared" si="203"/>
        <v>0</v>
      </c>
      <c r="K440" s="76">
        <f t="shared" si="203"/>
        <v>0</v>
      </c>
      <c r="L440" s="76">
        <f t="shared" si="203"/>
        <v>0</v>
      </c>
      <c r="M440" s="76">
        <f t="shared" si="203"/>
        <v>0</v>
      </c>
      <c r="N440" s="76">
        <f t="shared" si="203"/>
        <v>0</v>
      </c>
      <c r="O440" s="76">
        <f t="shared" si="203"/>
        <v>0</v>
      </c>
      <c r="P440" s="76">
        <f t="shared" si="203"/>
        <v>0</v>
      </c>
      <c r="Q440" s="76">
        <f t="shared" ref="Q440:Z441" si="204">IF(VLOOKUP($E440,$D$6:$AN$1150,3,)=0,0,(VLOOKUP($E440,$D$6:$AN$1150,Q$2,)/VLOOKUP($E440,$D$6:$AN$1150,3,))*$F440)</f>
        <v>0</v>
      </c>
      <c r="R440" s="76">
        <f t="shared" si="204"/>
        <v>0</v>
      </c>
      <c r="S440" s="76">
        <f t="shared" si="204"/>
        <v>0</v>
      </c>
      <c r="T440" s="76">
        <f t="shared" si="204"/>
        <v>0</v>
      </c>
      <c r="U440" s="76">
        <f t="shared" si="204"/>
        <v>0</v>
      </c>
      <c r="V440" s="76">
        <f t="shared" si="204"/>
        <v>0</v>
      </c>
      <c r="W440" s="76">
        <f t="shared" si="204"/>
        <v>0</v>
      </c>
      <c r="X440" s="62">
        <f t="shared" si="204"/>
        <v>0</v>
      </c>
      <c r="Y440" s="62">
        <f t="shared" si="204"/>
        <v>0</v>
      </c>
      <c r="Z440" s="62">
        <f t="shared" si="204"/>
        <v>0</v>
      </c>
      <c r="AA440" s="64">
        <f>SUM(G440:Z440)</f>
        <v>0</v>
      </c>
      <c r="AB440" s="58" t="str">
        <f>IF(ABS(F440-AA440)&lt;0.01,"ok","err")</f>
        <v>ok</v>
      </c>
    </row>
    <row r="441" spans="1:28">
      <c r="A441" s="458" t="s">
        <v>1017</v>
      </c>
      <c r="C441" s="60" t="s">
        <v>694</v>
      </c>
      <c r="D441" s="60" t="s">
        <v>753</v>
      </c>
      <c r="E441" s="60" t="s">
        <v>1205</v>
      </c>
      <c r="F441" s="79">
        <f>VLOOKUP(C441,'Functional Assignment'!$C$2:$AP$780,'Functional Assignment'!$Y$2,)</f>
        <v>0</v>
      </c>
      <c r="G441" s="79">
        <f t="shared" si="203"/>
        <v>0</v>
      </c>
      <c r="H441" s="79">
        <f t="shared" si="203"/>
        <v>0</v>
      </c>
      <c r="I441" s="79">
        <f t="shared" si="203"/>
        <v>0</v>
      </c>
      <c r="J441" s="79">
        <f t="shared" si="203"/>
        <v>0</v>
      </c>
      <c r="K441" s="79">
        <f t="shared" si="203"/>
        <v>0</v>
      </c>
      <c r="L441" s="79">
        <f t="shared" si="203"/>
        <v>0</v>
      </c>
      <c r="M441" s="79">
        <f t="shared" si="203"/>
        <v>0</v>
      </c>
      <c r="N441" s="79">
        <f t="shared" si="203"/>
        <v>0</v>
      </c>
      <c r="O441" s="79">
        <f t="shared" si="203"/>
        <v>0</v>
      </c>
      <c r="P441" s="79">
        <f t="shared" si="203"/>
        <v>0</v>
      </c>
      <c r="Q441" s="79">
        <f t="shared" si="204"/>
        <v>0</v>
      </c>
      <c r="R441" s="79">
        <f t="shared" si="204"/>
        <v>0</v>
      </c>
      <c r="S441" s="79">
        <f t="shared" si="204"/>
        <v>0</v>
      </c>
      <c r="T441" s="79">
        <f t="shared" si="204"/>
        <v>0</v>
      </c>
      <c r="U441" s="79">
        <f t="shared" si="204"/>
        <v>0</v>
      </c>
      <c r="V441" s="79">
        <f t="shared" si="204"/>
        <v>0</v>
      </c>
      <c r="W441" s="79">
        <f t="shared" si="204"/>
        <v>0</v>
      </c>
      <c r="X441" s="63">
        <f t="shared" si="204"/>
        <v>0</v>
      </c>
      <c r="Y441" s="63">
        <f t="shared" si="204"/>
        <v>0</v>
      </c>
      <c r="Z441" s="63">
        <f t="shared" si="204"/>
        <v>0</v>
      </c>
      <c r="AA441" s="63">
        <f>SUM(G441:Z441)</f>
        <v>0</v>
      </c>
      <c r="AB441" s="58" t="str">
        <f>IF(ABS(F441-AA441)&lt;0.01,"ok","err")</f>
        <v>ok</v>
      </c>
    </row>
    <row r="442" spans="1:28">
      <c r="A442" s="44" t="s">
        <v>672</v>
      </c>
      <c r="D442" s="60" t="s">
        <v>754</v>
      </c>
      <c r="F442" s="76">
        <f>F440+F441</f>
        <v>0</v>
      </c>
      <c r="G442" s="76">
        <f t="shared" ref="G442:W442" si="205">G440+G441</f>
        <v>0</v>
      </c>
      <c r="H442" s="76">
        <f t="shared" si="205"/>
        <v>0</v>
      </c>
      <c r="I442" s="76">
        <f t="shared" si="205"/>
        <v>0</v>
      </c>
      <c r="J442" s="76">
        <f t="shared" si="205"/>
        <v>0</v>
      </c>
      <c r="K442" s="76">
        <f t="shared" si="205"/>
        <v>0</v>
      </c>
      <c r="L442" s="76">
        <f t="shared" si="205"/>
        <v>0</v>
      </c>
      <c r="M442" s="76">
        <f t="shared" si="205"/>
        <v>0</v>
      </c>
      <c r="N442" s="76">
        <f t="shared" si="205"/>
        <v>0</v>
      </c>
      <c r="O442" s="76">
        <f>O440+O441</f>
        <v>0</v>
      </c>
      <c r="P442" s="76">
        <f t="shared" si="205"/>
        <v>0</v>
      </c>
      <c r="Q442" s="76">
        <f t="shared" si="205"/>
        <v>0</v>
      </c>
      <c r="R442" s="76">
        <f t="shared" si="205"/>
        <v>0</v>
      </c>
      <c r="S442" s="76">
        <f t="shared" si="205"/>
        <v>0</v>
      </c>
      <c r="T442" s="76">
        <f t="shared" si="205"/>
        <v>0</v>
      </c>
      <c r="U442" s="76">
        <f t="shared" si="205"/>
        <v>0</v>
      </c>
      <c r="V442" s="76">
        <f t="shared" si="205"/>
        <v>0</v>
      </c>
      <c r="W442" s="76">
        <f t="shared" si="205"/>
        <v>0</v>
      </c>
      <c r="X442" s="62">
        <f>X440+X441</f>
        <v>0</v>
      </c>
      <c r="Y442" s="62">
        <f>Y440+Y441</f>
        <v>0</v>
      </c>
      <c r="Z442" s="62">
        <f>Z440+Z441</f>
        <v>0</v>
      </c>
      <c r="AA442" s="64">
        <f>SUM(G442:Z442)</f>
        <v>0</v>
      </c>
      <c r="AB442" s="58" t="str">
        <f>IF(ABS(F442-AA442)&lt;0.01,"ok","err")</f>
        <v>ok</v>
      </c>
    </row>
    <row r="443" spans="1:28">
      <c r="A443" s="44"/>
      <c r="F443" s="79"/>
    </row>
    <row r="444" spans="1:28" ht="14.1">
      <c r="A444" s="45" t="s">
        <v>343</v>
      </c>
      <c r="F444" s="79"/>
    </row>
    <row r="445" spans="1:28">
      <c r="A445" s="458" t="s">
        <v>1017</v>
      </c>
      <c r="C445" s="60" t="s">
        <v>694</v>
      </c>
      <c r="D445" s="60" t="s">
        <v>755</v>
      </c>
      <c r="E445" s="60" t="s">
        <v>1019</v>
      </c>
      <c r="F445" s="76">
        <f>VLOOKUP(C445,'Functional Assignment'!$C$2:$AP$780,'Functional Assignment'!$Z$2,)</f>
        <v>0</v>
      </c>
      <c r="G445" s="76">
        <f t="shared" ref="G445:Z445" si="206">IF(VLOOKUP($E445,$D$6:$AN$1150,3,)=0,0,(VLOOKUP($E445,$D$6:$AN$1150,G$2,)/VLOOKUP($E445,$D$6:$AN$1150,3,))*$F445)</f>
        <v>0</v>
      </c>
      <c r="H445" s="76">
        <f t="shared" si="206"/>
        <v>0</v>
      </c>
      <c r="I445" s="76">
        <f t="shared" si="206"/>
        <v>0</v>
      </c>
      <c r="J445" s="76">
        <f t="shared" si="206"/>
        <v>0</v>
      </c>
      <c r="K445" s="76">
        <f t="shared" si="206"/>
        <v>0</v>
      </c>
      <c r="L445" s="76">
        <f t="shared" si="206"/>
        <v>0</v>
      </c>
      <c r="M445" s="76">
        <f t="shared" si="206"/>
        <v>0</v>
      </c>
      <c r="N445" s="76">
        <f t="shared" si="206"/>
        <v>0</v>
      </c>
      <c r="O445" s="76">
        <f t="shared" si="206"/>
        <v>0</v>
      </c>
      <c r="P445" s="76">
        <f t="shared" si="206"/>
        <v>0</v>
      </c>
      <c r="Q445" s="76">
        <f t="shared" si="206"/>
        <v>0</v>
      </c>
      <c r="R445" s="76">
        <f t="shared" si="206"/>
        <v>0</v>
      </c>
      <c r="S445" s="76">
        <f t="shared" si="206"/>
        <v>0</v>
      </c>
      <c r="T445" s="76">
        <f t="shared" si="206"/>
        <v>0</v>
      </c>
      <c r="U445" s="76">
        <f t="shared" si="206"/>
        <v>0</v>
      </c>
      <c r="V445" s="76">
        <f t="shared" si="206"/>
        <v>0</v>
      </c>
      <c r="W445" s="76">
        <f t="shared" si="206"/>
        <v>0</v>
      </c>
      <c r="X445" s="62">
        <f t="shared" si="206"/>
        <v>0</v>
      </c>
      <c r="Y445" s="62">
        <f t="shared" si="206"/>
        <v>0</v>
      </c>
      <c r="Z445" s="62">
        <f t="shared" si="206"/>
        <v>0</v>
      </c>
      <c r="AA445" s="64">
        <f>SUM(G445:Z445)</f>
        <v>0</v>
      </c>
      <c r="AB445" s="58" t="str">
        <f>IF(ABS(F445-AA445)&lt;0.01,"ok","err")</f>
        <v>ok</v>
      </c>
    </row>
    <row r="446" spans="1:28">
      <c r="A446" s="44"/>
      <c r="F446" s="79"/>
    </row>
    <row r="447" spans="1:28" ht="14.1">
      <c r="A447" s="45" t="s">
        <v>342</v>
      </c>
      <c r="F447" s="79"/>
    </row>
    <row r="448" spans="1:28">
      <c r="A448" s="458" t="s">
        <v>1017</v>
      </c>
      <c r="C448" s="60" t="s">
        <v>694</v>
      </c>
      <c r="D448" s="60" t="s">
        <v>756</v>
      </c>
      <c r="E448" s="60" t="s">
        <v>1020</v>
      </c>
      <c r="F448" s="76">
        <f>VLOOKUP(C448,'Functional Assignment'!$C$2:$AP$780,'Functional Assignment'!$AA$2,)</f>
        <v>0</v>
      </c>
      <c r="G448" s="76">
        <f t="shared" ref="G448:Z448" si="207">IF(VLOOKUP($E448,$D$6:$AN$1150,3,)=0,0,(VLOOKUP($E448,$D$6:$AN$1150,G$2,)/VLOOKUP($E448,$D$6:$AN$1150,3,))*$F448)</f>
        <v>0</v>
      </c>
      <c r="H448" s="76">
        <f t="shared" si="207"/>
        <v>0</v>
      </c>
      <c r="I448" s="76">
        <f t="shared" si="207"/>
        <v>0</v>
      </c>
      <c r="J448" s="76">
        <f t="shared" si="207"/>
        <v>0</v>
      </c>
      <c r="K448" s="76">
        <f t="shared" si="207"/>
        <v>0</v>
      </c>
      <c r="L448" s="76">
        <f t="shared" si="207"/>
        <v>0</v>
      </c>
      <c r="M448" s="76">
        <f t="shared" si="207"/>
        <v>0</v>
      </c>
      <c r="N448" s="76">
        <f t="shared" si="207"/>
        <v>0</v>
      </c>
      <c r="O448" s="76">
        <f t="shared" si="207"/>
        <v>0</v>
      </c>
      <c r="P448" s="76">
        <f t="shared" si="207"/>
        <v>0</v>
      </c>
      <c r="Q448" s="76">
        <f t="shared" si="207"/>
        <v>0</v>
      </c>
      <c r="R448" s="76">
        <f t="shared" si="207"/>
        <v>0</v>
      </c>
      <c r="S448" s="76">
        <f t="shared" si="207"/>
        <v>0</v>
      </c>
      <c r="T448" s="76">
        <f t="shared" si="207"/>
        <v>0</v>
      </c>
      <c r="U448" s="76">
        <f t="shared" si="207"/>
        <v>0</v>
      </c>
      <c r="V448" s="76">
        <f t="shared" si="207"/>
        <v>0</v>
      </c>
      <c r="W448" s="76">
        <f t="shared" si="207"/>
        <v>0</v>
      </c>
      <c r="X448" s="62">
        <f t="shared" si="207"/>
        <v>0</v>
      </c>
      <c r="Y448" s="62">
        <f t="shared" si="207"/>
        <v>0</v>
      </c>
      <c r="Z448" s="62">
        <f t="shared" si="207"/>
        <v>0</v>
      </c>
      <c r="AA448" s="64">
        <f>SUM(G448:Z448)</f>
        <v>0</v>
      </c>
      <c r="AB448" s="58" t="str">
        <f>IF(ABS(F448-AA448)&lt;0.01,"ok","err")</f>
        <v>ok</v>
      </c>
    </row>
    <row r="449" spans="1:28">
      <c r="A449" s="44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62"/>
      <c r="Y449" s="62"/>
      <c r="Z449" s="62"/>
      <c r="AA449" s="64"/>
    </row>
    <row r="450" spans="1:28" ht="14.1">
      <c r="A450" s="45" t="s">
        <v>358</v>
      </c>
      <c r="F450" s="79"/>
    </row>
    <row r="451" spans="1:28">
      <c r="A451" s="458" t="s">
        <v>1017</v>
      </c>
      <c r="C451" s="60" t="s">
        <v>694</v>
      </c>
      <c r="D451" s="60" t="s">
        <v>757</v>
      </c>
      <c r="E451" s="60" t="s">
        <v>1021</v>
      </c>
      <c r="F451" s="76">
        <f>VLOOKUP(C451,'Functional Assignment'!$C$2:$AP$780,'Functional Assignment'!$AB$2,)</f>
        <v>0</v>
      </c>
      <c r="G451" s="76">
        <f t="shared" ref="G451:Z451" si="208">IF(VLOOKUP($E451,$D$6:$AN$1150,3,)=0,0,(VLOOKUP($E451,$D$6:$AN$1150,G$2,)/VLOOKUP($E451,$D$6:$AN$1150,3,))*$F451)</f>
        <v>0</v>
      </c>
      <c r="H451" s="76">
        <f t="shared" si="208"/>
        <v>0</v>
      </c>
      <c r="I451" s="76">
        <f t="shared" si="208"/>
        <v>0</v>
      </c>
      <c r="J451" s="76">
        <f t="shared" si="208"/>
        <v>0</v>
      </c>
      <c r="K451" s="76">
        <f t="shared" si="208"/>
        <v>0</v>
      </c>
      <c r="L451" s="76">
        <f t="shared" si="208"/>
        <v>0</v>
      </c>
      <c r="M451" s="76">
        <f t="shared" si="208"/>
        <v>0</v>
      </c>
      <c r="N451" s="76">
        <f t="shared" si="208"/>
        <v>0</v>
      </c>
      <c r="O451" s="76">
        <f t="shared" si="208"/>
        <v>0</v>
      </c>
      <c r="P451" s="76">
        <f t="shared" si="208"/>
        <v>0</v>
      </c>
      <c r="Q451" s="76">
        <f t="shared" si="208"/>
        <v>0</v>
      </c>
      <c r="R451" s="76">
        <f t="shared" si="208"/>
        <v>0</v>
      </c>
      <c r="S451" s="76">
        <f t="shared" si="208"/>
        <v>0</v>
      </c>
      <c r="T451" s="76">
        <f t="shared" si="208"/>
        <v>0</v>
      </c>
      <c r="U451" s="76">
        <f t="shared" si="208"/>
        <v>0</v>
      </c>
      <c r="V451" s="76">
        <f t="shared" si="208"/>
        <v>0</v>
      </c>
      <c r="W451" s="76">
        <f t="shared" si="208"/>
        <v>0</v>
      </c>
      <c r="X451" s="62">
        <f t="shared" si="208"/>
        <v>0</v>
      </c>
      <c r="Y451" s="62">
        <f t="shared" si="208"/>
        <v>0</v>
      </c>
      <c r="Z451" s="62">
        <f t="shared" si="208"/>
        <v>0</v>
      </c>
      <c r="AA451" s="64">
        <f>SUM(G451:Z451)</f>
        <v>0</v>
      </c>
      <c r="AB451" s="58" t="str">
        <f>IF(ABS(F451-AA451)&lt;0.01,"ok","err")</f>
        <v>ok</v>
      </c>
    </row>
    <row r="452" spans="1:28">
      <c r="A452" s="44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62"/>
      <c r="Y452" s="62"/>
      <c r="Z452" s="62"/>
      <c r="AA452" s="64"/>
    </row>
    <row r="453" spans="1:28" ht="14.1">
      <c r="A453" s="45" t="s">
        <v>949</v>
      </c>
      <c r="F453" s="79"/>
    </row>
    <row r="454" spans="1:28">
      <c r="A454" s="458" t="s">
        <v>1017</v>
      </c>
      <c r="C454" s="60" t="s">
        <v>694</v>
      </c>
      <c r="D454" s="60" t="s">
        <v>758</v>
      </c>
      <c r="E454" s="60" t="s">
        <v>1022</v>
      </c>
      <c r="F454" s="76">
        <f>VLOOKUP(C454,'Functional Assignment'!$C$2:$AP$780,'Functional Assignment'!$AC$2,)</f>
        <v>0</v>
      </c>
      <c r="G454" s="76">
        <f t="shared" ref="G454:Z454" si="209">IF(VLOOKUP($E454,$D$6:$AN$1150,3,)=0,0,(VLOOKUP($E454,$D$6:$AN$1150,G$2,)/VLOOKUP($E454,$D$6:$AN$1150,3,))*$F454)</f>
        <v>0</v>
      </c>
      <c r="H454" s="76">
        <f t="shared" si="209"/>
        <v>0</v>
      </c>
      <c r="I454" s="76">
        <f t="shared" si="209"/>
        <v>0</v>
      </c>
      <c r="J454" s="76">
        <f t="shared" si="209"/>
        <v>0</v>
      </c>
      <c r="K454" s="76">
        <f t="shared" si="209"/>
        <v>0</v>
      </c>
      <c r="L454" s="76">
        <f t="shared" si="209"/>
        <v>0</v>
      </c>
      <c r="M454" s="76">
        <f t="shared" si="209"/>
        <v>0</v>
      </c>
      <c r="N454" s="76">
        <f t="shared" si="209"/>
        <v>0</v>
      </c>
      <c r="O454" s="76">
        <f t="shared" si="209"/>
        <v>0</v>
      </c>
      <c r="P454" s="76">
        <f t="shared" si="209"/>
        <v>0</v>
      </c>
      <c r="Q454" s="76">
        <f t="shared" si="209"/>
        <v>0</v>
      </c>
      <c r="R454" s="76">
        <f t="shared" si="209"/>
        <v>0</v>
      </c>
      <c r="S454" s="76">
        <f t="shared" si="209"/>
        <v>0</v>
      </c>
      <c r="T454" s="76">
        <f t="shared" si="209"/>
        <v>0</v>
      </c>
      <c r="U454" s="76">
        <f t="shared" si="209"/>
        <v>0</v>
      </c>
      <c r="V454" s="76">
        <f t="shared" si="209"/>
        <v>0</v>
      </c>
      <c r="W454" s="76">
        <f t="shared" si="209"/>
        <v>0</v>
      </c>
      <c r="X454" s="62">
        <f t="shared" si="209"/>
        <v>0</v>
      </c>
      <c r="Y454" s="62">
        <f t="shared" si="209"/>
        <v>0</v>
      </c>
      <c r="Z454" s="62">
        <f t="shared" si="209"/>
        <v>0</v>
      </c>
      <c r="AA454" s="64">
        <f>SUM(G454:Z454)</f>
        <v>0</v>
      </c>
      <c r="AB454" s="58" t="str">
        <f>IF(ABS(F454-AA454)&lt;0.01,"ok","err")</f>
        <v>ok</v>
      </c>
    </row>
    <row r="455" spans="1:28">
      <c r="A455" s="44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62"/>
      <c r="Y455" s="62"/>
      <c r="Z455" s="62"/>
      <c r="AA455" s="64"/>
    </row>
    <row r="456" spans="1:28" ht="14.1">
      <c r="A456" s="45" t="s">
        <v>340</v>
      </c>
      <c r="F456" s="79"/>
    </row>
    <row r="457" spans="1:28">
      <c r="A457" s="458" t="s">
        <v>1017</v>
      </c>
      <c r="C457" s="60" t="s">
        <v>694</v>
      </c>
      <c r="D457" s="60" t="s">
        <v>759</v>
      </c>
      <c r="E457" s="60" t="s">
        <v>1022</v>
      </c>
      <c r="F457" s="76">
        <f>VLOOKUP(C457,'Functional Assignment'!$C$2:$AP$780,'Functional Assignment'!$AD$2,)</f>
        <v>0</v>
      </c>
      <c r="G457" s="76">
        <f t="shared" ref="G457:Z457" si="210">IF(VLOOKUP($E457,$D$6:$AN$1150,3,)=0,0,(VLOOKUP($E457,$D$6:$AN$1150,G$2,)/VLOOKUP($E457,$D$6:$AN$1150,3,))*$F457)</f>
        <v>0</v>
      </c>
      <c r="H457" s="76">
        <f t="shared" si="210"/>
        <v>0</v>
      </c>
      <c r="I457" s="76">
        <f t="shared" si="210"/>
        <v>0</v>
      </c>
      <c r="J457" s="76">
        <f t="shared" si="210"/>
        <v>0</v>
      </c>
      <c r="K457" s="76">
        <f t="shared" si="210"/>
        <v>0</v>
      </c>
      <c r="L457" s="76">
        <f t="shared" si="210"/>
        <v>0</v>
      </c>
      <c r="M457" s="76">
        <f t="shared" si="210"/>
        <v>0</v>
      </c>
      <c r="N457" s="76">
        <f t="shared" si="210"/>
        <v>0</v>
      </c>
      <c r="O457" s="76">
        <f t="shared" si="210"/>
        <v>0</v>
      </c>
      <c r="P457" s="76">
        <f t="shared" si="210"/>
        <v>0</v>
      </c>
      <c r="Q457" s="76">
        <f t="shared" si="210"/>
        <v>0</v>
      </c>
      <c r="R457" s="76">
        <f t="shared" si="210"/>
        <v>0</v>
      </c>
      <c r="S457" s="76">
        <f t="shared" si="210"/>
        <v>0</v>
      </c>
      <c r="T457" s="76">
        <f t="shared" si="210"/>
        <v>0</v>
      </c>
      <c r="U457" s="76">
        <f t="shared" si="210"/>
        <v>0</v>
      </c>
      <c r="V457" s="76">
        <f t="shared" si="210"/>
        <v>0</v>
      </c>
      <c r="W457" s="76">
        <f t="shared" si="210"/>
        <v>0</v>
      </c>
      <c r="X457" s="62">
        <f t="shared" si="210"/>
        <v>0</v>
      </c>
      <c r="Y457" s="62">
        <f t="shared" si="210"/>
        <v>0</v>
      </c>
      <c r="Z457" s="62">
        <f t="shared" si="210"/>
        <v>0</v>
      </c>
      <c r="AA457" s="64">
        <f>SUM(G457:Z457)</f>
        <v>0</v>
      </c>
      <c r="AB457" s="58" t="str">
        <f>IF(ABS(F457-AA457)&lt;0.01,"ok","err")</f>
        <v>ok</v>
      </c>
    </row>
    <row r="458" spans="1:28">
      <c r="A458" s="44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62"/>
      <c r="Y458" s="62"/>
      <c r="Z458" s="62"/>
      <c r="AA458" s="64"/>
    </row>
    <row r="459" spans="1:28" ht="14.1">
      <c r="A459" s="45" t="s">
        <v>339</v>
      </c>
      <c r="F459" s="79"/>
    </row>
    <row r="460" spans="1:28">
      <c r="A460" s="458" t="s">
        <v>1017</v>
      </c>
      <c r="C460" s="60" t="s">
        <v>694</v>
      </c>
      <c r="D460" s="60" t="s">
        <v>760</v>
      </c>
      <c r="E460" s="60" t="s">
        <v>1023</v>
      </c>
      <c r="F460" s="76">
        <f>VLOOKUP(C460,'Functional Assignment'!$C$2:$AP$780,'Functional Assignment'!$AE$2,)</f>
        <v>0</v>
      </c>
      <c r="G460" s="76">
        <f t="shared" ref="G460:Z460" si="211">IF(VLOOKUP($E460,$D$6:$AN$1150,3,)=0,0,(VLOOKUP($E460,$D$6:$AN$1150,G$2,)/VLOOKUP($E460,$D$6:$AN$1150,3,))*$F460)</f>
        <v>0</v>
      </c>
      <c r="H460" s="76">
        <f t="shared" si="211"/>
        <v>0</v>
      </c>
      <c r="I460" s="76">
        <f t="shared" si="211"/>
        <v>0</v>
      </c>
      <c r="J460" s="76">
        <f t="shared" si="211"/>
        <v>0</v>
      </c>
      <c r="K460" s="76">
        <f t="shared" si="211"/>
        <v>0</v>
      </c>
      <c r="L460" s="76">
        <f t="shared" si="211"/>
        <v>0</v>
      </c>
      <c r="M460" s="76">
        <f t="shared" si="211"/>
        <v>0</v>
      </c>
      <c r="N460" s="76">
        <f t="shared" si="211"/>
        <v>0</v>
      </c>
      <c r="O460" s="76">
        <f t="shared" si="211"/>
        <v>0</v>
      </c>
      <c r="P460" s="76">
        <f t="shared" si="211"/>
        <v>0</v>
      </c>
      <c r="Q460" s="76">
        <f t="shared" si="211"/>
        <v>0</v>
      </c>
      <c r="R460" s="76">
        <f t="shared" si="211"/>
        <v>0</v>
      </c>
      <c r="S460" s="76">
        <f t="shared" si="211"/>
        <v>0</v>
      </c>
      <c r="T460" s="76">
        <f t="shared" si="211"/>
        <v>0</v>
      </c>
      <c r="U460" s="76">
        <f t="shared" si="211"/>
        <v>0</v>
      </c>
      <c r="V460" s="76">
        <f t="shared" si="211"/>
        <v>0</v>
      </c>
      <c r="W460" s="76">
        <f t="shared" si="211"/>
        <v>0</v>
      </c>
      <c r="X460" s="62">
        <f t="shared" si="211"/>
        <v>0</v>
      </c>
      <c r="Y460" s="62">
        <f t="shared" si="211"/>
        <v>0</v>
      </c>
      <c r="Z460" s="62">
        <f t="shared" si="211"/>
        <v>0</v>
      </c>
      <c r="AA460" s="64">
        <f>SUM(G460:Z460)</f>
        <v>0</v>
      </c>
      <c r="AB460" s="58" t="str">
        <f>IF(ABS(F460-AA460)&lt;0.01,"ok","err")</f>
        <v>ok</v>
      </c>
    </row>
    <row r="461" spans="1:28">
      <c r="A461" s="44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62"/>
      <c r="Y461" s="62"/>
      <c r="Z461" s="62"/>
      <c r="AA461" s="64"/>
    </row>
    <row r="462" spans="1:28">
      <c r="A462" s="44" t="s">
        <v>846</v>
      </c>
      <c r="D462" s="60" t="s">
        <v>761</v>
      </c>
      <c r="F462" s="76">
        <f>F417+F423+F426+F429+F437+F442+F445+F448+F451+F454+F457+F460</f>
        <v>0</v>
      </c>
      <c r="G462" s="76">
        <f t="shared" ref="G462:Z462" si="212">G417+G423+G426+G429+G437+G442+G445+G448+G451+G454+G457+G460</f>
        <v>0</v>
      </c>
      <c r="H462" s="76">
        <f t="shared" si="212"/>
        <v>0</v>
      </c>
      <c r="I462" s="76">
        <f t="shared" si="212"/>
        <v>0</v>
      </c>
      <c r="J462" s="76">
        <f t="shared" si="212"/>
        <v>0</v>
      </c>
      <c r="K462" s="76">
        <f t="shared" si="212"/>
        <v>0</v>
      </c>
      <c r="L462" s="76">
        <f t="shared" si="212"/>
        <v>0</v>
      </c>
      <c r="M462" s="76">
        <f t="shared" si="212"/>
        <v>0</v>
      </c>
      <c r="N462" s="76">
        <f t="shared" si="212"/>
        <v>0</v>
      </c>
      <c r="O462" s="76">
        <f>O417+O423+O426+O429+O437+O442+O445+O448+O451+O454+O457+O460</f>
        <v>0</v>
      </c>
      <c r="P462" s="76">
        <f t="shared" si="212"/>
        <v>0</v>
      </c>
      <c r="Q462" s="76">
        <f t="shared" si="212"/>
        <v>0</v>
      </c>
      <c r="R462" s="76">
        <f t="shared" si="212"/>
        <v>0</v>
      </c>
      <c r="S462" s="76">
        <f t="shared" si="212"/>
        <v>0</v>
      </c>
      <c r="T462" s="76">
        <f t="shared" si="212"/>
        <v>0</v>
      </c>
      <c r="U462" s="76">
        <f t="shared" si="212"/>
        <v>0</v>
      </c>
      <c r="V462" s="76">
        <f t="shared" si="212"/>
        <v>0</v>
      </c>
      <c r="W462" s="76">
        <f t="shared" si="212"/>
        <v>0</v>
      </c>
      <c r="X462" s="62">
        <f t="shared" si="212"/>
        <v>0</v>
      </c>
      <c r="Y462" s="62">
        <f t="shared" si="212"/>
        <v>0</v>
      </c>
      <c r="Z462" s="62">
        <f t="shared" si="212"/>
        <v>0</v>
      </c>
      <c r="AA462" s="64">
        <f>SUM(G462:Z462)</f>
        <v>0</v>
      </c>
      <c r="AB462" s="58" t="str">
        <f>IF(ABS(F462-AA462)&lt;0.01,"ok","err")</f>
        <v>ok</v>
      </c>
    </row>
    <row r="463" spans="1:28">
      <c r="A463" s="44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62"/>
      <c r="Y463" s="62"/>
      <c r="Z463" s="62"/>
      <c r="AA463" s="64"/>
    </row>
    <row r="464" spans="1:28">
      <c r="A464" s="44"/>
    </row>
    <row r="465" spans="1:28" ht="14.1">
      <c r="A465" s="45" t="s">
        <v>763</v>
      </c>
    </row>
    <row r="466" spans="1:28">
      <c r="A466" s="44"/>
    </row>
    <row r="467" spans="1:28" ht="14.1">
      <c r="A467" s="45" t="s">
        <v>352</v>
      </c>
    </row>
    <row r="468" spans="1:28">
      <c r="A468" s="458" t="s">
        <v>1441</v>
      </c>
      <c r="C468" s="60" t="s">
        <v>998</v>
      </c>
      <c r="D468" s="44" t="s">
        <v>1440</v>
      </c>
      <c r="E468" s="44" t="s">
        <v>1429</v>
      </c>
      <c r="F468" s="76">
        <f>VLOOKUP(C468,'Functional Assignment'!$C$2:$AP$780,'Functional Assignment'!$H$2,)</f>
        <v>25721710.883164674</v>
      </c>
      <c r="G468" s="76">
        <f t="shared" ref="G468:P473" si="213">IF(VLOOKUP($E468,$D$6:$AN$1150,3,)=0,0,(VLOOKUP($E468,$D$6:$AN$1150,G$2,)/VLOOKUP($E468,$D$6:$AN$1150,3,))*$F468)</f>
        <v>11262714.804148018</v>
      </c>
      <c r="H468" s="76">
        <f t="shared" si="213"/>
        <v>4288.7470632124941</v>
      </c>
      <c r="I468" s="76">
        <f t="shared" si="213"/>
        <v>3146706.9340741895</v>
      </c>
      <c r="J468" s="76">
        <f t="shared" si="213"/>
        <v>213234.19130704636</v>
      </c>
      <c r="K468" s="76">
        <f t="shared" si="213"/>
        <v>3508140.8785352632</v>
      </c>
      <c r="L468" s="76">
        <f t="shared" si="213"/>
        <v>3166692.1215069289</v>
      </c>
      <c r="M468" s="76">
        <f t="shared" si="213"/>
        <v>2694179.0280796029</v>
      </c>
      <c r="N468" s="76">
        <f t="shared" si="213"/>
        <v>1530706.3084841396</v>
      </c>
      <c r="O468" s="76">
        <f t="shared" si="213"/>
        <v>90864.417782656077</v>
      </c>
      <c r="P468" s="76">
        <f t="shared" si="213"/>
        <v>93126.605398888205</v>
      </c>
      <c r="Q468" s="76">
        <f t="shared" ref="Q468:Z473" si="214">IF(VLOOKUP($E468,$D$6:$AN$1150,3,)=0,0,(VLOOKUP($E468,$D$6:$AN$1150,Q$2,)/VLOOKUP($E468,$D$6:$AN$1150,3,))*$F468)</f>
        <v>3243.6015659078507</v>
      </c>
      <c r="R468" s="76">
        <f t="shared" si="214"/>
        <v>4466.8921320723975</v>
      </c>
      <c r="S468" s="76">
        <f t="shared" si="214"/>
        <v>4.4004915963093412</v>
      </c>
      <c r="T468" s="76">
        <f t="shared" si="214"/>
        <v>40.561222427658819</v>
      </c>
      <c r="U468" s="76">
        <f t="shared" si="214"/>
        <v>3190.2719496980626</v>
      </c>
      <c r="V468" s="76">
        <f t="shared" si="214"/>
        <v>111.11942302474998</v>
      </c>
      <c r="W468" s="76">
        <f t="shared" si="214"/>
        <v>0</v>
      </c>
      <c r="X468" s="62">
        <f t="shared" si="214"/>
        <v>0</v>
      </c>
      <c r="Y468" s="62">
        <f t="shared" si="214"/>
        <v>0</v>
      </c>
      <c r="Z468" s="62">
        <f t="shared" si="214"/>
        <v>0</v>
      </c>
      <c r="AA468" s="64">
        <f t="shared" ref="AA468:AA474" si="215">SUM(G468:Z468)</f>
        <v>25721710.883164674</v>
      </c>
      <c r="AB468" s="58" t="str">
        <f t="shared" ref="AB468:AB474" si="216">IF(ABS(F468-AA468)&lt;0.01,"ok","err")</f>
        <v>ok</v>
      </c>
    </row>
    <row r="469" spans="1:28" hidden="1">
      <c r="A469" s="458" t="s">
        <v>1256</v>
      </c>
      <c r="C469" s="60" t="s">
        <v>998</v>
      </c>
      <c r="D469" s="44" t="s">
        <v>516</v>
      </c>
      <c r="E469" s="44" t="s">
        <v>1412</v>
      </c>
      <c r="F469" s="79">
        <f>VLOOKUP(C469,'Functional Assignment'!$C$2:$AP$780,'Functional Assignment'!$I$2,)</f>
        <v>0</v>
      </c>
      <c r="G469" s="79">
        <f t="shared" si="213"/>
        <v>0</v>
      </c>
      <c r="H469" s="79">
        <f t="shared" si="213"/>
        <v>0</v>
      </c>
      <c r="I469" s="79">
        <f t="shared" si="213"/>
        <v>0</v>
      </c>
      <c r="J469" s="79">
        <f t="shared" si="213"/>
        <v>0</v>
      </c>
      <c r="K469" s="79">
        <f t="shared" si="213"/>
        <v>0</v>
      </c>
      <c r="L469" s="79">
        <f t="shared" si="213"/>
        <v>0</v>
      </c>
      <c r="M469" s="79">
        <f t="shared" si="213"/>
        <v>0</v>
      </c>
      <c r="N469" s="79">
        <f t="shared" si="213"/>
        <v>0</v>
      </c>
      <c r="O469" s="79">
        <f t="shared" si="213"/>
        <v>0</v>
      </c>
      <c r="P469" s="79">
        <f t="shared" si="213"/>
        <v>0</v>
      </c>
      <c r="Q469" s="79">
        <f t="shared" si="214"/>
        <v>0</v>
      </c>
      <c r="R469" s="79">
        <f t="shared" si="214"/>
        <v>0</v>
      </c>
      <c r="S469" s="79">
        <f t="shared" si="214"/>
        <v>0</v>
      </c>
      <c r="T469" s="79">
        <f t="shared" si="214"/>
        <v>0</v>
      </c>
      <c r="U469" s="79">
        <f t="shared" si="214"/>
        <v>0</v>
      </c>
      <c r="V469" s="79">
        <f t="shared" si="214"/>
        <v>0</v>
      </c>
      <c r="W469" s="79">
        <f t="shared" si="214"/>
        <v>0</v>
      </c>
      <c r="X469" s="63">
        <f t="shared" si="214"/>
        <v>0</v>
      </c>
      <c r="Y469" s="63">
        <f t="shared" si="214"/>
        <v>0</v>
      </c>
      <c r="Z469" s="63">
        <f t="shared" si="214"/>
        <v>0</v>
      </c>
      <c r="AA469" s="63">
        <f t="shared" si="215"/>
        <v>0</v>
      </c>
      <c r="AB469" s="58" t="str">
        <f t="shared" si="216"/>
        <v>ok</v>
      </c>
    </row>
    <row r="470" spans="1:28" hidden="1">
      <c r="A470" s="458" t="s">
        <v>1256</v>
      </c>
      <c r="C470" s="60" t="s">
        <v>998</v>
      </c>
      <c r="D470" s="44" t="s">
        <v>517</v>
      </c>
      <c r="E470" s="44" t="s">
        <v>1412</v>
      </c>
      <c r="F470" s="79">
        <f>VLOOKUP(C470,'Functional Assignment'!$C$2:$AP$780,'Functional Assignment'!$J$2,)</f>
        <v>0</v>
      </c>
      <c r="G470" s="79">
        <f t="shared" si="213"/>
        <v>0</v>
      </c>
      <c r="H470" s="79">
        <f t="shared" si="213"/>
        <v>0</v>
      </c>
      <c r="I470" s="79">
        <f t="shared" si="213"/>
        <v>0</v>
      </c>
      <c r="J470" s="79">
        <f t="shared" si="213"/>
        <v>0</v>
      </c>
      <c r="K470" s="79">
        <f t="shared" si="213"/>
        <v>0</v>
      </c>
      <c r="L470" s="79">
        <f t="shared" si="213"/>
        <v>0</v>
      </c>
      <c r="M470" s="79">
        <f t="shared" si="213"/>
        <v>0</v>
      </c>
      <c r="N470" s="79">
        <f t="shared" si="213"/>
        <v>0</v>
      </c>
      <c r="O470" s="79">
        <f t="shared" si="213"/>
        <v>0</v>
      </c>
      <c r="P470" s="79">
        <f t="shared" si="213"/>
        <v>0</v>
      </c>
      <c r="Q470" s="79">
        <f t="shared" si="214"/>
        <v>0</v>
      </c>
      <c r="R470" s="79">
        <f t="shared" si="214"/>
        <v>0</v>
      </c>
      <c r="S470" s="79">
        <f t="shared" si="214"/>
        <v>0</v>
      </c>
      <c r="T470" s="79">
        <f t="shared" si="214"/>
        <v>0</v>
      </c>
      <c r="U470" s="79">
        <f t="shared" si="214"/>
        <v>0</v>
      </c>
      <c r="V470" s="79">
        <f t="shared" si="214"/>
        <v>0</v>
      </c>
      <c r="W470" s="79">
        <f t="shared" si="214"/>
        <v>0</v>
      </c>
      <c r="X470" s="63">
        <f t="shared" si="214"/>
        <v>0</v>
      </c>
      <c r="Y470" s="63">
        <f t="shared" si="214"/>
        <v>0</v>
      </c>
      <c r="Z470" s="63">
        <f t="shared" si="214"/>
        <v>0</v>
      </c>
      <c r="AA470" s="63">
        <f t="shared" si="215"/>
        <v>0</v>
      </c>
      <c r="AB470" s="58" t="str">
        <f t="shared" si="216"/>
        <v>ok</v>
      </c>
    </row>
    <row r="471" spans="1:28">
      <c r="A471" s="458" t="s">
        <v>1160</v>
      </c>
      <c r="C471" s="60" t="s">
        <v>998</v>
      </c>
      <c r="D471" s="44" t="s">
        <v>518</v>
      </c>
      <c r="E471" s="44" t="s">
        <v>1015</v>
      </c>
      <c r="F471" s="79">
        <f>VLOOKUP(C471,'Functional Assignment'!$C$2:$AP$780,'Functional Assignment'!$K$2,)</f>
        <v>0</v>
      </c>
      <c r="G471" s="79">
        <f t="shared" si="213"/>
        <v>0</v>
      </c>
      <c r="H471" s="79">
        <f t="shared" si="213"/>
        <v>0</v>
      </c>
      <c r="I471" s="79">
        <f t="shared" si="213"/>
        <v>0</v>
      </c>
      <c r="J471" s="79">
        <f t="shared" si="213"/>
        <v>0</v>
      </c>
      <c r="K471" s="79">
        <f t="shared" si="213"/>
        <v>0</v>
      </c>
      <c r="L471" s="79">
        <f t="shared" si="213"/>
        <v>0</v>
      </c>
      <c r="M471" s="79">
        <f t="shared" si="213"/>
        <v>0</v>
      </c>
      <c r="N471" s="79">
        <f t="shared" si="213"/>
        <v>0</v>
      </c>
      <c r="O471" s="79">
        <f t="shared" si="213"/>
        <v>0</v>
      </c>
      <c r="P471" s="79">
        <f t="shared" si="213"/>
        <v>0</v>
      </c>
      <c r="Q471" s="79">
        <f t="shared" si="214"/>
        <v>0</v>
      </c>
      <c r="R471" s="79">
        <f t="shared" si="214"/>
        <v>0</v>
      </c>
      <c r="S471" s="79">
        <f t="shared" si="214"/>
        <v>0</v>
      </c>
      <c r="T471" s="79">
        <f t="shared" si="214"/>
        <v>0</v>
      </c>
      <c r="U471" s="79">
        <f t="shared" si="214"/>
        <v>0</v>
      </c>
      <c r="V471" s="79">
        <f t="shared" si="214"/>
        <v>0</v>
      </c>
      <c r="W471" s="79">
        <f t="shared" si="214"/>
        <v>0</v>
      </c>
      <c r="X471" s="63">
        <f t="shared" si="214"/>
        <v>0</v>
      </c>
      <c r="Y471" s="63">
        <f t="shared" si="214"/>
        <v>0</v>
      </c>
      <c r="Z471" s="63">
        <f t="shared" si="214"/>
        <v>0</v>
      </c>
      <c r="AA471" s="63">
        <f t="shared" si="215"/>
        <v>0</v>
      </c>
      <c r="AB471" s="58" t="str">
        <f t="shared" si="216"/>
        <v>ok</v>
      </c>
    </row>
    <row r="472" spans="1:28" hidden="1">
      <c r="A472" s="458" t="s">
        <v>1161</v>
      </c>
      <c r="C472" s="60" t="s">
        <v>998</v>
      </c>
      <c r="D472" s="44" t="s">
        <v>519</v>
      </c>
      <c r="E472" s="44" t="s">
        <v>1015</v>
      </c>
      <c r="F472" s="79">
        <f>VLOOKUP(C472,'Functional Assignment'!$C$2:$AP$780,'Functional Assignment'!$L$2,)</f>
        <v>0</v>
      </c>
      <c r="G472" s="79">
        <f t="shared" si="213"/>
        <v>0</v>
      </c>
      <c r="H472" s="79">
        <f t="shared" si="213"/>
        <v>0</v>
      </c>
      <c r="I472" s="79">
        <f t="shared" si="213"/>
        <v>0</v>
      </c>
      <c r="J472" s="79">
        <f t="shared" si="213"/>
        <v>0</v>
      </c>
      <c r="K472" s="79">
        <f t="shared" si="213"/>
        <v>0</v>
      </c>
      <c r="L472" s="79">
        <f t="shared" si="213"/>
        <v>0</v>
      </c>
      <c r="M472" s="79">
        <f t="shared" si="213"/>
        <v>0</v>
      </c>
      <c r="N472" s="79">
        <f t="shared" si="213"/>
        <v>0</v>
      </c>
      <c r="O472" s="79">
        <f t="shared" si="213"/>
        <v>0</v>
      </c>
      <c r="P472" s="79">
        <f t="shared" si="213"/>
        <v>0</v>
      </c>
      <c r="Q472" s="79">
        <f t="shared" si="214"/>
        <v>0</v>
      </c>
      <c r="R472" s="79">
        <f t="shared" si="214"/>
        <v>0</v>
      </c>
      <c r="S472" s="79">
        <f t="shared" si="214"/>
        <v>0</v>
      </c>
      <c r="T472" s="79">
        <f t="shared" si="214"/>
        <v>0</v>
      </c>
      <c r="U472" s="79">
        <f t="shared" si="214"/>
        <v>0</v>
      </c>
      <c r="V472" s="79">
        <f t="shared" si="214"/>
        <v>0</v>
      </c>
      <c r="W472" s="79">
        <f t="shared" si="214"/>
        <v>0</v>
      </c>
      <c r="X472" s="63">
        <f t="shared" si="214"/>
        <v>0</v>
      </c>
      <c r="Y472" s="63">
        <f t="shared" si="214"/>
        <v>0</v>
      </c>
      <c r="Z472" s="63">
        <f t="shared" si="214"/>
        <v>0</v>
      </c>
      <c r="AA472" s="63">
        <f t="shared" si="215"/>
        <v>0</v>
      </c>
      <c r="AB472" s="58" t="str">
        <f t="shared" si="216"/>
        <v>ok</v>
      </c>
    </row>
    <row r="473" spans="1:28" hidden="1">
      <c r="A473" s="458" t="s">
        <v>1161</v>
      </c>
      <c r="C473" s="60" t="s">
        <v>998</v>
      </c>
      <c r="D473" s="44" t="s">
        <v>520</v>
      </c>
      <c r="E473" s="44" t="s">
        <v>1015</v>
      </c>
      <c r="F473" s="79">
        <f>VLOOKUP(C473,'Functional Assignment'!$C$2:$AP$780,'Functional Assignment'!$M$2,)</f>
        <v>0</v>
      </c>
      <c r="G473" s="79">
        <f t="shared" si="213"/>
        <v>0</v>
      </c>
      <c r="H473" s="79">
        <f t="shared" si="213"/>
        <v>0</v>
      </c>
      <c r="I473" s="79">
        <f t="shared" si="213"/>
        <v>0</v>
      </c>
      <c r="J473" s="79">
        <f t="shared" si="213"/>
        <v>0</v>
      </c>
      <c r="K473" s="79">
        <f t="shared" si="213"/>
        <v>0</v>
      </c>
      <c r="L473" s="79">
        <f t="shared" si="213"/>
        <v>0</v>
      </c>
      <c r="M473" s="79">
        <f t="shared" si="213"/>
        <v>0</v>
      </c>
      <c r="N473" s="79">
        <f t="shared" si="213"/>
        <v>0</v>
      </c>
      <c r="O473" s="79">
        <f t="shared" si="213"/>
        <v>0</v>
      </c>
      <c r="P473" s="79">
        <f t="shared" si="213"/>
        <v>0</v>
      </c>
      <c r="Q473" s="79">
        <f t="shared" si="214"/>
        <v>0</v>
      </c>
      <c r="R473" s="79">
        <f t="shared" si="214"/>
        <v>0</v>
      </c>
      <c r="S473" s="79">
        <f t="shared" si="214"/>
        <v>0</v>
      </c>
      <c r="T473" s="79">
        <f t="shared" si="214"/>
        <v>0</v>
      </c>
      <c r="U473" s="79">
        <f t="shared" si="214"/>
        <v>0</v>
      </c>
      <c r="V473" s="79">
        <f t="shared" si="214"/>
        <v>0</v>
      </c>
      <c r="W473" s="79">
        <f t="shared" si="214"/>
        <v>0</v>
      </c>
      <c r="X473" s="63">
        <f t="shared" si="214"/>
        <v>0</v>
      </c>
      <c r="Y473" s="63">
        <f t="shared" si="214"/>
        <v>0</v>
      </c>
      <c r="Z473" s="63">
        <f t="shared" si="214"/>
        <v>0</v>
      </c>
      <c r="AA473" s="63">
        <f t="shared" si="215"/>
        <v>0</v>
      </c>
      <c r="AB473" s="58" t="str">
        <f t="shared" si="216"/>
        <v>ok</v>
      </c>
    </row>
    <row r="474" spans="1:28">
      <c r="A474" s="44" t="s">
        <v>374</v>
      </c>
      <c r="D474" s="44" t="s">
        <v>521</v>
      </c>
      <c r="E474" s="44"/>
      <c r="F474" s="76">
        <f>SUM(F468:F473)</f>
        <v>25721710.883164674</v>
      </c>
      <c r="G474" s="76">
        <f t="shared" ref="G474:P474" si="217">SUM(G468:G473)</f>
        <v>11262714.804148018</v>
      </c>
      <c r="H474" s="76">
        <f t="shared" si="217"/>
        <v>4288.7470632124941</v>
      </c>
      <c r="I474" s="76">
        <f t="shared" si="217"/>
        <v>3146706.9340741895</v>
      </c>
      <c r="J474" s="76">
        <f t="shared" si="217"/>
        <v>213234.19130704636</v>
      </c>
      <c r="K474" s="76">
        <f t="shared" si="217"/>
        <v>3508140.8785352632</v>
      </c>
      <c r="L474" s="76">
        <f t="shared" si="217"/>
        <v>3166692.1215069289</v>
      </c>
      <c r="M474" s="76">
        <f t="shared" si="217"/>
        <v>2694179.0280796029</v>
      </c>
      <c r="N474" s="76">
        <f t="shared" si="217"/>
        <v>1530706.3084841396</v>
      </c>
      <c r="O474" s="76">
        <f>SUM(O468:O473)</f>
        <v>90864.417782656077</v>
      </c>
      <c r="P474" s="76">
        <f t="shared" si="217"/>
        <v>93126.605398888205</v>
      </c>
      <c r="Q474" s="76">
        <f t="shared" ref="Q474:W474" si="218">SUM(Q468:Q473)</f>
        <v>3243.6015659078507</v>
      </c>
      <c r="R474" s="76">
        <f t="shared" si="218"/>
        <v>4466.8921320723975</v>
      </c>
      <c r="S474" s="76">
        <f t="shared" si="218"/>
        <v>4.4004915963093412</v>
      </c>
      <c r="T474" s="76">
        <f t="shared" si="218"/>
        <v>40.561222427658819</v>
      </c>
      <c r="U474" s="76">
        <f t="shared" si="218"/>
        <v>3190.2719496980626</v>
      </c>
      <c r="V474" s="76">
        <f t="shared" si="218"/>
        <v>111.11942302474998</v>
      </c>
      <c r="W474" s="76">
        <f t="shared" si="218"/>
        <v>0</v>
      </c>
      <c r="X474" s="62">
        <f>SUM(X468:X473)</f>
        <v>0</v>
      </c>
      <c r="Y474" s="62">
        <f>SUM(Y468:Y473)</f>
        <v>0</v>
      </c>
      <c r="Z474" s="62">
        <f>SUM(Z468:Z473)</f>
        <v>0</v>
      </c>
      <c r="AA474" s="64">
        <f t="shared" si="215"/>
        <v>25721710.883164674</v>
      </c>
      <c r="AB474" s="58" t="str">
        <f t="shared" si="216"/>
        <v>ok</v>
      </c>
    </row>
    <row r="475" spans="1:28">
      <c r="A475" s="44"/>
      <c r="F475" s="79"/>
      <c r="G475" s="79"/>
    </row>
    <row r="476" spans="1:28" ht="14.1">
      <c r="A476" s="45" t="s">
        <v>1055</v>
      </c>
      <c r="F476" s="79"/>
      <c r="G476" s="79"/>
    </row>
    <row r="477" spans="1:28">
      <c r="A477" s="458" t="s">
        <v>1225</v>
      </c>
      <c r="C477" s="60" t="s">
        <v>998</v>
      </c>
      <c r="D477" s="60" t="s">
        <v>522</v>
      </c>
      <c r="E477" s="60" t="s">
        <v>1229</v>
      </c>
      <c r="F477" s="76">
        <f>VLOOKUP(C477,'Functional Assignment'!$C$2:$AP$780,'Functional Assignment'!$N$2,)</f>
        <v>4076188.9791705641</v>
      </c>
      <c r="G477" s="76">
        <f t="shared" ref="G477:P479" si="219">IF(VLOOKUP($E477,$D$6:$AN$1150,3,)=0,0,(VLOOKUP($E477,$D$6:$AN$1150,G$2,)/VLOOKUP($E477,$D$6:$AN$1150,3,))*$F477)</f>
        <v>1924348.3999564301</v>
      </c>
      <c r="H477" s="76">
        <f t="shared" si="219"/>
        <v>7046.7387257111577</v>
      </c>
      <c r="I477" s="76">
        <f t="shared" si="219"/>
        <v>470447.69264099398</v>
      </c>
      <c r="J477" s="76">
        <f t="shared" si="219"/>
        <v>30881.662955798096</v>
      </c>
      <c r="K477" s="76">
        <f t="shared" si="219"/>
        <v>523463.21803516208</v>
      </c>
      <c r="L477" s="76">
        <f t="shared" si="219"/>
        <v>438988.88373510551</v>
      </c>
      <c r="M477" s="76">
        <f t="shared" si="219"/>
        <v>415608.14921478071</v>
      </c>
      <c r="N477" s="76">
        <f t="shared" si="219"/>
        <v>216732.34305326946</v>
      </c>
      <c r="O477" s="76">
        <f t="shared" si="219"/>
        <v>13927.371691479022</v>
      </c>
      <c r="P477" s="76">
        <f t="shared" si="219"/>
        <v>33004.118425593988</v>
      </c>
      <c r="Q477" s="76">
        <f t="shared" ref="Q477:Z479" si="220">IF(VLOOKUP($E477,$D$6:$AN$1150,3,)=0,0,(VLOOKUP($E477,$D$6:$AN$1150,Q$2,)/VLOOKUP($E477,$D$6:$AN$1150,3,))*$F477)</f>
        <v>1149.5341180764533</v>
      </c>
      <c r="R477" s="76">
        <f t="shared" si="220"/>
        <v>527.68964819381802</v>
      </c>
      <c r="S477" s="76">
        <f t="shared" si="220"/>
        <v>57.42700245978282</v>
      </c>
      <c r="T477" s="76">
        <f t="shared" si="220"/>
        <v>5.7499675103814862</v>
      </c>
      <c r="U477" s="76">
        <f t="shared" si="220"/>
        <v>0</v>
      </c>
      <c r="V477" s="76">
        <f t="shared" si="220"/>
        <v>0</v>
      </c>
      <c r="W477" s="76">
        <f t="shared" si="220"/>
        <v>0</v>
      </c>
      <c r="X477" s="62">
        <f t="shared" si="220"/>
        <v>0</v>
      </c>
      <c r="Y477" s="62">
        <f t="shared" si="220"/>
        <v>0</v>
      </c>
      <c r="Z477" s="62">
        <f t="shared" si="220"/>
        <v>0</v>
      </c>
      <c r="AA477" s="64">
        <f>SUM(G477:Z477)</f>
        <v>4076188.9791705646</v>
      </c>
      <c r="AB477" s="58" t="str">
        <f>IF(ABS(F477-AA477)&lt;0.01,"ok","err")</f>
        <v>ok</v>
      </c>
    </row>
    <row r="478" spans="1:28" hidden="1">
      <c r="A478" s="458" t="s">
        <v>1226</v>
      </c>
      <c r="C478" s="60" t="s">
        <v>998</v>
      </c>
      <c r="D478" s="60" t="s">
        <v>523</v>
      </c>
      <c r="E478" s="60" t="s">
        <v>1229</v>
      </c>
      <c r="F478" s="79">
        <f>VLOOKUP(C478,'Functional Assignment'!$C$2:$AP$780,'Functional Assignment'!$O$2,)</f>
        <v>0</v>
      </c>
      <c r="G478" s="79">
        <f t="shared" si="219"/>
        <v>0</v>
      </c>
      <c r="H478" s="79">
        <f t="shared" si="219"/>
        <v>0</v>
      </c>
      <c r="I478" s="79">
        <f t="shared" si="219"/>
        <v>0</v>
      </c>
      <c r="J478" s="79">
        <f t="shared" si="219"/>
        <v>0</v>
      </c>
      <c r="K478" s="79">
        <f t="shared" si="219"/>
        <v>0</v>
      </c>
      <c r="L478" s="79">
        <f t="shared" si="219"/>
        <v>0</v>
      </c>
      <c r="M478" s="79">
        <f t="shared" si="219"/>
        <v>0</v>
      </c>
      <c r="N478" s="79">
        <f t="shared" si="219"/>
        <v>0</v>
      </c>
      <c r="O478" s="79">
        <f t="shared" si="219"/>
        <v>0</v>
      </c>
      <c r="P478" s="79">
        <f t="shared" si="219"/>
        <v>0</v>
      </c>
      <c r="Q478" s="79">
        <f t="shared" si="220"/>
        <v>0</v>
      </c>
      <c r="R478" s="79">
        <f t="shared" si="220"/>
        <v>0</v>
      </c>
      <c r="S478" s="79">
        <f t="shared" si="220"/>
        <v>0</v>
      </c>
      <c r="T478" s="79">
        <f t="shared" si="220"/>
        <v>0</v>
      </c>
      <c r="U478" s="79">
        <f t="shared" si="220"/>
        <v>0</v>
      </c>
      <c r="V478" s="79">
        <f t="shared" si="220"/>
        <v>0</v>
      </c>
      <c r="W478" s="79">
        <f t="shared" si="220"/>
        <v>0</v>
      </c>
      <c r="X478" s="63">
        <f t="shared" si="220"/>
        <v>0</v>
      </c>
      <c r="Y478" s="63">
        <f t="shared" si="220"/>
        <v>0</v>
      </c>
      <c r="Z478" s="63">
        <f t="shared" si="220"/>
        <v>0</v>
      </c>
      <c r="AA478" s="63">
        <f>SUM(G478:Z478)</f>
        <v>0</v>
      </c>
      <c r="AB478" s="58" t="str">
        <f>IF(ABS(F478-AA478)&lt;0.01,"ok","err")</f>
        <v>ok</v>
      </c>
    </row>
    <row r="479" spans="1:28" hidden="1">
      <c r="A479" s="458" t="s">
        <v>1226</v>
      </c>
      <c r="C479" s="60" t="s">
        <v>998</v>
      </c>
      <c r="D479" s="60" t="s">
        <v>524</v>
      </c>
      <c r="E479" s="60" t="s">
        <v>1229</v>
      </c>
      <c r="F479" s="79">
        <f>VLOOKUP(C479,'Functional Assignment'!$C$2:$AP$780,'Functional Assignment'!$P$2,)</f>
        <v>0</v>
      </c>
      <c r="G479" s="79">
        <f t="shared" si="219"/>
        <v>0</v>
      </c>
      <c r="H479" s="79">
        <f t="shared" si="219"/>
        <v>0</v>
      </c>
      <c r="I479" s="79">
        <f t="shared" si="219"/>
        <v>0</v>
      </c>
      <c r="J479" s="79">
        <f t="shared" si="219"/>
        <v>0</v>
      </c>
      <c r="K479" s="79">
        <f t="shared" si="219"/>
        <v>0</v>
      </c>
      <c r="L479" s="79">
        <f t="shared" si="219"/>
        <v>0</v>
      </c>
      <c r="M479" s="79">
        <f t="shared" si="219"/>
        <v>0</v>
      </c>
      <c r="N479" s="79">
        <f t="shared" si="219"/>
        <v>0</v>
      </c>
      <c r="O479" s="79">
        <f t="shared" si="219"/>
        <v>0</v>
      </c>
      <c r="P479" s="79">
        <f t="shared" si="219"/>
        <v>0</v>
      </c>
      <c r="Q479" s="79">
        <f t="shared" si="220"/>
        <v>0</v>
      </c>
      <c r="R479" s="79">
        <f t="shared" si="220"/>
        <v>0</v>
      </c>
      <c r="S479" s="79">
        <f t="shared" si="220"/>
        <v>0</v>
      </c>
      <c r="T479" s="79">
        <f t="shared" si="220"/>
        <v>0</v>
      </c>
      <c r="U479" s="79">
        <f t="shared" si="220"/>
        <v>0</v>
      </c>
      <c r="V479" s="79">
        <f t="shared" si="220"/>
        <v>0</v>
      </c>
      <c r="W479" s="79">
        <f t="shared" si="220"/>
        <v>0</v>
      </c>
      <c r="X479" s="63">
        <f t="shared" si="220"/>
        <v>0</v>
      </c>
      <c r="Y479" s="63">
        <f t="shared" si="220"/>
        <v>0</v>
      </c>
      <c r="Z479" s="63">
        <f t="shared" si="220"/>
        <v>0</v>
      </c>
      <c r="AA479" s="63">
        <f>SUM(G479:Z479)</f>
        <v>0</v>
      </c>
      <c r="AB479" s="58" t="str">
        <f>IF(ABS(F479-AA479)&lt;0.01,"ok","err")</f>
        <v>ok</v>
      </c>
    </row>
    <row r="480" spans="1:28" hidden="1">
      <c r="A480" s="44" t="s">
        <v>1057</v>
      </c>
      <c r="D480" s="60" t="s">
        <v>525</v>
      </c>
      <c r="F480" s="76">
        <f>SUM(F477:F479)</f>
        <v>4076188.9791705641</v>
      </c>
      <c r="G480" s="76">
        <f t="shared" ref="G480:W480" si="221">SUM(G477:G479)</f>
        <v>1924348.3999564301</v>
      </c>
      <c r="H480" s="76">
        <f t="shared" si="221"/>
        <v>7046.7387257111577</v>
      </c>
      <c r="I480" s="76">
        <f t="shared" si="221"/>
        <v>470447.69264099398</v>
      </c>
      <c r="J480" s="76">
        <f t="shared" si="221"/>
        <v>30881.662955798096</v>
      </c>
      <c r="K480" s="76">
        <f t="shared" si="221"/>
        <v>523463.21803516208</v>
      </c>
      <c r="L480" s="76">
        <f t="shared" si="221"/>
        <v>438988.88373510551</v>
      </c>
      <c r="M480" s="76">
        <f t="shared" si="221"/>
        <v>415608.14921478071</v>
      </c>
      <c r="N480" s="76">
        <f t="shared" si="221"/>
        <v>216732.34305326946</v>
      </c>
      <c r="O480" s="76">
        <f>SUM(O477:O479)</f>
        <v>13927.371691479022</v>
      </c>
      <c r="P480" s="76">
        <f t="shared" si="221"/>
        <v>33004.118425593988</v>
      </c>
      <c r="Q480" s="76">
        <f t="shared" si="221"/>
        <v>1149.5341180764533</v>
      </c>
      <c r="R480" s="76">
        <f t="shared" si="221"/>
        <v>527.68964819381802</v>
      </c>
      <c r="S480" s="76">
        <f t="shared" si="221"/>
        <v>57.42700245978282</v>
      </c>
      <c r="T480" s="76">
        <f t="shared" si="221"/>
        <v>5.7499675103814862</v>
      </c>
      <c r="U480" s="76">
        <f t="shared" si="221"/>
        <v>0</v>
      </c>
      <c r="V480" s="76">
        <f t="shared" si="221"/>
        <v>0</v>
      </c>
      <c r="W480" s="76">
        <f t="shared" si="221"/>
        <v>0</v>
      </c>
      <c r="X480" s="62">
        <f>SUM(X477:X479)</f>
        <v>0</v>
      </c>
      <c r="Y480" s="62">
        <f>SUM(Y477:Y479)</f>
        <v>0</v>
      </c>
      <c r="Z480" s="62">
        <f>SUM(Z477:Z479)</f>
        <v>0</v>
      </c>
      <c r="AA480" s="64">
        <f>SUM(G480:Z480)</f>
        <v>4076188.9791705646</v>
      </c>
      <c r="AB480" s="58" t="str">
        <f>IF(ABS(F480-AA480)&lt;0.01,"ok","err")</f>
        <v>ok</v>
      </c>
    </row>
    <row r="481" spans="1:28">
      <c r="A481" s="44"/>
      <c r="F481" s="79"/>
      <c r="G481" s="79"/>
    </row>
    <row r="482" spans="1:28" ht="14.1">
      <c r="A482" s="45" t="s">
        <v>337</v>
      </c>
      <c r="F482" s="79"/>
      <c r="G482" s="79"/>
    </row>
    <row r="483" spans="1:28">
      <c r="A483" s="458" t="s">
        <v>359</v>
      </c>
      <c r="C483" s="60" t="s">
        <v>998</v>
      </c>
      <c r="D483" s="60" t="s">
        <v>526</v>
      </c>
      <c r="E483" s="60" t="s">
        <v>1230</v>
      </c>
      <c r="F483" s="76">
        <f>VLOOKUP(C483,'Functional Assignment'!$C$2:$AP$780,'Functional Assignment'!$Q$2,)</f>
        <v>0</v>
      </c>
      <c r="G483" s="76">
        <f t="shared" ref="G483:Z483" si="222">IF(VLOOKUP($E483,$D$6:$AN$1150,3,)=0,0,(VLOOKUP($E483,$D$6:$AN$1150,G$2,)/VLOOKUP($E483,$D$6:$AN$1150,3,))*$F483)</f>
        <v>0</v>
      </c>
      <c r="H483" s="76">
        <f t="shared" si="222"/>
        <v>0</v>
      </c>
      <c r="I483" s="76">
        <f t="shared" si="222"/>
        <v>0</v>
      </c>
      <c r="J483" s="76">
        <f t="shared" si="222"/>
        <v>0</v>
      </c>
      <c r="K483" s="76">
        <f t="shared" si="222"/>
        <v>0</v>
      </c>
      <c r="L483" s="76">
        <f t="shared" si="222"/>
        <v>0</v>
      </c>
      <c r="M483" s="76">
        <f t="shared" si="222"/>
        <v>0</v>
      </c>
      <c r="N483" s="76">
        <f t="shared" si="222"/>
        <v>0</v>
      </c>
      <c r="O483" s="76">
        <f t="shared" si="222"/>
        <v>0</v>
      </c>
      <c r="P483" s="76">
        <f t="shared" si="222"/>
        <v>0</v>
      </c>
      <c r="Q483" s="76">
        <f t="shared" si="222"/>
        <v>0</v>
      </c>
      <c r="R483" s="76">
        <f t="shared" si="222"/>
        <v>0</v>
      </c>
      <c r="S483" s="76">
        <f t="shared" si="222"/>
        <v>0</v>
      </c>
      <c r="T483" s="76">
        <f t="shared" si="222"/>
        <v>0</v>
      </c>
      <c r="U483" s="76">
        <f t="shared" si="222"/>
        <v>0</v>
      </c>
      <c r="V483" s="76">
        <f t="shared" si="222"/>
        <v>0</v>
      </c>
      <c r="W483" s="76">
        <f t="shared" si="222"/>
        <v>0</v>
      </c>
      <c r="X483" s="62">
        <f t="shared" si="222"/>
        <v>0</v>
      </c>
      <c r="Y483" s="62">
        <f t="shared" si="222"/>
        <v>0</v>
      </c>
      <c r="Z483" s="62">
        <f t="shared" si="222"/>
        <v>0</v>
      </c>
      <c r="AA483" s="64">
        <f>SUM(G483:Z483)</f>
        <v>0</v>
      </c>
      <c r="AB483" s="58" t="str">
        <f>IF(ABS(F483-AA483)&lt;0.01,"ok","err")</f>
        <v>ok</v>
      </c>
    </row>
    <row r="484" spans="1:28">
      <c r="A484" s="44"/>
      <c r="F484" s="79"/>
    </row>
    <row r="485" spans="1:28" ht="14.1">
      <c r="A485" s="45" t="s">
        <v>338</v>
      </c>
      <c r="F485" s="79"/>
      <c r="G485" s="79"/>
    </row>
    <row r="486" spans="1:28">
      <c r="A486" s="458" t="s">
        <v>361</v>
      </c>
      <c r="C486" s="60" t="s">
        <v>998</v>
      </c>
      <c r="D486" s="60" t="s">
        <v>527</v>
      </c>
      <c r="E486" s="60" t="s">
        <v>1230</v>
      </c>
      <c r="F486" s="76">
        <f>VLOOKUP(C486,'Functional Assignment'!$C$2:$AP$780,'Functional Assignment'!$R$2,)</f>
        <v>1563612.3741103811</v>
      </c>
      <c r="G486" s="76">
        <f t="shared" ref="G486:Z486" si="223">IF(VLOOKUP($E486,$D$6:$AN$1150,3,)=0,0,(VLOOKUP($E486,$D$6:$AN$1150,G$2,)/VLOOKUP($E486,$D$6:$AN$1150,3,))*$F486)</f>
        <v>779626.57803002221</v>
      </c>
      <c r="H486" s="76">
        <f t="shared" si="223"/>
        <v>2854.9013261435493</v>
      </c>
      <c r="I486" s="76">
        <f t="shared" si="223"/>
        <v>190596.21675790206</v>
      </c>
      <c r="J486" s="76">
        <f t="shared" si="223"/>
        <v>12511.333818060435</v>
      </c>
      <c r="K486" s="76">
        <f t="shared" si="223"/>
        <v>212074.81836998792</v>
      </c>
      <c r="L486" s="76">
        <f t="shared" si="223"/>
        <v>177851.05920911647</v>
      </c>
      <c r="M486" s="76">
        <f t="shared" si="223"/>
        <v>168378.63620799987</v>
      </c>
      <c r="N486" s="76">
        <f t="shared" si="223"/>
        <v>0</v>
      </c>
      <c r="O486" s="76">
        <f t="shared" si="223"/>
        <v>5642.5069041686202</v>
      </c>
      <c r="P486" s="76">
        <f t="shared" si="223"/>
        <v>13371.221089500234</v>
      </c>
      <c r="Q486" s="76">
        <f t="shared" si="223"/>
        <v>465.7199033319518</v>
      </c>
      <c r="R486" s="76">
        <f t="shared" si="223"/>
        <v>213.7871056470477</v>
      </c>
      <c r="S486" s="76">
        <f t="shared" si="223"/>
        <v>23.265858414856602</v>
      </c>
      <c r="T486" s="76">
        <f t="shared" si="223"/>
        <v>2.3295300861341022</v>
      </c>
      <c r="U486" s="76">
        <f t="shared" si="223"/>
        <v>0</v>
      </c>
      <c r="V486" s="76">
        <f t="shared" si="223"/>
        <v>0</v>
      </c>
      <c r="W486" s="76">
        <f t="shared" si="223"/>
        <v>0</v>
      </c>
      <c r="X486" s="62">
        <f t="shared" si="223"/>
        <v>0</v>
      </c>
      <c r="Y486" s="62">
        <f t="shared" si="223"/>
        <v>0</v>
      </c>
      <c r="Z486" s="62">
        <f t="shared" si="223"/>
        <v>0</v>
      </c>
      <c r="AA486" s="64">
        <f>SUM(G486:Z486)</f>
        <v>1563612.3741103814</v>
      </c>
      <c r="AB486" s="58" t="str">
        <f>IF(ABS(F486-AA486)&lt;0.01,"ok","err")</f>
        <v>ok</v>
      </c>
    </row>
    <row r="487" spans="1:28">
      <c r="A487" s="44"/>
      <c r="F487" s="79"/>
    </row>
    <row r="488" spans="1:28" ht="14.1">
      <c r="A488" s="45" t="s">
        <v>360</v>
      </c>
      <c r="F488" s="79"/>
    </row>
    <row r="489" spans="1:28">
      <c r="A489" s="458" t="s">
        <v>603</v>
      </c>
      <c r="C489" s="60" t="s">
        <v>998</v>
      </c>
      <c r="D489" s="60" t="s">
        <v>528</v>
      </c>
      <c r="E489" s="60" t="s">
        <v>1230</v>
      </c>
      <c r="F489" s="76">
        <f>VLOOKUP(C489,'Functional Assignment'!$C$2:$AP$780,'Functional Assignment'!$S$2,)</f>
        <v>0</v>
      </c>
      <c r="G489" s="76">
        <f t="shared" ref="G489:P493" si="224">IF(VLOOKUP($E489,$D$6:$AN$1150,3,)=0,0,(VLOOKUP($E489,$D$6:$AN$1150,G$2,)/VLOOKUP($E489,$D$6:$AN$1150,3,))*$F489)</f>
        <v>0</v>
      </c>
      <c r="H489" s="76">
        <f t="shared" si="224"/>
        <v>0</v>
      </c>
      <c r="I489" s="76">
        <f t="shared" si="224"/>
        <v>0</v>
      </c>
      <c r="J489" s="76">
        <f t="shared" si="224"/>
        <v>0</v>
      </c>
      <c r="K489" s="76">
        <f t="shared" si="224"/>
        <v>0</v>
      </c>
      <c r="L489" s="76">
        <f t="shared" si="224"/>
        <v>0</v>
      </c>
      <c r="M489" s="76">
        <f t="shared" si="224"/>
        <v>0</v>
      </c>
      <c r="N489" s="76">
        <f t="shared" si="224"/>
        <v>0</v>
      </c>
      <c r="O489" s="76">
        <f t="shared" si="224"/>
        <v>0</v>
      </c>
      <c r="P489" s="76">
        <f t="shared" si="224"/>
        <v>0</v>
      </c>
      <c r="Q489" s="76">
        <f t="shared" ref="Q489:Z493" si="225">IF(VLOOKUP($E489,$D$6:$AN$1150,3,)=0,0,(VLOOKUP($E489,$D$6:$AN$1150,Q$2,)/VLOOKUP($E489,$D$6:$AN$1150,3,))*$F489)</f>
        <v>0</v>
      </c>
      <c r="R489" s="76">
        <f t="shared" si="225"/>
        <v>0</v>
      </c>
      <c r="S489" s="76">
        <f t="shared" si="225"/>
        <v>0</v>
      </c>
      <c r="T489" s="76">
        <f t="shared" si="225"/>
        <v>0</v>
      </c>
      <c r="U489" s="76">
        <f t="shared" si="225"/>
        <v>0</v>
      </c>
      <c r="V489" s="76">
        <f t="shared" si="225"/>
        <v>0</v>
      </c>
      <c r="W489" s="76">
        <f t="shared" si="225"/>
        <v>0</v>
      </c>
      <c r="X489" s="62">
        <f t="shared" si="225"/>
        <v>0</v>
      </c>
      <c r="Y489" s="62">
        <f t="shared" si="225"/>
        <v>0</v>
      </c>
      <c r="Z489" s="62">
        <f t="shared" si="225"/>
        <v>0</v>
      </c>
      <c r="AA489" s="64">
        <f t="shared" ref="AA489:AA494" si="226">SUM(G489:Z489)</f>
        <v>0</v>
      </c>
      <c r="AB489" s="58" t="str">
        <f t="shared" ref="AB489:AB494" si="227">IF(ABS(F489-AA489)&lt;0.01,"ok","err")</f>
        <v>ok</v>
      </c>
    </row>
    <row r="490" spans="1:28">
      <c r="A490" s="458" t="s">
        <v>604</v>
      </c>
      <c r="C490" s="60" t="s">
        <v>998</v>
      </c>
      <c r="D490" s="60" t="s">
        <v>529</v>
      </c>
      <c r="E490" s="60" t="s">
        <v>1230</v>
      </c>
      <c r="F490" s="79">
        <f>VLOOKUP(C490,'Functional Assignment'!$C$2:$AP$780,'Functional Assignment'!$T$2,)</f>
        <v>2400424.3789285575</v>
      </c>
      <c r="G490" s="79">
        <f t="shared" si="224"/>
        <v>1196866.100160321</v>
      </c>
      <c r="H490" s="79">
        <f t="shared" si="224"/>
        <v>4382.7836464964348</v>
      </c>
      <c r="I490" s="79">
        <f t="shared" si="224"/>
        <v>292599.24826159148</v>
      </c>
      <c r="J490" s="79">
        <f t="shared" si="224"/>
        <v>19207.132923127836</v>
      </c>
      <c r="K490" s="79">
        <f t="shared" si="224"/>
        <v>325572.73951083981</v>
      </c>
      <c r="L490" s="79">
        <f t="shared" si="224"/>
        <v>273033.15413241403</v>
      </c>
      <c r="M490" s="79">
        <f t="shared" si="224"/>
        <v>258491.29230278978</v>
      </c>
      <c r="N490" s="79">
        <f t="shared" si="224"/>
        <v>0</v>
      </c>
      <c r="O490" s="79">
        <f t="shared" si="224"/>
        <v>8662.2562952951575</v>
      </c>
      <c r="P490" s="79">
        <f t="shared" si="224"/>
        <v>20527.21352857125</v>
      </c>
      <c r="Q490" s="79">
        <f t="shared" si="225"/>
        <v>714.96326597332859</v>
      </c>
      <c r="R490" s="79">
        <f t="shared" si="225"/>
        <v>328.20140643087615</v>
      </c>
      <c r="S490" s="79">
        <f t="shared" si="225"/>
        <v>35.717249786729688</v>
      </c>
      <c r="T490" s="79">
        <f t="shared" si="225"/>
        <v>3.5762449202829671</v>
      </c>
      <c r="U490" s="79">
        <f t="shared" si="225"/>
        <v>0</v>
      </c>
      <c r="V490" s="79">
        <f t="shared" si="225"/>
        <v>0</v>
      </c>
      <c r="W490" s="79">
        <f t="shared" si="225"/>
        <v>0</v>
      </c>
      <c r="X490" s="63">
        <f t="shared" si="225"/>
        <v>0</v>
      </c>
      <c r="Y490" s="63">
        <f t="shared" si="225"/>
        <v>0</v>
      </c>
      <c r="Z490" s="63">
        <f t="shared" si="225"/>
        <v>0</v>
      </c>
      <c r="AA490" s="63">
        <f t="shared" si="226"/>
        <v>2400424.378928558</v>
      </c>
      <c r="AB490" s="58" t="str">
        <f t="shared" si="227"/>
        <v>ok</v>
      </c>
    </row>
    <row r="491" spans="1:28">
      <c r="A491" s="458" t="s">
        <v>605</v>
      </c>
      <c r="C491" s="60" t="s">
        <v>998</v>
      </c>
      <c r="D491" s="60" t="s">
        <v>530</v>
      </c>
      <c r="E491" s="60" t="s">
        <v>658</v>
      </c>
      <c r="F491" s="79">
        <f>VLOOKUP(C491,'Functional Assignment'!$C$2:$AP$780,'Functional Assignment'!$U$2,)</f>
        <v>3928123.6616180972</v>
      </c>
      <c r="G491" s="79">
        <f t="shared" si="224"/>
        <v>3388134.7294637235</v>
      </c>
      <c r="H491" s="79">
        <f t="shared" si="224"/>
        <v>8363.0928577920404</v>
      </c>
      <c r="I491" s="79">
        <f t="shared" si="224"/>
        <v>408006.70354547293</v>
      </c>
      <c r="J491" s="79">
        <f t="shared" si="224"/>
        <v>629.64936815858334</v>
      </c>
      <c r="K491" s="79">
        <f t="shared" si="224"/>
        <v>25027.638241395434</v>
      </c>
      <c r="L491" s="79">
        <f t="shared" si="224"/>
        <v>1183.691524516363</v>
      </c>
      <c r="M491" s="79">
        <f t="shared" si="224"/>
        <v>4542.5197293372676</v>
      </c>
      <c r="N491" s="79">
        <f t="shared" si="224"/>
        <v>0</v>
      </c>
      <c r="O491" s="79">
        <f t="shared" si="224"/>
        <v>17.989981947388095</v>
      </c>
      <c r="P491" s="79">
        <f t="shared" si="224"/>
        <v>90958.348169435732</v>
      </c>
      <c r="Q491" s="79">
        <f t="shared" si="225"/>
        <v>160.9103940849713</v>
      </c>
      <c r="R491" s="79">
        <f t="shared" si="225"/>
        <v>999.44344152156077</v>
      </c>
      <c r="S491" s="79">
        <f t="shared" si="225"/>
        <v>8.9949909736940477</v>
      </c>
      <c r="T491" s="79">
        <f t="shared" si="225"/>
        <v>89.949909736940484</v>
      </c>
      <c r="U491" s="79">
        <f t="shared" si="225"/>
        <v>0</v>
      </c>
      <c r="V491" s="79">
        <f t="shared" si="225"/>
        <v>0</v>
      </c>
      <c r="W491" s="79">
        <f t="shared" si="225"/>
        <v>0</v>
      </c>
      <c r="X491" s="63">
        <f t="shared" si="225"/>
        <v>0</v>
      </c>
      <c r="Y491" s="63">
        <f t="shared" si="225"/>
        <v>0</v>
      </c>
      <c r="Z491" s="63">
        <f t="shared" si="225"/>
        <v>0</v>
      </c>
      <c r="AA491" s="63">
        <f t="shared" si="226"/>
        <v>3928123.6616180963</v>
      </c>
      <c r="AB491" s="58" t="str">
        <f t="shared" si="227"/>
        <v>ok</v>
      </c>
    </row>
    <row r="492" spans="1:28">
      <c r="A492" s="458" t="s">
        <v>606</v>
      </c>
      <c r="C492" s="60" t="s">
        <v>998</v>
      </c>
      <c r="D492" s="60" t="s">
        <v>531</v>
      </c>
      <c r="E492" s="60" t="s">
        <v>646</v>
      </c>
      <c r="F492" s="79">
        <f>VLOOKUP(C492,'Functional Assignment'!$C$2:$AP$780,'Functional Assignment'!$V$2,)</f>
        <v>669740.30657974328</v>
      </c>
      <c r="G492" s="79">
        <f t="shared" si="224"/>
        <v>506764.35395148018</v>
      </c>
      <c r="H492" s="79">
        <f t="shared" si="224"/>
        <v>1052.8382153182051</v>
      </c>
      <c r="I492" s="79">
        <f t="shared" si="224"/>
        <v>81057.568896355864</v>
      </c>
      <c r="J492" s="79">
        <f t="shared" si="224"/>
        <v>0</v>
      </c>
      <c r="K492" s="79">
        <f t="shared" si="224"/>
        <v>76772.823628821425</v>
      </c>
      <c r="L492" s="79">
        <f t="shared" si="224"/>
        <v>0</v>
      </c>
      <c r="M492" s="79">
        <f t="shared" si="224"/>
        <v>0</v>
      </c>
      <c r="N492" s="79">
        <f t="shared" si="224"/>
        <v>0</v>
      </c>
      <c r="O492" s="79">
        <f t="shared" si="224"/>
        <v>0</v>
      </c>
      <c r="P492" s="79">
        <f t="shared" si="224"/>
        <v>3887.7118211864713</v>
      </c>
      <c r="Q492" s="79">
        <f t="shared" si="225"/>
        <v>135.40908204466183</v>
      </c>
      <c r="R492" s="79">
        <f t="shared" si="225"/>
        <v>62.159069263608558</v>
      </c>
      <c r="S492" s="79">
        <f t="shared" si="225"/>
        <v>6.7645992975552147</v>
      </c>
      <c r="T492" s="79">
        <f t="shared" si="225"/>
        <v>0.67731597533636978</v>
      </c>
      <c r="U492" s="79">
        <f t="shared" si="225"/>
        <v>0</v>
      </c>
      <c r="V492" s="79">
        <f t="shared" si="225"/>
        <v>0</v>
      </c>
      <c r="W492" s="79">
        <f t="shared" si="225"/>
        <v>0</v>
      </c>
      <c r="X492" s="63">
        <f t="shared" si="225"/>
        <v>0</v>
      </c>
      <c r="Y492" s="63">
        <f t="shared" si="225"/>
        <v>0</v>
      </c>
      <c r="Z492" s="63">
        <f t="shared" si="225"/>
        <v>0</v>
      </c>
      <c r="AA492" s="63">
        <f t="shared" si="226"/>
        <v>669740.30657974328</v>
      </c>
      <c r="AB492" s="58" t="str">
        <f t="shared" si="227"/>
        <v>ok</v>
      </c>
    </row>
    <row r="493" spans="1:28">
      <c r="A493" s="458" t="s">
        <v>607</v>
      </c>
      <c r="C493" s="60" t="s">
        <v>998</v>
      </c>
      <c r="D493" s="60" t="s">
        <v>532</v>
      </c>
      <c r="E493" s="60" t="s">
        <v>657</v>
      </c>
      <c r="F493" s="79">
        <f>VLOOKUP(C493,'Functional Assignment'!$C$2:$AP$780,'Functional Assignment'!$W$2,)</f>
        <v>1144422.2507474481</v>
      </c>
      <c r="G493" s="79">
        <f t="shared" si="224"/>
        <v>995058.29554941494</v>
      </c>
      <c r="H493" s="79">
        <f t="shared" si="224"/>
        <v>2456.1493532794689</v>
      </c>
      <c r="I493" s="79">
        <f t="shared" si="224"/>
        <v>119827.12832289116</v>
      </c>
      <c r="J493" s="79">
        <f t="shared" si="224"/>
        <v>0</v>
      </c>
      <c r="K493" s="79">
        <f t="shared" si="224"/>
        <v>0</v>
      </c>
      <c r="L493" s="79">
        <f t="shared" si="224"/>
        <v>0</v>
      </c>
      <c r="M493" s="79">
        <f t="shared" si="224"/>
        <v>0</v>
      </c>
      <c r="N493" s="79">
        <f t="shared" si="224"/>
        <v>0</v>
      </c>
      <c r="O493" s="79">
        <f t="shared" si="224"/>
        <v>0</v>
      </c>
      <c r="P493" s="79">
        <f t="shared" si="224"/>
        <v>26713.476919436078</v>
      </c>
      <c r="Q493" s="79">
        <f t="shared" si="225"/>
        <v>47.257631487316729</v>
      </c>
      <c r="R493" s="79">
        <f t="shared" si="225"/>
        <v>293.52566141190511</v>
      </c>
      <c r="S493" s="79">
        <f t="shared" si="225"/>
        <v>0</v>
      </c>
      <c r="T493" s="79">
        <f t="shared" si="225"/>
        <v>26.417309527071463</v>
      </c>
      <c r="U493" s="79">
        <f t="shared" si="225"/>
        <v>0</v>
      </c>
      <c r="V493" s="79">
        <f t="shared" si="225"/>
        <v>0</v>
      </c>
      <c r="W493" s="79">
        <f t="shared" si="225"/>
        <v>0</v>
      </c>
      <c r="X493" s="63">
        <f t="shared" si="225"/>
        <v>0</v>
      </c>
      <c r="Y493" s="63">
        <f t="shared" si="225"/>
        <v>0</v>
      </c>
      <c r="Z493" s="63">
        <f t="shared" si="225"/>
        <v>0</v>
      </c>
      <c r="AA493" s="63">
        <f t="shared" si="226"/>
        <v>1144422.2507474478</v>
      </c>
      <c r="AB493" s="58" t="str">
        <f t="shared" si="227"/>
        <v>ok</v>
      </c>
    </row>
    <row r="494" spans="1:28">
      <c r="A494" s="44" t="s">
        <v>365</v>
      </c>
      <c r="D494" s="60" t="s">
        <v>533</v>
      </c>
      <c r="F494" s="76">
        <f>SUM(F489:F493)</f>
        <v>8142710.5978738461</v>
      </c>
      <c r="G494" s="76">
        <f t="shared" ref="G494:W494" si="228">SUM(G489:G493)</f>
        <v>6086823.47912494</v>
      </c>
      <c r="H494" s="76">
        <f t="shared" si="228"/>
        <v>16254.864072886148</v>
      </c>
      <c r="I494" s="76">
        <f t="shared" si="228"/>
        <v>901490.64902631147</v>
      </c>
      <c r="J494" s="76">
        <f t="shared" si="228"/>
        <v>19836.782291286418</v>
      </c>
      <c r="K494" s="76">
        <f t="shared" si="228"/>
        <v>427373.20138105663</v>
      </c>
      <c r="L494" s="76">
        <f t="shared" si="228"/>
        <v>274216.84565693041</v>
      </c>
      <c r="M494" s="76">
        <f t="shared" si="228"/>
        <v>263033.81203212705</v>
      </c>
      <c r="N494" s="76">
        <f t="shared" si="228"/>
        <v>0</v>
      </c>
      <c r="O494" s="76">
        <f>SUM(O489:O493)</f>
        <v>8680.2462772425461</v>
      </c>
      <c r="P494" s="76">
        <f t="shared" si="228"/>
        <v>142086.75043862953</v>
      </c>
      <c r="Q494" s="76">
        <f t="shared" si="228"/>
        <v>1058.5403735902785</v>
      </c>
      <c r="R494" s="76">
        <f t="shared" si="228"/>
        <v>1683.3295786279507</v>
      </c>
      <c r="S494" s="76">
        <f t="shared" si="228"/>
        <v>51.476840057978954</v>
      </c>
      <c r="T494" s="76">
        <f t="shared" si="228"/>
        <v>120.62078015963129</v>
      </c>
      <c r="U494" s="76">
        <f t="shared" si="228"/>
        <v>0</v>
      </c>
      <c r="V494" s="76">
        <f t="shared" si="228"/>
        <v>0</v>
      </c>
      <c r="W494" s="76">
        <f t="shared" si="228"/>
        <v>0</v>
      </c>
      <c r="X494" s="62">
        <f>SUM(X489:X493)</f>
        <v>0</v>
      </c>
      <c r="Y494" s="62">
        <f>SUM(Y489:Y493)</f>
        <v>0</v>
      </c>
      <c r="Z494" s="62">
        <f>SUM(Z489:Z493)</f>
        <v>0</v>
      </c>
      <c r="AA494" s="64">
        <f t="shared" si="226"/>
        <v>8142710.597873847</v>
      </c>
      <c r="AB494" s="58" t="str">
        <f t="shared" si="227"/>
        <v>ok</v>
      </c>
    </row>
    <row r="495" spans="1:28">
      <c r="A495" s="44"/>
      <c r="F495" s="79"/>
    </row>
    <row r="496" spans="1:28" ht="14.1">
      <c r="A496" s="45" t="s">
        <v>613</v>
      </c>
      <c r="F496" s="79"/>
    </row>
    <row r="497" spans="1:28">
      <c r="A497" s="458" t="s">
        <v>1014</v>
      </c>
      <c r="C497" s="60" t="s">
        <v>998</v>
      </c>
      <c r="D497" s="60" t="s">
        <v>534</v>
      </c>
      <c r="E497" s="60" t="s">
        <v>1207</v>
      </c>
      <c r="F497" s="76">
        <f>VLOOKUP(C497,'Functional Assignment'!$C$2:$AP$780,'Functional Assignment'!$X$2,)</f>
        <v>820469.59697328508</v>
      </c>
      <c r="G497" s="76">
        <f t="shared" ref="G497:P498" si="229">IF(VLOOKUP($E497,$D$6:$AN$1150,3,)=0,0,(VLOOKUP($E497,$D$6:$AN$1150,G$2,)/VLOOKUP($E497,$D$6:$AN$1150,3,))*$F497)</f>
        <v>566633.29953992087</v>
      </c>
      <c r="H497" s="76">
        <f t="shared" si="229"/>
        <v>1177.2201165605165</v>
      </c>
      <c r="I497" s="76">
        <f t="shared" si="229"/>
        <v>90633.678865313646</v>
      </c>
      <c r="J497" s="76">
        <f t="shared" si="229"/>
        <v>0</v>
      </c>
      <c r="K497" s="76">
        <f t="shared" si="229"/>
        <v>85842.73544220232</v>
      </c>
      <c r="L497" s="76">
        <f t="shared" si="229"/>
        <v>0</v>
      </c>
      <c r="M497" s="76">
        <f t="shared" si="229"/>
        <v>71606.428534068269</v>
      </c>
      <c r="N497" s="76">
        <f t="shared" si="229"/>
        <v>0</v>
      </c>
      <c r="O497" s="76">
        <f t="shared" si="229"/>
        <v>0</v>
      </c>
      <c r="P497" s="76">
        <f t="shared" si="229"/>
        <v>4347.0045983347936</v>
      </c>
      <c r="Q497" s="76">
        <f t="shared" ref="Q497:Z498" si="230">IF(VLOOKUP($E497,$D$6:$AN$1150,3,)=0,0,(VLOOKUP($E497,$D$6:$AN$1150,Q$2,)/VLOOKUP($E497,$D$6:$AN$1150,3,))*$F497)</f>
        <v>151.4062588427141</v>
      </c>
      <c r="R497" s="76">
        <f t="shared" si="230"/>
        <v>69.502517764975337</v>
      </c>
      <c r="S497" s="76">
        <f t="shared" si="230"/>
        <v>7.5637664530882436</v>
      </c>
      <c r="T497" s="76">
        <f t="shared" si="230"/>
        <v>0.75733382378487624</v>
      </c>
      <c r="U497" s="76">
        <f t="shared" si="230"/>
        <v>0</v>
      </c>
      <c r="V497" s="76">
        <f t="shared" si="230"/>
        <v>0</v>
      </c>
      <c r="W497" s="76">
        <f t="shared" si="230"/>
        <v>0</v>
      </c>
      <c r="X497" s="62">
        <f t="shared" si="230"/>
        <v>0</v>
      </c>
      <c r="Y497" s="62">
        <f t="shared" si="230"/>
        <v>0</v>
      </c>
      <c r="Z497" s="62">
        <f t="shared" si="230"/>
        <v>0</v>
      </c>
      <c r="AA497" s="64">
        <f>SUM(G497:Z497)</f>
        <v>820469.59697328485</v>
      </c>
      <c r="AB497" s="58" t="str">
        <f>IF(ABS(F497-AA497)&lt;0.01,"ok","err")</f>
        <v>ok</v>
      </c>
    </row>
    <row r="498" spans="1:28">
      <c r="A498" s="458" t="s">
        <v>1017</v>
      </c>
      <c r="C498" s="60" t="s">
        <v>998</v>
      </c>
      <c r="D498" s="60" t="s">
        <v>535</v>
      </c>
      <c r="E498" s="60" t="s">
        <v>1205</v>
      </c>
      <c r="F498" s="79">
        <f>VLOOKUP(C498,'Functional Assignment'!$C$2:$AP$780,'Functional Assignment'!$Y$2,)</f>
        <v>457336.24001704424</v>
      </c>
      <c r="G498" s="79">
        <f t="shared" si="229"/>
        <v>394651.40833023284</v>
      </c>
      <c r="H498" s="79">
        <f t="shared" si="229"/>
        <v>974.13669699213733</v>
      </c>
      <c r="I498" s="79">
        <f t="shared" si="229"/>
        <v>47524.79845684387</v>
      </c>
      <c r="J498" s="79">
        <f t="shared" si="229"/>
        <v>0</v>
      </c>
      <c r="K498" s="79">
        <f t="shared" si="229"/>
        <v>2915.2301982718582</v>
      </c>
      <c r="L498" s="79">
        <f t="shared" si="229"/>
        <v>0</v>
      </c>
      <c r="M498" s="79">
        <f t="shared" si="229"/>
        <v>529.11467568309263</v>
      </c>
      <c r="N498" s="79">
        <f t="shared" si="229"/>
        <v>0</v>
      </c>
      <c r="O498" s="79">
        <f t="shared" si="229"/>
        <v>0</v>
      </c>
      <c r="P498" s="79">
        <f t="shared" si="229"/>
        <v>10594.867993971789</v>
      </c>
      <c r="Q498" s="79">
        <f t="shared" si="230"/>
        <v>18.742912756204969</v>
      </c>
      <c r="R498" s="79">
        <f t="shared" si="230"/>
        <v>116.41560718139732</v>
      </c>
      <c r="S498" s="79">
        <f t="shared" si="230"/>
        <v>1.0477404646325759</v>
      </c>
      <c r="T498" s="79">
        <f t="shared" si="230"/>
        <v>10.477404646325759</v>
      </c>
      <c r="U498" s="79">
        <f t="shared" si="230"/>
        <v>0</v>
      </c>
      <c r="V498" s="79">
        <f t="shared" si="230"/>
        <v>0</v>
      </c>
      <c r="W498" s="79">
        <f t="shared" si="230"/>
        <v>0</v>
      </c>
      <c r="X498" s="63">
        <f t="shared" si="230"/>
        <v>0</v>
      </c>
      <c r="Y498" s="63">
        <f t="shared" si="230"/>
        <v>0</v>
      </c>
      <c r="Z498" s="63">
        <f t="shared" si="230"/>
        <v>0</v>
      </c>
      <c r="AA498" s="63">
        <f>SUM(G498:Z498)</f>
        <v>457336.24001704418</v>
      </c>
      <c r="AB498" s="58" t="str">
        <f>IF(ABS(F498-AA498)&lt;0.01,"ok","err")</f>
        <v>ok</v>
      </c>
    </row>
    <row r="499" spans="1:28">
      <c r="A499" s="44" t="s">
        <v>672</v>
      </c>
      <c r="D499" s="60" t="s">
        <v>536</v>
      </c>
      <c r="F499" s="76">
        <f>F497+F498</f>
        <v>1277805.8369903294</v>
      </c>
      <c r="G499" s="76">
        <f t="shared" ref="G499:W499" si="231">G497+G498</f>
        <v>961284.70787015371</v>
      </c>
      <c r="H499" s="76">
        <f t="shared" si="231"/>
        <v>2151.3568135526539</v>
      </c>
      <c r="I499" s="76">
        <f t="shared" si="231"/>
        <v>138158.47732215753</v>
      </c>
      <c r="J499" s="76">
        <f t="shared" si="231"/>
        <v>0</v>
      </c>
      <c r="K499" s="76">
        <f t="shared" si="231"/>
        <v>88757.965640474184</v>
      </c>
      <c r="L499" s="76">
        <f t="shared" si="231"/>
        <v>0</v>
      </c>
      <c r="M499" s="76">
        <f t="shared" si="231"/>
        <v>72135.543209751355</v>
      </c>
      <c r="N499" s="76">
        <f t="shared" si="231"/>
        <v>0</v>
      </c>
      <c r="O499" s="76">
        <f>O497+O498</f>
        <v>0</v>
      </c>
      <c r="P499" s="76">
        <f t="shared" si="231"/>
        <v>14941.872592306583</v>
      </c>
      <c r="Q499" s="76">
        <f t="shared" si="231"/>
        <v>170.14917159891905</v>
      </c>
      <c r="R499" s="76">
        <f t="shared" si="231"/>
        <v>185.91812494637264</v>
      </c>
      <c r="S499" s="76">
        <f t="shared" si="231"/>
        <v>8.6115069177208188</v>
      </c>
      <c r="T499" s="76">
        <f t="shared" si="231"/>
        <v>11.234738470110635</v>
      </c>
      <c r="U499" s="76">
        <f t="shared" si="231"/>
        <v>0</v>
      </c>
      <c r="V499" s="76">
        <f t="shared" si="231"/>
        <v>0</v>
      </c>
      <c r="W499" s="76">
        <f t="shared" si="231"/>
        <v>0</v>
      </c>
      <c r="X499" s="62">
        <f>X497+X498</f>
        <v>0</v>
      </c>
      <c r="Y499" s="62">
        <f>Y497+Y498</f>
        <v>0</v>
      </c>
      <c r="Z499" s="62">
        <f>Z497+Z498</f>
        <v>0</v>
      </c>
      <c r="AA499" s="64">
        <f>SUM(G499:Z499)</f>
        <v>1277805.8369903292</v>
      </c>
      <c r="AB499" s="58" t="str">
        <f>IF(ABS(F499-AA499)&lt;0.01,"ok","err")</f>
        <v>ok</v>
      </c>
    </row>
    <row r="500" spans="1:28">
      <c r="A500" s="44"/>
      <c r="F500" s="79"/>
    </row>
    <row r="501" spans="1:28" ht="14.1">
      <c r="A501" s="45" t="s">
        <v>343</v>
      </c>
      <c r="F501" s="79"/>
    </row>
    <row r="502" spans="1:28">
      <c r="A502" s="458" t="s">
        <v>1017</v>
      </c>
      <c r="C502" s="60" t="s">
        <v>998</v>
      </c>
      <c r="D502" s="60" t="s">
        <v>537</v>
      </c>
      <c r="E502" s="60" t="s">
        <v>1019</v>
      </c>
      <c r="F502" s="76">
        <f>VLOOKUP(C502,'Functional Assignment'!$C$2:$AP$780,'Functional Assignment'!$Z$2,)</f>
        <v>292407.51605855033</v>
      </c>
      <c r="G502" s="76">
        <f t="shared" ref="G502:Z502" si="232">IF(VLOOKUP($E502,$D$6:$AN$1150,3,)=0,0,(VLOOKUP($E502,$D$6:$AN$1150,G$2,)/VLOOKUP($E502,$D$6:$AN$1150,3,))*$F502)</f>
        <v>251236.80486218922</v>
      </c>
      <c r="H502" s="76">
        <f t="shared" si="232"/>
        <v>620.13966271348181</v>
      </c>
      <c r="I502" s="76">
        <f t="shared" si="232"/>
        <v>35870.507913368412</v>
      </c>
      <c r="J502" s="76">
        <f t="shared" si="232"/>
        <v>0</v>
      </c>
      <c r="K502" s="76">
        <f t="shared" si="232"/>
        <v>3689.5987808474079</v>
      </c>
      <c r="L502" s="76">
        <f t="shared" si="232"/>
        <v>0</v>
      </c>
      <c r="M502" s="76">
        <f t="shared" si="232"/>
        <v>989.13878911051768</v>
      </c>
      <c r="N502" s="76">
        <f t="shared" si="232"/>
        <v>0</v>
      </c>
      <c r="O502" s="76">
        <f t="shared" si="232"/>
        <v>0</v>
      </c>
      <c r="P502" s="76">
        <f t="shared" si="232"/>
        <v>0</v>
      </c>
      <c r="Q502" s="76">
        <f t="shared" si="232"/>
        <v>0</v>
      </c>
      <c r="R502" s="76">
        <f t="shared" si="232"/>
        <v>0</v>
      </c>
      <c r="S502" s="76">
        <f t="shared" si="232"/>
        <v>1.3260503212557453</v>
      </c>
      <c r="T502" s="76">
        <f t="shared" si="232"/>
        <v>0</v>
      </c>
      <c r="U502" s="76">
        <f t="shared" si="232"/>
        <v>0</v>
      </c>
      <c r="V502" s="76">
        <f t="shared" si="232"/>
        <v>0</v>
      </c>
      <c r="W502" s="76">
        <f t="shared" si="232"/>
        <v>0</v>
      </c>
      <c r="X502" s="62">
        <f t="shared" si="232"/>
        <v>0</v>
      </c>
      <c r="Y502" s="62">
        <f t="shared" si="232"/>
        <v>0</v>
      </c>
      <c r="Z502" s="62">
        <f t="shared" si="232"/>
        <v>0</v>
      </c>
      <c r="AA502" s="64">
        <f>SUM(G502:Z502)</f>
        <v>292407.51605855033</v>
      </c>
      <c r="AB502" s="58" t="str">
        <f>IF(ABS(F502-AA502)&lt;0.01,"ok","err")</f>
        <v>ok</v>
      </c>
    </row>
    <row r="503" spans="1:28">
      <c r="A503" s="44"/>
      <c r="F503" s="79"/>
    </row>
    <row r="504" spans="1:28" ht="14.1">
      <c r="A504" s="45" t="s">
        <v>342</v>
      </c>
      <c r="F504" s="79"/>
    </row>
    <row r="505" spans="1:28">
      <c r="A505" s="458" t="s">
        <v>1017</v>
      </c>
      <c r="C505" s="60" t="s">
        <v>998</v>
      </c>
      <c r="D505" s="60" t="s">
        <v>538</v>
      </c>
      <c r="E505" s="60" t="s">
        <v>1316</v>
      </c>
      <c r="F505" s="76">
        <f>VLOOKUP(C505,'Functional Assignment'!$C$2:$AP$780,'Functional Assignment'!$AA$2,)</f>
        <v>298205.21889810968</v>
      </c>
      <c r="G505" s="76">
        <f t="shared" ref="G505:Z505" si="233">IF(VLOOKUP($E505,$D$6:$AN$1150,3,)=0,0,(VLOOKUP($E505,$D$6:$AN$1150,G$2,)/VLOOKUP($E505,$D$6:$AN$1150,3,))*$F505)</f>
        <v>201501.31133151552</v>
      </c>
      <c r="H505" s="76">
        <f t="shared" si="233"/>
        <v>497.37519673518386</v>
      </c>
      <c r="I505" s="76">
        <f t="shared" si="233"/>
        <v>62761.759334219118</v>
      </c>
      <c r="J505" s="76">
        <f t="shared" si="233"/>
        <v>2051.4457332756024</v>
      </c>
      <c r="K505" s="76">
        <f t="shared" si="233"/>
        <v>17551.171822355442</v>
      </c>
      <c r="L505" s="76">
        <f t="shared" si="233"/>
        <v>4097.5513422750273</v>
      </c>
      <c r="M505" s="76">
        <f t="shared" si="233"/>
        <v>3469.7579900663882</v>
      </c>
      <c r="N505" s="76">
        <f t="shared" si="233"/>
        <v>2895.7166065678412</v>
      </c>
      <c r="O505" s="76">
        <f t="shared" si="233"/>
        <v>62.275409723950077</v>
      </c>
      <c r="P505" s="76">
        <f t="shared" si="233"/>
        <v>0</v>
      </c>
      <c r="Q505" s="76">
        <f t="shared" si="233"/>
        <v>86.127891018407738</v>
      </c>
      <c r="R505" s="76">
        <f t="shared" si="233"/>
        <v>534.95584483483071</v>
      </c>
      <c r="S505" s="76">
        <f t="shared" si="233"/>
        <v>6.3079316792553337</v>
      </c>
      <c r="T505" s="76">
        <f t="shared" si="233"/>
        <v>2689.4624638430373</v>
      </c>
      <c r="U505" s="76">
        <f t="shared" si="233"/>
        <v>0</v>
      </c>
      <c r="V505" s="76">
        <f t="shared" si="233"/>
        <v>0</v>
      </c>
      <c r="W505" s="76">
        <f t="shared" si="233"/>
        <v>0</v>
      </c>
      <c r="X505" s="62">
        <f t="shared" si="233"/>
        <v>0</v>
      </c>
      <c r="Y505" s="62">
        <f t="shared" si="233"/>
        <v>0</v>
      </c>
      <c r="Z505" s="62">
        <f t="shared" si="233"/>
        <v>0</v>
      </c>
      <c r="AA505" s="64">
        <f>SUM(G505:Z505)</f>
        <v>298205.21889810957</v>
      </c>
      <c r="AB505" s="58" t="str">
        <f>IF(ABS(F505-AA505)&lt;0.01,"ok","err")</f>
        <v>ok</v>
      </c>
    </row>
    <row r="506" spans="1:28">
      <c r="A506" s="44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62"/>
      <c r="Y506" s="62"/>
      <c r="Z506" s="62"/>
      <c r="AA506" s="64"/>
    </row>
    <row r="507" spans="1:28" ht="14.1">
      <c r="A507" s="45" t="s">
        <v>358</v>
      </c>
      <c r="F507" s="79"/>
    </row>
    <row r="508" spans="1:28">
      <c r="A508" s="458" t="s">
        <v>1017</v>
      </c>
      <c r="C508" s="60" t="s">
        <v>998</v>
      </c>
      <c r="D508" s="60" t="s">
        <v>539</v>
      </c>
      <c r="E508" s="60" t="s">
        <v>1021</v>
      </c>
      <c r="F508" s="76">
        <f>VLOOKUP(C508,'Functional Assignment'!$C$2:$AP$780,'Functional Assignment'!$AB$2,)</f>
        <v>964080.7074885543</v>
      </c>
      <c r="G508" s="76">
        <f t="shared" ref="G508:Z508" si="234">IF(VLOOKUP($E508,$D$6:$AN$1150,3,)=0,0,(VLOOKUP($E508,$D$6:$AN$1150,G$2,)/VLOOKUP($E508,$D$6:$AN$1150,3,))*$F508)</f>
        <v>0</v>
      </c>
      <c r="H508" s="76">
        <f t="shared" si="234"/>
        <v>0</v>
      </c>
      <c r="I508" s="76">
        <f t="shared" si="234"/>
        <v>0</v>
      </c>
      <c r="J508" s="76">
        <f t="shared" si="234"/>
        <v>0</v>
      </c>
      <c r="K508" s="76">
        <f t="shared" si="234"/>
        <v>0</v>
      </c>
      <c r="L508" s="76">
        <f t="shared" si="234"/>
        <v>0</v>
      </c>
      <c r="M508" s="76">
        <f t="shared" si="234"/>
        <v>0</v>
      </c>
      <c r="N508" s="76">
        <f t="shared" si="234"/>
        <v>0</v>
      </c>
      <c r="O508" s="76">
        <f t="shared" si="234"/>
        <v>0</v>
      </c>
      <c r="P508" s="76">
        <f t="shared" si="234"/>
        <v>964080.7074885543</v>
      </c>
      <c r="Q508" s="76">
        <f t="shared" si="234"/>
        <v>0</v>
      </c>
      <c r="R508" s="76">
        <f t="shared" si="234"/>
        <v>0</v>
      </c>
      <c r="S508" s="76">
        <f t="shared" si="234"/>
        <v>0</v>
      </c>
      <c r="T508" s="76">
        <f t="shared" si="234"/>
        <v>0</v>
      </c>
      <c r="U508" s="76">
        <f t="shared" si="234"/>
        <v>0</v>
      </c>
      <c r="V508" s="76">
        <f t="shared" si="234"/>
        <v>0</v>
      </c>
      <c r="W508" s="76">
        <f t="shared" si="234"/>
        <v>0</v>
      </c>
      <c r="X508" s="62">
        <f t="shared" si="234"/>
        <v>0</v>
      </c>
      <c r="Y508" s="62">
        <f t="shared" si="234"/>
        <v>0</v>
      </c>
      <c r="Z508" s="62">
        <f t="shared" si="234"/>
        <v>0</v>
      </c>
      <c r="AA508" s="64">
        <f>SUM(G508:Z508)</f>
        <v>964080.7074885543</v>
      </c>
      <c r="AB508" s="58" t="str">
        <f>IF(ABS(F508-AA508)&lt;0.01,"ok","err")</f>
        <v>ok</v>
      </c>
    </row>
    <row r="509" spans="1:28">
      <c r="A509" s="44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62"/>
      <c r="Y509" s="62"/>
      <c r="Z509" s="62"/>
      <c r="AA509" s="64"/>
    </row>
    <row r="510" spans="1:28" ht="14.1">
      <c r="A510" s="45" t="s">
        <v>949</v>
      </c>
      <c r="F510" s="79"/>
    </row>
    <row r="511" spans="1:28">
      <c r="A511" s="458" t="s">
        <v>1017</v>
      </c>
      <c r="C511" s="60" t="s">
        <v>998</v>
      </c>
      <c r="D511" s="60" t="s">
        <v>540</v>
      </c>
      <c r="E511" s="60" t="s">
        <v>1022</v>
      </c>
      <c r="F511" s="76">
        <f>VLOOKUP(C511,'Functional Assignment'!$C$2:$AP$780,'Functional Assignment'!$AC$2,)</f>
        <v>0</v>
      </c>
      <c r="G511" s="76">
        <f t="shared" ref="G511:Z511" si="235">IF(VLOOKUP($E511,$D$6:$AN$1150,3,)=0,0,(VLOOKUP($E511,$D$6:$AN$1150,G$2,)/VLOOKUP($E511,$D$6:$AN$1150,3,))*$F511)</f>
        <v>0</v>
      </c>
      <c r="H511" s="76">
        <f t="shared" si="235"/>
        <v>0</v>
      </c>
      <c r="I511" s="76">
        <f t="shared" si="235"/>
        <v>0</v>
      </c>
      <c r="J511" s="76">
        <f t="shared" si="235"/>
        <v>0</v>
      </c>
      <c r="K511" s="76">
        <f t="shared" si="235"/>
        <v>0</v>
      </c>
      <c r="L511" s="76">
        <f t="shared" si="235"/>
        <v>0</v>
      </c>
      <c r="M511" s="76">
        <f t="shared" si="235"/>
        <v>0</v>
      </c>
      <c r="N511" s="76">
        <f t="shared" si="235"/>
        <v>0</v>
      </c>
      <c r="O511" s="76">
        <f t="shared" si="235"/>
        <v>0</v>
      </c>
      <c r="P511" s="76">
        <f t="shared" si="235"/>
        <v>0</v>
      </c>
      <c r="Q511" s="76">
        <f t="shared" si="235"/>
        <v>0</v>
      </c>
      <c r="R511" s="76">
        <f t="shared" si="235"/>
        <v>0</v>
      </c>
      <c r="S511" s="76">
        <f t="shared" si="235"/>
        <v>0</v>
      </c>
      <c r="T511" s="76">
        <f t="shared" si="235"/>
        <v>0</v>
      </c>
      <c r="U511" s="76">
        <f t="shared" si="235"/>
        <v>0</v>
      </c>
      <c r="V511" s="76">
        <f t="shared" si="235"/>
        <v>0</v>
      </c>
      <c r="W511" s="76">
        <f t="shared" si="235"/>
        <v>0</v>
      </c>
      <c r="X511" s="62">
        <f t="shared" si="235"/>
        <v>0</v>
      </c>
      <c r="Y511" s="62">
        <f t="shared" si="235"/>
        <v>0</v>
      </c>
      <c r="Z511" s="62">
        <f t="shared" si="235"/>
        <v>0</v>
      </c>
      <c r="AA511" s="64">
        <f>SUM(G511:Z511)</f>
        <v>0</v>
      </c>
      <c r="AB511" s="58" t="str">
        <f>IF(ABS(F511-AA511)&lt;0.01,"ok","err")</f>
        <v>ok</v>
      </c>
    </row>
    <row r="512" spans="1:28">
      <c r="A512" s="44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62"/>
      <c r="Y512" s="62"/>
      <c r="Z512" s="62"/>
      <c r="AA512" s="64"/>
    </row>
    <row r="513" spans="1:28" ht="14.1">
      <c r="A513" s="45" t="s">
        <v>340</v>
      </c>
      <c r="F513" s="79"/>
    </row>
    <row r="514" spans="1:28">
      <c r="A514" s="458" t="s">
        <v>1017</v>
      </c>
      <c r="C514" s="60" t="s">
        <v>998</v>
      </c>
      <c r="D514" s="60" t="s">
        <v>541</v>
      </c>
      <c r="E514" s="60" t="s">
        <v>1022</v>
      </c>
      <c r="F514" s="76">
        <f>VLOOKUP(C514,'Functional Assignment'!$C$2:$AP$780,'Functional Assignment'!$AD$2,)</f>
        <v>0</v>
      </c>
      <c r="G514" s="76">
        <f t="shared" ref="G514:Z514" si="236">IF(VLOOKUP($E514,$D$6:$AN$1150,3,)=0,0,(VLOOKUP($E514,$D$6:$AN$1150,G$2,)/VLOOKUP($E514,$D$6:$AN$1150,3,))*$F514)</f>
        <v>0</v>
      </c>
      <c r="H514" s="76">
        <f t="shared" si="236"/>
        <v>0</v>
      </c>
      <c r="I514" s="76">
        <f t="shared" si="236"/>
        <v>0</v>
      </c>
      <c r="J514" s="76">
        <f t="shared" si="236"/>
        <v>0</v>
      </c>
      <c r="K514" s="76">
        <f t="shared" si="236"/>
        <v>0</v>
      </c>
      <c r="L514" s="76">
        <f t="shared" si="236"/>
        <v>0</v>
      </c>
      <c r="M514" s="76">
        <f t="shared" si="236"/>
        <v>0</v>
      </c>
      <c r="N514" s="76">
        <f t="shared" si="236"/>
        <v>0</v>
      </c>
      <c r="O514" s="76">
        <f t="shared" si="236"/>
        <v>0</v>
      </c>
      <c r="P514" s="76">
        <f t="shared" si="236"/>
        <v>0</v>
      </c>
      <c r="Q514" s="76">
        <f t="shared" si="236"/>
        <v>0</v>
      </c>
      <c r="R514" s="76">
        <f t="shared" si="236"/>
        <v>0</v>
      </c>
      <c r="S514" s="76">
        <f t="shared" si="236"/>
        <v>0</v>
      </c>
      <c r="T514" s="76">
        <f t="shared" si="236"/>
        <v>0</v>
      </c>
      <c r="U514" s="76">
        <f t="shared" si="236"/>
        <v>0</v>
      </c>
      <c r="V514" s="76">
        <f t="shared" si="236"/>
        <v>0</v>
      </c>
      <c r="W514" s="76">
        <f t="shared" si="236"/>
        <v>0</v>
      </c>
      <c r="X514" s="62">
        <f t="shared" si="236"/>
        <v>0</v>
      </c>
      <c r="Y514" s="62">
        <f t="shared" si="236"/>
        <v>0</v>
      </c>
      <c r="Z514" s="62">
        <f t="shared" si="236"/>
        <v>0</v>
      </c>
      <c r="AA514" s="64">
        <f>SUM(G514:Z514)</f>
        <v>0</v>
      </c>
      <c r="AB514" s="58" t="str">
        <f>IF(ABS(F514-AA514)&lt;0.01,"ok","err")</f>
        <v>ok</v>
      </c>
    </row>
    <row r="515" spans="1:28">
      <c r="A515" s="44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62"/>
      <c r="Y515" s="62"/>
      <c r="Z515" s="62"/>
      <c r="AA515" s="64"/>
    </row>
    <row r="516" spans="1:28" ht="14.1">
      <c r="A516" s="45" t="s">
        <v>339</v>
      </c>
      <c r="F516" s="79"/>
    </row>
    <row r="517" spans="1:28">
      <c r="A517" s="458" t="s">
        <v>1017</v>
      </c>
      <c r="C517" s="60" t="s">
        <v>998</v>
      </c>
      <c r="D517" s="60" t="s">
        <v>542</v>
      </c>
      <c r="E517" s="60" t="s">
        <v>1023</v>
      </c>
      <c r="F517" s="76">
        <f>VLOOKUP(C517,'Functional Assignment'!$C$2:$AP$780,'Functional Assignment'!$AE$2,)</f>
        <v>0</v>
      </c>
      <c r="G517" s="76">
        <f t="shared" ref="G517:Z517" si="237">IF(VLOOKUP($E517,$D$6:$AN$1150,3,)=0,0,(VLOOKUP($E517,$D$6:$AN$1150,G$2,)/VLOOKUP($E517,$D$6:$AN$1150,3,))*$F517)</f>
        <v>0</v>
      </c>
      <c r="H517" s="76">
        <f t="shared" si="237"/>
        <v>0</v>
      </c>
      <c r="I517" s="76">
        <f t="shared" si="237"/>
        <v>0</v>
      </c>
      <c r="J517" s="76">
        <f t="shared" si="237"/>
        <v>0</v>
      </c>
      <c r="K517" s="76">
        <f t="shared" si="237"/>
        <v>0</v>
      </c>
      <c r="L517" s="76">
        <f t="shared" si="237"/>
        <v>0</v>
      </c>
      <c r="M517" s="76">
        <f t="shared" si="237"/>
        <v>0</v>
      </c>
      <c r="N517" s="76">
        <f t="shared" si="237"/>
        <v>0</v>
      </c>
      <c r="O517" s="76">
        <f t="shared" si="237"/>
        <v>0</v>
      </c>
      <c r="P517" s="76">
        <f t="shared" si="237"/>
        <v>0</v>
      </c>
      <c r="Q517" s="76">
        <f t="shared" si="237"/>
        <v>0</v>
      </c>
      <c r="R517" s="76">
        <f t="shared" si="237"/>
        <v>0</v>
      </c>
      <c r="S517" s="76">
        <f t="shared" si="237"/>
        <v>0</v>
      </c>
      <c r="T517" s="76">
        <f t="shared" si="237"/>
        <v>0</v>
      </c>
      <c r="U517" s="76">
        <f t="shared" si="237"/>
        <v>0</v>
      </c>
      <c r="V517" s="76">
        <f t="shared" si="237"/>
        <v>0</v>
      </c>
      <c r="W517" s="76">
        <f t="shared" si="237"/>
        <v>0</v>
      </c>
      <c r="X517" s="62">
        <f t="shared" si="237"/>
        <v>0</v>
      </c>
      <c r="Y517" s="62">
        <f t="shared" si="237"/>
        <v>0</v>
      </c>
      <c r="Z517" s="62">
        <f t="shared" si="237"/>
        <v>0</v>
      </c>
      <c r="AA517" s="64">
        <f>SUM(G517:Z517)</f>
        <v>0</v>
      </c>
      <c r="AB517" s="58" t="str">
        <f>IF(ABS(F517-AA517)&lt;0.01,"ok","err")</f>
        <v>ok</v>
      </c>
    </row>
    <row r="518" spans="1:28">
      <c r="A518" s="44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62"/>
      <c r="Y518" s="62"/>
      <c r="Z518" s="62"/>
      <c r="AA518" s="64"/>
    </row>
    <row r="519" spans="1:28">
      <c r="A519" s="44" t="s">
        <v>846</v>
      </c>
      <c r="D519" s="60" t="s">
        <v>1033</v>
      </c>
      <c r="F519" s="76">
        <f>F474+F480+F483+F486+F494+F499+F502+F505+F508+F511+F514+F517</f>
        <v>42336722.113755003</v>
      </c>
      <c r="G519" s="76">
        <f t="shared" ref="G519:Z519" si="238">G474+G480+G483+G486+G494+G499+G502+G505+G508+G511+G514+G517</f>
        <v>21467536.085323267</v>
      </c>
      <c r="H519" s="76">
        <f t="shared" si="238"/>
        <v>33714.122860954667</v>
      </c>
      <c r="I519" s="76">
        <f t="shared" si="238"/>
        <v>4946032.2370691411</v>
      </c>
      <c r="J519" s="76">
        <f t="shared" si="238"/>
        <v>278515.41610546689</v>
      </c>
      <c r="K519" s="76">
        <f t="shared" si="238"/>
        <v>4781050.8525651461</v>
      </c>
      <c r="L519" s="76">
        <f t="shared" si="238"/>
        <v>4061846.4614503561</v>
      </c>
      <c r="M519" s="76">
        <f t="shared" si="238"/>
        <v>3617794.0655234382</v>
      </c>
      <c r="N519" s="76">
        <f t="shared" si="238"/>
        <v>1750334.3681439769</v>
      </c>
      <c r="O519" s="76">
        <f>O474+O480+O483+O486+O494+O499+O502+O505+O508+O511+O514+O517</f>
        <v>119176.81806527023</v>
      </c>
      <c r="P519" s="76">
        <f t="shared" si="238"/>
        <v>1260611.2754334728</v>
      </c>
      <c r="Q519" s="76">
        <f t="shared" si="238"/>
        <v>6173.6730235238601</v>
      </c>
      <c r="R519" s="76">
        <f t="shared" si="238"/>
        <v>7612.5724343224174</v>
      </c>
      <c r="S519" s="76">
        <f t="shared" si="238"/>
        <v>152.81568144715962</v>
      </c>
      <c r="T519" s="76">
        <f t="shared" si="238"/>
        <v>2869.9587024969537</v>
      </c>
      <c r="U519" s="76">
        <f t="shared" si="238"/>
        <v>3190.2719496980626</v>
      </c>
      <c r="V519" s="76">
        <f t="shared" si="238"/>
        <v>111.11942302474998</v>
      </c>
      <c r="W519" s="76">
        <f t="shared" si="238"/>
        <v>0</v>
      </c>
      <c r="X519" s="62">
        <f t="shared" si="238"/>
        <v>0</v>
      </c>
      <c r="Y519" s="62">
        <f t="shared" si="238"/>
        <v>0</v>
      </c>
      <c r="Z519" s="62">
        <f t="shared" si="238"/>
        <v>0</v>
      </c>
      <c r="AA519" s="64">
        <f>SUM(G519:Z519)</f>
        <v>42336722.113755003</v>
      </c>
      <c r="AB519" s="58" t="str">
        <f>IF(ABS(F519-AA519)&lt;0.01,"ok","err")</f>
        <v>ok</v>
      </c>
    </row>
    <row r="520" spans="1:28">
      <c r="A520" s="44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62"/>
      <c r="Y520" s="62"/>
      <c r="Z520" s="62"/>
      <c r="AA520" s="64"/>
    </row>
    <row r="521" spans="1:28">
      <c r="A521" s="44"/>
    </row>
    <row r="522" spans="1:28" ht="14.1">
      <c r="A522" s="45" t="s">
        <v>615</v>
      </c>
    </row>
    <row r="523" spans="1:28">
      <c r="A523" s="44"/>
    </row>
    <row r="524" spans="1:28" ht="14.1">
      <c r="A524" s="45" t="s">
        <v>352</v>
      </c>
    </row>
    <row r="525" spans="1:28">
      <c r="A525" s="458" t="s">
        <v>1441</v>
      </c>
      <c r="B525" s="44"/>
      <c r="C525" s="44" t="s">
        <v>515</v>
      </c>
      <c r="D525" s="44" t="s">
        <v>1442</v>
      </c>
      <c r="E525" s="44" t="s">
        <v>1432</v>
      </c>
      <c r="F525" s="76">
        <f>VLOOKUP(C525,'Functional Assignment'!$C$2:$AP$780,'Functional Assignment'!$H$2,)</f>
        <v>-557121.68574702344</v>
      </c>
      <c r="G525" s="76">
        <f t="shared" ref="G525:P530" si="239">IF(VLOOKUP($E525,$D$6:$AN$1150,3,)=0,0,(VLOOKUP($E525,$D$6:$AN$1150,G$2,)/VLOOKUP($E525,$D$6:$AN$1150,3,))*$F525)</f>
        <v>-237790.53240786519</v>
      </c>
      <c r="H525" s="76">
        <f t="shared" si="239"/>
        <v>-90.548634610579853</v>
      </c>
      <c r="I525" s="76">
        <f t="shared" si="239"/>
        <v>-66436.656720584113</v>
      </c>
      <c r="J525" s="76">
        <f t="shared" si="239"/>
        <v>-4502.0292851407939</v>
      </c>
      <c r="K525" s="76">
        <f t="shared" si="239"/>
        <v>-74067.638378045594</v>
      </c>
      <c r="L525" s="76">
        <f t="shared" si="239"/>
        <v>-66858.605464074615</v>
      </c>
      <c r="M525" s="76">
        <f t="shared" si="239"/>
        <v>-56882.401501741326</v>
      </c>
      <c r="N525" s="76">
        <f t="shared" si="239"/>
        <v>-32317.915740924753</v>
      </c>
      <c r="O525" s="76">
        <f t="shared" si="239"/>
        <v>-1918.4271871565822</v>
      </c>
      <c r="P525" s="76">
        <f t="shared" si="239"/>
        <v>-1966.1889219624925</v>
      </c>
      <c r="Q525" s="76">
        <f t="shared" ref="Q525:Z530" si="240">IF(VLOOKUP($E525,$D$6:$AN$1150,3,)=0,0,(VLOOKUP($E525,$D$6:$AN$1150,Q$2,)/VLOOKUP($E525,$D$6:$AN$1150,3,))*$F525)</f>
        <v>-68.48240026393519</v>
      </c>
      <c r="R525" s="76">
        <f t="shared" si="240"/>
        <v>-94.309824652827089</v>
      </c>
      <c r="S525" s="76">
        <f t="shared" si="240"/>
        <v>-9.2907905219916528E-2</v>
      </c>
      <c r="T525" s="76">
        <f t="shared" si="240"/>
        <v>-0.8563720953525864</v>
      </c>
      <c r="U525" s="76">
        <f t="shared" si="240"/>
        <v>-13727.717595343111</v>
      </c>
      <c r="V525" s="76">
        <f t="shared" si="240"/>
        <v>-399.28240465688896</v>
      </c>
      <c r="W525" s="76">
        <f t="shared" si="240"/>
        <v>0</v>
      </c>
      <c r="X525" s="62">
        <f t="shared" si="240"/>
        <v>0</v>
      </c>
      <c r="Y525" s="62">
        <f t="shared" si="240"/>
        <v>0</v>
      </c>
      <c r="Z525" s="62">
        <f t="shared" si="240"/>
        <v>0</v>
      </c>
      <c r="AA525" s="64">
        <f t="shared" ref="AA525:AA531" si="241">SUM(G525:Z525)</f>
        <v>-557121.68574702332</v>
      </c>
      <c r="AB525" s="58" t="str">
        <f t="shared" ref="AB525:AB531" si="242">IF(ABS(F525-AA525)&lt;0.01,"ok","err")</f>
        <v>ok</v>
      </c>
    </row>
    <row r="526" spans="1:28" hidden="1">
      <c r="A526" s="458" t="s">
        <v>1256</v>
      </c>
      <c r="B526" s="44"/>
      <c r="C526" s="44" t="s">
        <v>515</v>
      </c>
      <c r="D526" s="44" t="s">
        <v>543</v>
      </c>
      <c r="E526" s="44" t="s">
        <v>1412</v>
      </c>
      <c r="F526" s="79">
        <f>VLOOKUP(C526,'Functional Assignment'!$C$2:$AP$780,'Functional Assignment'!$I$2,)</f>
        <v>0</v>
      </c>
      <c r="G526" s="79">
        <f t="shared" si="239"/>
        <v>0</v>
      </c>
      <c r="H526" s="79">
        <f t="shared" si="239"/>
        <v>0</v>
      </c>
      <c r="I526" s="79">
        <f t="shared" si="239"/>
        <v>0</v>
      </c>
      <c r="J526" s="79">
        <f t="shared" si="239"/>
        <v>0</v>
      </c>
      <c r="K526" s="79">
        <f t="shared" si="239"/>
        <v>0</v>
      </c>
      <c r="L526" s="79">
        <f t="shared" si="239"/>
        <v>0</v>
      </c>
      <c r="M526" s="79">
        <f t="shared" si="239"/>
        <v>0</v>
      </c>
      <c r="N526" s="79">
        <f t="shared" si="239"/>
        <v>0</v>
      </c>
      <c r="O526" s="79">
        <f t="shared" si="239"/>
        <v>0</v>
      </c>
      <c r="P526" s="79">
        <f t="shared" si="239"/>
        <v>0</v>
      </c>
      <c r="Q526" s="79">
        <f t="shared" si="240"/>
        <v>0</v>
      </c>
      <c r="R526" s="79">
        <f t="shared" si="240"/>
        <v>0</v>
      </c>
      <c r="S526" s="79">
        <f t="shared" si="240"/>
        <v>0</v>
      </c>
      <c r="T526" s="79">
        <f t="shared" si="240"/>
        <v>0</v>
      </c>
      <c r="U526" s="79">
        <f t="shared" si="240"/>
        <v>0</v>
      </c>
      <c r="V526" s="79">
        <f t="shared" si="240"/>
        <v>0</v>
      </c>
      <c r="W526" s="79">
        <f t="shared" si="240"/>
        <v>0</v>
      </c>
      <c r="X526" s="63">
        <f t="shared" si="240"/>
        <v>0</v>
      </c>
      <c r="Y526" s="63">
        <f t="shared" si="240"/>
        <v>0</v>
      </c>
      <c r="Z526" s="63">
        <f t="shared" si="240"/>
        <v>0</v>
      </c>
      <c r="AA526" s="63">
        <f t="shared" si="241"/>
        <v>0</v>
      </c>
      <c r="AB526" s="58" t="str">
        <f t="shared" si="242"/>
        <v>ok</v>
      </c>
    </row>
    <row r="527" spans="1:28" hidden="1">
      <c r="A527" s="458" t="s">
        <v>1256</v>
      </c>
      <c r="B527" s="44"/>
      <c r="C527" s="44" t="s">
        <v>515</v>
      </c>
      <c r="D527" s="44" t="s">
        <v>544</v>
      </c>
      <c r="E527" s="44" t="s">
        <v>1412</v>
      </c>
      <c r="F527" s="79">
        <f>VLOOKUP(C527,'Functional Assignment'!$C$2:$AP$780,'Functional Assignment'!$J$2,)</f>
        <v>0</v>
      </c>
      <c r="G527" s="79">
        <f t="shared" si="239"/>
        <v>0</v>
      </c>
      <c r="H527" s="79">
        <f t="shared" si="239"/>
        <v>0</v>
      </c>
      <c r="I527" s="79">
        <f t="shared" si="239"/>
        <v>0</v>
      </c>
      <c r="J527" s="79">
        <f t="shared" si="239"/>
        <v>0</v>
      </c>
      <c r="K527" s="79">
        <f t="shared" si="239"/>
        <v>0</v>
      </c>
      <c r="L527" s="79">
        <f t="shared" si="239"/>
        <v>0</v>
      </c>
      <c r="M527" s="79">
        <f t="shared" si="239"/>
        <v>0</v>
      </c>
      <c r="N527" s="79">
        <f t="shared" si="239"/>
        <v>0</v>
      </c>
      <c r="O527" s="79">
        <f t="shared" si="239"/>
        <v>0</v>
      </c>
      <c r="P527" s="79">
        <f t="shared" si="239"/>
        <v>0</v>
      </c>
      <c r="Q527" s="79">
        <f t="shared" si="240"/>
        <v>0</v>
      </c>
      <c r="R527" s="79">
        <f t="shared" si="240"/>
        <v>0</v>
      </c>
      <c r="S527" s="79">
        <f t="shared" si="240"/>
        <v>0</v>
      </c>
      <c r="T527" s="79">
        <f t="shared" si="240"/>
        <v>0</v>
      </c>
      <c r="U527" s="79">
        <f t="shared" si="240"/>
        <v>0</v>
      </c>
      <c r="V527" s="79">
        <f t="shared" si="240"/>
        <v>0</v>
      </c>
      <c r="W527" s="79">
        <f t="shared" si="240"/>
        <v>0</v>
      </c>
      <c r="X527" s="63">
        <f t="shared" si="240"/>
        <v>0</v>
      </c>
      <c r="Y527" s="63">
        <f t="shared" si="240"/>
        <v>0</v>
      </c>
      <c r="Z527" s="63">
        <f t="shared" si="240"/>
        <v>0</v>
      </c>
      <c r="AA527" s="63">
        <f t="shared" si="241"/>
        <v>0</v>
      </c>
      <c r="AB527" s="58" t="str">
        <f t="shared" si="242"/>
        <v>ok</v>
      </c>
    </row>
    <row r="528" spans="1:28">
      <c r="A528" s="458" t="s">
        <v>1160</v>
      </c>
      <c r="B528" s="44"/>
      <c r="C528" s="44" t="s">
        <v>515</v>
      </c>
      <c r="D528" s="44" t="s">
        <v>545</v>
      </c>
      <c r="E528" s="44" t="s">
        <v>1015</v>
      </c>
      <c r="F528" s="79">
        <f>VLOOKUP(C528,'Functional Assignment'!$C$2:$AP$780,'Functional Assignment'!$K$2,)</f>
        <v>0</v>
      </c>
      <c r="G528" s="79">
        <f t="shared" si="239"/>
        <v>0</v>
      </c>
      <c r="H528" s="79">
        <f t="shared" si="239"/>
        <v>0</v>
      </c>
      <c r="I528" s="79">
        <f t="shared" si="239"/>
        <v>0</v>
      </c>
      <c r="J528" s="79">
        <f t="shared" si="239"/>
        <v>0</v>
      </c>
      <c r="K528" s="79">
        <f t="shared" si="239"/>
        <v>0</v>
      </c>
      <c r="L528" s="79">
        <f t="shared" si="239"/>
        <v>0</v>
      </c>
      <c r="M528" s="79">
        <f t="shared" si="239"/>
        <v>0</v>
      </c>
      <c r="N528" s="79">
        <f t="shared" si="239"/>
        <v>0</v>
      </c>
      <c r="O528" s="79">
        <f t="shared" si="239"/>
        <v>0</v>
      </c>
      <c r="P528" s="79">
        <f t="shared" si="239"/>
        <v>0</v>
      </c>
      <c r="Q528" s="79">
        <f t="shared" si="240"/>
        <v>0</v>
      </c>
      <c r="R528" s="79">
        <f t="shared" si="240"/>
        <v>0</v>
      </c>
      <c r="S528" s="79">
        <f t="shared" si="240"/>
        <v>0</v>
      </c>
      <c r="T528" s="79">
        <f t="shared" si="240"/>
        <v>0</v>
      </c>
      <c r="U528" s="79">
        <f t="shared" si="240"/>
        <v>0</v>
      </c>
      <c r="V528" s="79">
        <f t="shared" si="240"/>
        <v>0</v>
      </c>
      <c r="W528" s="79">
        <f t="shared" si="240"/>
        <v>0</v>
      </c>
      <c r="X528" s="63">
        <f t="shared" si="240"/>
        <v>0</v>
      </c>
      <c r="Y528" s="63">
        <f t="shared" si="240"/>
        <v>0</v>
      </c>
      <c r="Z528" s="63">
        <f t="shared" si="240"/>
        <v>0</v>
      </c>
      <c r="AA528" s="63">
        <f t="shared" si="241"/>
        <v>0</v>
      </c>
      <c r="AB528" s="58" t="str">
        <f t="shared" si="242"/>
        <v>ok</v>
      </c>
    </row>
    <row r="529" spans="1:28" hidden="1">
      <c r="A529" s="458" t="s">
        <v>1161</v>
      </c>
      <c r="B529" s="44"/>
      <c r="C529" s="44" t="s">
        <v>515</v>
      </c>
      <c r="D529" s="44" t="s">
        <v>546</v>
      </c>
      <c r="E529" s="44" t="s">
        <v>1015</v>
      </c>
      <c r="F529" s="79">
        <f>VLOOKUP(C529,'Functional Assignment'!$C$2:$AP$780,'Functional Assignment'!$L$2,)</f>
        <v>0</v>
      </c>
      <c r="G529" s="79">
        <f t="shared" si="239"/>
        <v>0</v>
      </c>
      <c r="H529" s="79">
        <f t="shared" si="239"/>
        <v>0</v>
      </c>
      <c r="I529" s="79">
        <f t="shared" si="239"/>
        <v>0</v>
      </c>
      <c r="J529" s="79">
        <f t="shared" si="239"/>
        <v>0</v>
      </c>
      <c r="K529" s="79">
        <f t="shared" si="239"/>
        <v>0</v>
      </c>
      <c r="L529" s="79">
        <f t="shared" si="239"/>
        <v>0</v>
      </c>
      <c r="M529" s="79">
        <f t="shared" si="239"/>
        <v>0</v>
      </c>
      <c r="N529" s="79">
        <f t="shared" si="239"/>
        <v>0</v>
      </c>
      <c r="O529" s="79">
        <f t="shared" si="239"/>
        <v>0</v>
      </c>
      <c r="P529" s="79">
        <f t="shared" si="239"/>
        <v>0</v>
      </c>
      <c r="Q529" s="79">
        <f t="shared" si="240"/>
        <v>0</v>
      </c>
      <c r="R529" s="79">
        <f t="shared" si="240"/>
        <v>0</v>
      </c>
      <c r="S529" s="79">
        <f t="shared" si="240"/>
        <v>0</v>
      </c>
      <c r="T529" s="79">
        <f t="shared" si="240"/>
        <v>0</v>
      </c>
      <c r="U529" s="79">
        <f t="shared" si="240"/>
        <v>0</v>
      </c>
      <c r="V529" s="79">
        <f t="shared" si="240"/>
        <v>0</v>
      </c>
      <c r="W529" s="79">
        <f t="shared" si="240"/>
        <v>0</v>
      </c>
      <c r="X529" s="63">
        <f t="shared" si="240"/>
        <v>0</v>
      </c>
      <c r="Y529" s="63">
        <f t="shared" si="240"/>
        <v>0</v>
      </c>
      <c r="Z529" s="63">
        <f t="shared" si="240"/>
        <v>0</v>
      </c>
      <c r="AA529" s="63">
        <f t="shared" si="241"/>
        <v>0</v>
      </c>
      <c r="AB529" s="58" t="str">
        <f t="shared" si="242"/>
        <v>ok</v>
      </c>
    </row>
    <row r="530" spans="1:28" hidden="1">
      <c r="A530" s="458" t="s">
        <v>1161</v>
      </c>
      <c r="B530" s="44"/>
      <c r="C530" s="44" t="s">
        <v>515</v>
      </c>
      <c r="D530" s="44" t="s">
        <v>547</v>
      </c>
      <c r="E530" s="44" t="s">
        <v>1015</v>
      </c>
      <c r="F530" s="79">
        <f>VLOOKUP(C530,'Functional Assignment'!$C$2:$AP$780,'Functional Assignment'!$M$2,)</f>
        <v>0</v>
      </c>
      <c r="G530" s="79">
        <f t="shared" si="239"/>
        <v>0</v>
      </c>
      <c r="H530" s="79">
        <f t="shared" si="239"/>
        <v>0</v>
      </c>
      <c r="I530" s="79">
        <f t="shared" si="239"/>
        <v>0</v>
      </c>
      <c r="J530" s="79">
        <f t="shared" si="239"/>
        <v>0</v>
      </c>
      <c r="K530" s="79">
        <f t="shared" si="239"/>
        <v>0</v>
      </c>
      <c r="L530" s="79">
        <f t="shared" si="239"/>
        <v>0</v>
      </c>
      <c r="M530" s="79">
        <f t="shared" si="239"/>
        <v>0</v>
      </c>
      <c r="N530" s="79">
        <f t="shared" si="239"/>
        <v>0</v>
      </c>
      <c r="O530" s="79">
        <f t="shared" si="239"/>
        <v>0</v>
      </c>
      <c r="P530" s="79">
        <f t="shared" si="239"/>
        <v>0</v>
      </c>
      <c r="Q530" s="79">
        <f t="shared" si="240"/>
        <v>0</v>
      </c>
      <c r="R530" s="79">
        <f t="shared" si="240"/>
        <v>0</v>
      </c>
      <c r="S530" s="79">
        <f t="shared" si="240"/>
        <v>0</v>
      </c>
      <c r="T530" s="79">
        <f t="shared" si="240"/>
        <v>0</v>
      </c>
      <c r="U530" s="79">
        <f t="shared" si="240"/>
        <v>0</v>
      </c>
      <c r="V530" s="79">
        <f t="shared" si="240"/>
        <v>0</v>
      </c>
      <c r="W530" s="79">
        <f t="shared" si="240"/>
        <v>0</v>
      </c>
      <c r="X530" s="63">
        <f t="shared" si="240"/>
        <v>0</v>
      </c>
      <c r="Y530" s="63">
        <f t="shared" si="240"/>
        <v>0</v>
      </c>
      <c r="Z530" s="63">
        <f t="shared" si="240"/>
        <v>0</v>
      </c>
      <c r="AA530" s="63">
        <f t="shared" si="241"/>
        <v>0</v>
      </c>
      <c r="AB530" s="58" t="str">
        <f t="shared" si="242"/>
        <v>ok</v>
      </c>
    </row>
    <row r="531" spans="1:28">
      <c r="A531" s="44" t="s">
        <v>374</v>
      </c>
      <c r="B531" s="44"/>
      <c r="C531" s="44"/>
      <c r="D531" s="44" t="s">
        <v>1034</v>
      </c>
      <c r="E531" s="44"/>
      <c r="F531" s="76">
        <f>SUM(F525:F530)</f>
        <v>-557121.68574702344</v>
      </c>
      <c r="G531" s="76">
        <f t="shared" ref="G531:P531" si="243">SUM(G525:G530)</f>
        <v>-237790.53240786519</v>
      </c>
      <c r="H531" s="76">
        <f t="shared" si="243"/>
        <v>-90.548634610579853</v>
      </c>
      <c r="I531" s="76">
        <f t="shared" si="243"/>
        <v>-66436.656720584113</v>
      </c>
      <c r="J531" s="76">
        <f t="shared" si="243"/>
        <v>-4502.0292851407939</v>
      </c>
      <c r="K531" s="76">
        <f t="shared" si="243"/>
        <v>-74067.638378045594</v>
      </c>
      <c r="L531" s="76">
        <f t="shared" si="243"/>
        <v>-66858.605464074615</v>
      </c>
      <c r="M531" s="76">
        <f t="shared" si="243"/>
        <v>-56882.401501741326</v>
      </c>
      <c r="N531" s="76">
        <f t="shared" si="243"/>
        <v>-32317.915740924753</v>
      </c>
      <c r="O531" s="76">
        <f>SUM(O525:O530)</f>
        <v>-1918.4271871565822</v>
      </c>
      <c r="P531" s="76">
        <f t="shared" si="243"/>
        <v>-1966.1889219624925</v>
      </c>
      <c r="Q531" s="76">
        <f t="shared" ref="Q531:W531" si="244">SUM(Q525:Q530)</f>
        <v>-68.48240026393519</v>
      </c>
      <c r="R531" s="76">
        <f t="shared" si="244"/>
        <v>-94.309824652827089</v>
      </c>
      <c r="S531" s="76">
        <f t="shared" si="244"/>
        <v>-9.2907905219916528E-2</v>
      </c>
      <c r="T531" s="76">
        <f t="shared" si="244"/>
        <v>-0.8563720953525864</v>
      </c>
      <c r="U531" s="76">
        <f t="shared" si="244"/>
        <v>-13727.717595343111</v>
      </c>
      <c r="V531" s="76">
        <f t="shared" si="244"/>
        <v>-399.28240465688896</v>
      </c>
      <c r="W531" s="76">
        <f t="shared" si="244"/>
        <v>0</v>
      </c>
      <c r="X531" s="62">
        <f>SUM(X525:X530)</f>
        <v>0</v>
      </c>
      <c r="Y531" s="62">
        <f>SUM(Y525:Y530)</f>
        <v>0</v>
      </c>
      <c r="Z531" s="62">
        <f>SUM(Z525:Z530)</f>
        <v>0</v>
      </c>
      <c r="AA531" s="64">
        <f t="shared" si="241"/>
        <v>-557121.68574702332</v>
      </c>
      <c r="AB531" s="58" t="str">
        <f t="shared" si="242"/>
        <v>ok</v>
      </c>
    </row>
    <row r="532" spans="1:28">
      <c r="A532" s="44"/>
      <c r="F532" s="79"/>
      <c r="G532" s="79"/>
    </row>
    <row r="533" spans="1:28" ht="14.1">
      <c r="A533" s="45" t="s">
        <v>1055</v>
      </c>
      <c r="F533" s="79"/>
      <c r="G533" s="79"/>
    </row>
    <row r="534" spans="1:28">
      <c r="A534" s="458" t="s">
        <v>1225</v>
      </c>
      <c r="C534" s="60" t="s">
        <v>515</v>
      </c>
      <c r="D534" s="60" t="s">
        <v>548</v>
      </c>
      <c r="E534" s="60" t="s">
        <v>1229</v>
      </c>
      <c r="F534" s="76">
        <f>VLOOKUP(C534,'Functional Assignment'!$C$2:$AP$780,'Functional Assignment'!$N$2,)</f>
        <v>-88288.577918248455</v>
      </c>
      <c r="G534" s="76">
        <f t="shared" ref="G534:P536" si="245">IF(VLOOKUP($E534,$D$6:$AN$1150,3,)=0,0,(VLOOKUP($E534,$D$6:$AN$1150,G$2,)/VLOOKUP($E534,$D$6:$AN$1150,3,))*$F534)</f>
        <v>-41680.595408994363</v>
      </c>
      <c r="H534" s="76">
        <f t="shared" si="245"/>
        <v>-152.62946449089432</v>
      </c>
      <c r="I534" s="76">
        <f t="shared" si="245"/>
        <v>-10189.703662033427</v>
      </c>
      <c r="J534" s="76">
        <f t="shared" si="245"/>
        <v>-668.88412682791352</v>
      </c>
      <c r="K534" s="76">
        <f t="shared" si="245"/>
        <v>-11337.99815194992</v>
      </c>
      <c r="L534" s="76">
        <f t="shared" si="245"/>
        <v>-9508.3187911416007</v>
      </c>
      <c r="M534" s="76">
        <f t="shared" si="245"/>
        <v>-9001.9016912397165</v>
      </c>
      <c r="N534" s="76">
        <f t="shared" si="245"/>
        <v>-4694.3334705146035</v>
      </c>
      <c r="O534" s="76">
        <f t="shared" si="245"/>
        <v>-301.6611464932036</v>
      </c>
      <c r="P534" s="76">
        <f t="shared" si="245"/>
        <v>-714.85563994485881</v>
      </c>
      <c r="Q534" s="76">
        <f t="shared" ref="Q534:Z536" si="246">IF(VLOOKUP($E534,$D$6:$AN$1150,3,)=0,0,(VLOOKUP($E534,$D$6:$AN$1150,Q$2,)/VLOOKUP($E534,$D$6:$AN$1150,3,))*$F534)</f>
        <v>-24.898436522962587</v>
      </c>
      <c r="R534" s="76">
        <f t="shared" si="246"/>
        <v>-11.429540892064598</v>
      </c>
      <c r="S534" s="76">
        <f t="shared" si="246"/>
        <v>-1.2438452699790359</v>
      </c>
      <c r="T534" s="76">
        <f t="shared" si="246"/>
        <v>-0.12454193295792985</v>
      </c>
      <c r="U534" s="76">
        <f t="shared" si="246"/>
        <v>0</v>
      </c>
      <c r="V534" s="76">
        <f t="shared" si="246"/>
        <v>0</v>
      </c>
      <c r="W534" s="76">
        <f t="shared" si="246"/>
        <v>0</v>
      </c>
      <c r="X534" s="62">
        <f t="shared" si="246"/>
        <v>0</v>
      </c>
      <c r="Y534" s="62">
        <f t="shared" si="246"/>
        <v>0</v>
      </c>
      <c r="Z534" s="62">
        <f t="shared" si="246"/>
        <v>0</v>
      </c>
      <c r="AA534" s="64">
        <f>SUM(G534:Z534)</f>
        <v>-88288.577918248455</v>
      </c>
      <c r="AB534" s="58" t="str">
        <f>IF(ABS(F534-AA534)&lt;0.01,"ok","err")</f>
        <v>ok</v>
      </c>
    </row>
    <row r="535" spans="1:28" hidden="1">
      <c r="A535" s="458" t="s">
        <v>1226</v>
      </c>
      <c r="C535" s="60" t="s">
        <v>515</v>
      </c>
      <c r="D535" s="60" t="s">
        <v>549</v>
      </c>
      <c r="E535" s="60" t="s">
        <v>1229</v>
      </c>
      <c r="F535" s="79">
        <f>VLOOKUP(C535,'Functional Assignment'!$C$2:$AP$780,'Functional Assignment'!$O$2,)</f>
        <v>0</v>
      </c>
      <c r="G535" s="79">
        <f t="shared" si="245"/>
        <v>0</v>
      </c>
      <c r="H535" s="79">
        <f t="shared" si="245"/>
        <v>0</v>
      </c>
      <c r="I535" s="79">
        <f t="shared" si="245"/>
        <v>0</v>
      </c>
      <c r="J535" s="79">
        <f t="shared" si="245"/>
        <v>0</v>
      </c>
      <c r="K535" s="79">
        <f t="shared" si="245"/>
        <v>0</v>
      </c>
      <c r="L535" s="79">
        <f t="shared" si="245"/>
        <v>0</v>
      </c>
      <c r="M535" s="79">
        <f t="shared" si="245"/>
        <v>0</v>
      </c>
      <c r="N535" s="79">
        <f t="shared" si="245"/>
        <v>0</v>
      </c>
      <c r="O535" s="79">
        <f t="shared" si="245"/>
        <v>0</v>
      </c>
      <c r="P535" s="79">
        <f t="shared" si="245"/>
        <v>0</v>
      </c>
      <c r="Q535" s="79">
        <f t="shared" si="246"/>
        <v>0</v>
      </c>
      <c r="R535" s="79">
        <f t="shared" si="246"/>
        <v>0</v>
      </c>
      <c r="S535" s="79">
        <f t="shared" si="246"/>
        <v>0</v>
      </c>
      <c r="T535" s="79">
        <f t="shared" si="246"/>
        <v>0</v>
      </c>
      <c r="U535" s="79">
        <f t="shared" si="246"/>
        <v>0</v>
      </c>
      <c r="V535" s="79">
        <f t="shared" si="246"/>
        <v>0</v>
      </c>
      <c r="W535" s="79">
        <f t="shared" si="246"/>
        <v>0</v>
      </c>
      <c r="X535" s="63">
        <f t="shared" si="246"/>
        <v>0</v>
      </c>
      <c r="Y535" s="63">
        <f t="shared" si="246"/>
        <v>0</v>
      </c>
      <c r="Z535" s="63">
        <f t="shared" si="246"/>
        <v>0</v>
      </c>
      <c r="AA535" s="63">
        <f>SUM(G535:Z535)</f>
        <v>0</v>
      </c>
      <c r="AB535" s="58" t="str">
        <f>IF(ABS(F535-AA535)&lt;0.01,"ok","err")</f>
        <v>ok</v>
      </c>
    </row>
    <row r="536" spans="1:28" hidden="1">
      <c r="A536" s="458" t="s">
        <v>1226</v>
      </c>
      <c r="C536" s="60" t="s">
        <v>515</v>
      </c>
      <c r="D536" s="60" t="s">
        <v>550</v>
      </c>
      <c r="E536" s="60" t="s">
        <v>1229</v>
      </c>
      <c r="F536" s="79">
        <f>VLOOKUP(C536,'Functional Assignment'!$C$2:$AP$780,'Functional Assignment'!$P$2,)</f>
        <v>0</v>
      </c>
      <c r="G536" s="79">
        <f t="shared" si="245"/>
        <v>0</v>
      </c>
      <c r="H536" s="79">
        <f t="shared" si="245"/>
        <v>0</v>
      </c>
      <c r="I536" s="79">
        <f t="shared" si="245"/>
        <v>0</v>
      </c>
      <c r="J536" s="79">
        <f t="shared" si="245"/>
        <v>0</v>
      </c>
      <c r="K536" s="79">
        <f t="shared" si="245"/>
        <v>0</v>
      </c>
      <c r="L536" s="79">
        <f t="shared" si="245"/>
        <v>0</v>
      </c>
      <c r="M536" s="79">
        <f t="shared" si="245"/>
        <v>0</v>
      </c>
      <c r="N536" s="79">
        <f t="shared" si="245"/>
        <v>0</v>
      </c>
      <c r="O536" s="79">
        <f t="shared" si="245"/>
        <v>0</v>
      </c>
      <c r="P536" s="79">
        <f t="shared" si="245"/>
        <v>0</v>
      </c>
      <c r="Q536" s="79">
        <f t="shared" si="246"/>
        <v>0</v>
      </c>
      <c r="R536" s="79">
        <f t="shared" si="246"/>
        <v>0</v>
      </c>
      <c r="S536" s="79">
        <f t="shared" si="246"/>
        <v>0</v>
      </c>
      <c r="T536" s="79">
        <f t="shared" si="246"/>
        <v>0</v>
      </c>
      <c r="U536" s="79">
        <f t="shared" si="246"/>
        <v>0</v>
      </c>
      <c r="V536" s="79">
        <f t="shared" si="246"/>
        <v>0</v>
      </c>
      <c r="W536" s="79">
        <f t="shared" si="246"/>
        <v>0</v>
      </c>
      <c r="X536" s="63">
        <f t="shared" si="246"/>
        <v>0</v>
      </c>
      <c r="Y536" s="63">
        <f t="shared" si="246"/>
        <v>0</v>
      </c>
      <c r="Z536" s="63">
        <f t="shared" si="246"/>
        <v>0</v>
      </c>
      <c r="AA536" s="63">
        <f>SUM(G536:Z536)</f>
        <v>0</v>
      </c>
      <c r="AB536" s="58" t="str">
        <f>IF(ABS(F536-AA536)&lt;0.01,"ok","err")</f>
        <v>ok</v>
      </c>
    </row>
    <row r="537" spans="1:28" hidden="1">
      <c r="A537" s="44" t="s">
        <v>1057</v>
      </c>
      <c r="D537" s="60" t="s">
        <v>551</v>
      </c>
      <c r="F537" s="76">
        <f>SUM(F534:F536)</f>
        <v>-88288.577918248455</v>
      </c>
      <c r="G537" s="76">
        <f t="shared" ref="G537:W537" si="247">SUM(G534:G536)</f>
        <v>-41680.595408994363</v>
      </c>
      <c r="H537" s="76">
        <f t="shared" si="247"/>
        <v>-152.62946449089432</v>
      </c>
      <c r="I537" s="76">
        <f t="shared" si="247"/>
        <v>-10189.703662033427</v>
      </c>
      <c r="J537" s="76">
        <f t="shared" si="247"/>
        <v>-668.88412682791352</v>
      </c>
      <c r="K537" s="76">
        <f t="shared" si="247"/>
        <v>-11337.99815194992</v>
      </c>
      <c r="L537" s="76">
        <f t="shared" si="247"/>
        <v>-9508.3187911416007</v>
      </c>
      <c r="M537" s="76">
        <f t="shared" si="247"/>
        <v>-9001.9016912397165</v>
      </c>
      <c r="N537" s="76">
        <f t="shared" si="247"/>
        <v>-4694.3334705146035</v>
      </c>
      <c r="O537" s="76">
        <f>SUM(O534:O536)</f>
        <v>-301.6611464932036</v>
      </c>
      <c r="P537" s="76">
        <f t="shared" si="247"/>
        <v>-714.85563994485881</v>
      </c>
      <c r="Q537" s="76">
        <f t="shared" si="247"/>
        <v>-24.898436522962587</v>
      </c>
      <c r="R537" s="76">
        <f t="shared" si="247"/>
        <v>-11.429540892064598</v>
      </c>
      <c r="S537" s="76">
        <f t="shared" si="247"/>
        <v>-1.2438452699790359</v>
      </c>
      <c r="T537" s="76">
        <f t="shared" si="247"/>
        <v>-0.12454193295792985</v>
      </c>
      <c r="U537" s="76">
        <f t="shared" si="247"/>
        <v>0</v>
      </c>
      <c r="V537" s="76">
        <f t="shared" si="247"/>
        <v>0</v>
      </c>
      <c r="W537" s="76">
        <f t="shared" si="247"/>
        <v>0</v>
      </c>
      <c r="X537" s="62">
        <f>SUM(X534:X536)</f>
        <v>0</v>
      </c>
      <c r="Y537" s="62">
        <f>SUM(Y534:Y536)</f>
        <v>0</v>
      </c>
      <c r="Z537" s="62">
        <f>SUM(Z534:Z536)</f>
        <v>0</v>
      </c>
      <c r="AA537" s="64">
        <f>SUM(G537:Z537)</f>
        <v>-88288.577918248455</v>
      </c>
      <c r="AB537" s="58" t="str">
        <f>IF(ABS(F537-AA537)&lt;0.01,"ok","err")</f>
        <v>ok</v>
      </c>
    </row>
    <row r="538" spans="1:28">
      <c r="A538" s="44"/>
      <c r="F538" s="79"/>
      <c r="G538" s="79"/>
    </row>
    <row r="539" spans="1:28" ht="14.1">
      <c r="A539" s="45" t="s">
        <v>337</v>
      </c>
      <c r="F539" s="79"/>
      <c r="G539" s="79"/>
    </row>
    <row r="540" spans="1:28">
      <c r="A540" s="458" t="s">
        <v>359</v>
      </c>
      <c r="C540" s="60" t="s">
        <v>515</v>
      </c>
      <c r="D540" s="60" t="s">
        <v>552</v>
      </c>
      <c r="E540" s="60" t="s">
        <v>1230</v>
      </c>
      <c r="F540" s="76">
        <f>VLOOKUP(C540,'Functional Assignment'!$C$2:$AP$780,'Functional Assignment'!$Q$2,)</f>
        <v>0</v>
      </c>
      <c r="G540" s="76">
        <f t="shared" ref="G540:Z540" si="248">IF(VLOOKUP($E540,$D$6:$AN$1150,3,)=0,0,(VLOOKUP($E540,$D$6:$AN$1150,G$2,)/VLOOKUP($E540,$D$6:$AN$1150,3,))*$F540)</f>
        <v>0</v>
      </c>
      <c r="H540" s="76">
        <f t="shared" si="248"/>
        <v>0</v>
      </c>
      <c r="I540" s="76">
        <f t="shared" si="248"/>
        <v>0</v>
      </c>
      <c r="J540" s="76">
        <f t="shared" si="248"/>
        <v>0</v>
      </c>
      <c r="K540" s="76">
        <f t="shared" si="248"/>
        <v>0</v>
      </c>
      <c r="L540" s="76">
        <f t="shared" si="248"/>
        <v>0</v>
      </c>
      <c r="M540" s="76">
        <f t="shared" si="248"/>
        <v>0</v>
      </c>
      <c r="N540" s="76">
        <f t="shared" si="248"/>
        <v>0</v>
      </c>
      <c r="O540" s="76">
        <f t="shared" si="248"/>
        <v>0</v>
      </c>
      <c r="P540" s="76">
        <f t="shared" si="248"/>
        <v>0</v>
      </c>
      <c r="Q540" s="76">
        <f t="shared" si="248"/>
        <v>0</v>
      </c>
      <c r="R540" s="76">
        <f t="shared" si="248"/>
        <v>0</v>
      </c>
      <c r="S540" s="76">
        <f t="shared" si="248"/>
        <v>0</v>
      </c>
      <c r="T540" s="76">
        <f t="shared" si="248"/>
        <v>0</v>
      </c>
      <c r="U540" s="76">
        <f t="shared" si="248"/>
        <v>0</v>
      </c>
      <c r="V540" s="76">
        <f t="shared" si="248"/>
        <v>0</v>
      </c>
      <c r="W540" s="76">
        <f t="shared" si="248"/>
        <v>0</v>
      </c>
      <c r="X540" s="62">
        <f t="shared" si="248"/>
        <v>0</v>
      </c>
      <c r="Y540" s="62">
        <f t="shared" si="248"/>
        <v>0</v>
      </c>
      <c r="Z540" s="62">
        <f t="shared" si="248"/>
        <v>0</v>
      </c>
      <c r="AA540" s="64">
        <f>SUM(G540:Z540)</f>
        <v>0</v>
      </c>
      <c r="AB540" s="58" t="str">
        <f>IF(ABS(F540-AA540)&lt;0.01,"ok","err")</f>
        <v>ok</v>
      </c>
    </row>
    <row r="541" spans="1:28">
      <c r="A541" s="44"/>
      <c r="F541" s="79"/>
    </row>
    <row r="542" spans="1:28" ht="14.1">
      <c r="A542" s="45" t="s">
        <v>338</v>
      </c>
      <c r="F542" s="79"/>
      <c r="G542" s="79"/>
    </row>
    <row r="543" spans="1:28">
      <c r="A543" s="458" t="s">
        <v>361</v>
      </c>
      <c r="C543" s="60" t="s">
        <v>515</v>
      </c>
      <c r="D543" s="60" t="s">
        <v>553</v>
      </c>
      <c r="E543" s="60" t="s">
        <v>1230</v>
      </c>
      <c r="F543" s="76">
        <f>VLOOKUP(C543,'Functional Assignment'!$C$2:$AP$780,'Functional Assignment'!$R$2,)</f>
        <v>-33867.201356712489</v>
      </c>
      <c r="G543" s="76">
        <f t="shared" ref="G543:Z543" si="249">IF(VLOOKUP($E543,$D$6:$AN$1150,3,)=0,0,(VLOOKUP($E543,$D$6:$AN$1150,G$2,)/VLOOKUP($E543,$D$6:$AN$1150,3,))*$F543)</f>
        <v>-16886.391242720842</v>
      </c>
      <c r="H543" s="76">
        <f t="shared" si="249"/>
        <v>-61.835989319961449</v>
      </c>
      <c r="I543" s="76">
        <f t="shared" si="249"/>
        <v>-4128.2357172697903</v>
      </c>
      <c r="J543" s="76">
        <f t="shared" si="249"/>
        <v>-270.99034816629495</v>
      </c>
      <c r="K543" s="76">
        <f t="shared" si="249"/>
        <v>-4593.4534001824031</v>
      </c>
      <c r="L543" s="76">
        <f t="shared" si="249"/>
        <v>-3852.1808432008061</v>
      </c>
      <c r="M543" s="76">
        <f t="shared" si="249"/>
        <v>-3647.012054294737</v>
      </c>
      <c r="N543" s="76">
        <f t="shared" si="249"/>
        <v>0</v>
      </c>
      <c r="O543" s="76">
        <f t="shared" si="249"/>
        <v>-122.21438039516877</v>
      </c>
      <c r="P543" s="76">
        <f t="shared" si="249"/>
        <v>-289.61515304000591</v>
      </c>
      <c r="Q543" s="76">
        <f t="shared" si="249"/>
        <v>-10.087301688786994</v>
      </c>
      <c r="R543" s="76">
        <f t="shared" si="249"/>
        <v>-4.6305408388295382</v>
      </c>
      <c r="S543" s="76">
        <f t="shared" si="249"/>
        <v>-0.50392893067312605</v>
      </c>
      <c r="T543" s="76">
        <f t="shared" si="249"/>
        <v>-5.0456664196272191E-2</v>
      </c>
      <c r="U543" s="76">
        <f t="shared" si="249"/>
        <v>0</v>
      </c>
      <c r="V543" s="76">
        <f t="shared" si="249"/>
        <v>0</v>
      </c>
      <c r="W543" s="76">
        <f t="shared" si="249"/>
        <v>0</v>
      </c>
      <c r="X543" s="62">
        <f t="shared" si="249"/>
        <v>0</v>
      </c>
      <c r="Y543" s="62">
        <f t="shared" si="249"/>
        <v>0</v>
      </c>
      <c r="Z543" s="62">
        <f t="shared" si="249"/>
        <v>0</v>
      </c>
      <c r="AA543" s="64">
        <f>SUM(G543:Z543)</f>
        <v>-33867.201356712503</v>
      </c>
      <c r="AB543" s="58" t="str">
        <f>IF(ABS(F543-AA543)&lt;0.01,"ok","err")</f>
        <v>ok</v>
      </c>
    </row>
    <row r="544" spans="1:28">
      <c r="A544" s="44"/>
      <c r="F544" s="79"/>
    </row>
    <row r="545" spans="1:28" ht="14.1">
      <c r="A545" s="45" t="s">
        <v>360</v>
      </c>
      <c r="F545" s="79"/>
    </row>
    <row r="546" spans="1:28">
      <c r="A546" s="458" t="s">
        <v>603</v>
      </c>
      <c r="C546" s="60" t="s">
        <v>515</v>
      </c>
      <c r="D546" s="60" t="s">
        <v>554</v>
      </c>
      <c r="E546" s="60" t="s">
        <v>1230</v>
      </c>
      <c r="F546" s="76">
        <f>VLOOKUP(C546,'Functional Assignment'!$C$2:$AP$780,'Functional Assignment'!$S$2,)</f>
        <v>0</v>
      </c>
      <c r="G546" s="76">
        <f t="shared" ref="G546:P550" si="250">IF(VLOOKUP($E546,$D$6:$AN$1150,3,)=0,0,(VLOOKUP($E546,$D$6:$AN$1150,G$2,)/VLOOKUP($E546,$D$6:$AN$1150,3,))*$F546)</f>
        <v>0</v>
      </c>
      <c r="H546" s="76">
        <f t="shared" si="250"/>
        <v>0</v>
      </c>
      <c r="I546" s="76">
        <f t="shared" si="250"/>
        <v>0</v>
      </c>
      <c r="J546" s="76">
        <f t="shared" si="250"/>
        <v>0</v>
      </c>
      <c r="K546" s="76">
        <f t="shared" si="250"/>
        <v>0</v>
      </c>
      <c r="L546" s="76">
        <f t="shared" si="250"/>
        <v>0</v>
      </c>
      <c r="M546" s="76">
        <f t="shared" si="250"/>
        <v>0</v>
      </c>
      <c r="N546" s="76">
        <f t="shared" si="250"/>
        <v>0</v>
      </c>
      <c r="O546" s="76">
        <f t="shared" si="250"/>
        <v>0</v>
      </c>
      <c r="P546" s="76">
        <f t="shared" si="250"/>
        <v>0</v>
      </c>
      <c r="Q546" s="76">
        <f t="shared" ref="Q546:Z550" si="251">IF(VLOOKUP($E546,$D$6:$AN$1150,3,)=0,0,(VLOOKUP($E546,$D$6:$AN$1150,Q$2,)/VLOOKUP($E546,$D$6:$AN$1150,3,))*$F546)</f>
        <v>0</v>
      </c>
      <c r="R546" s="76">
        <f t="shared" si="251"/>
        <v>0</v>
      </c>
      <c r="S546" s="76">
        <f t="shared" si="251"/>
        <v>0</v>
      </c>
      <c r="T546" s="76">
        <f t="shared" si="251"/>
        <v>0</v>
      </c>
      <c r="U546" s="76">
        <f t="shared" si="251"/>
        <v>0</v>
      </c>
      <c r="V546" s="76">
        <f t="shared" si="251"/>
        <v>0</v>
      </c>
      <c r="W546" s="76">
        <f t="shared" si="251"/>
        <v>0</v>
      </c>
      <c r="X546" s="62">
        <f t="shared" si="251"/>
        <v>0</v>
      </c>
      <c r="Y546" s="62">
        <f t="shared" si="251"/>
        <v>0</v>
      </c>
      <c r="Z546" s="62">
        <f t="shared" si="251"/>
        <v>0</v>
      </c>
      <c r="AA546" s="64">
        <f t="shared" ref="AA546:AA551" si="252">SUM(G546:Z546)</f>
        <v>0</v>
      </c>
      <c r="AB546" s="58" t="str">
        <f t="shared" ref="AB546:AB551" si="253">IF(ABS(F546-AA546)&lt;0.01,"ok","err")</f>
        <v>ok</v>
      </c>
    </row>
    <row r="547" spans="1:28">
      <c r="A547" s="458" t="s">
        <v>604</v>
      </c>
      <c r="C547" s="60" t="s">
        <v>515</v>
      </c>
      <c r="D547" s="60" t="s">
        <v>555</v>
      </c>
      <c r="E547" s="60" t="s">
        <v>1230</v>
      </c>
      <c r="F547" s="79">
        <f>VLOOKUP(C547,'Functional Assignment'!$C$2:$AP$780,'Functional Assignment'!$T$2,)</f>
        <v>-51992.205439655867</v>
      </c>
      <c r="G547" s="79">
        <f t="shared" si="250"/>
        <v>-25923.627800793634</v>
      </c>
      <c r="H547" s="79">
        <f t="shared" si="250"/>
        <v>-94.929292397837585</v>
      </c>
      <c r="I547" s="79">
        <f t="shared" si="250"/>
        <v>-6337.5794549694938</v>
      </c>
      <c r="J547" s="79">
        <f t="shared" si="250"/>
        <v>-416.01860471512975</v>
      </c>
      <c r="K547" s="79">
        <f t="shared" si="250"/>
        <v>-7051.7717228629026</v>
      </c>
      <c r="L547" s="79">
        <f t="shared" si="250"/>
        <v>-5913.7858980693973</v>
      </c>
      <c r="M547" s="79">
        <f t="shared" si="250"/>
        <v>-5598.8151477479951</v>
      </c>
      <c r="N547" s="79">
        <f t="shared" si="250"/>
        <v>0</v>
      </c>
      <c r="O547" s="79">
        <f t="shared" si="250"/>
        <v>-187.62091104780532</v>
      </c>
      <c r="P547" s="79">
        <f t="shared" si="250"/>
        <v>-444.6110080574731</v>
      </c>
      <c r="Q547" s="79">
        <f t="shared" si="251"/>
        <v>-15.485810481097003</v>
      </c>
      <c r="R547" s="79">
        <f t="shared" si="251"/>
        <v>-7.1087075679320826</v>
      </c>
      <c r="S547" s="79">
        <f t="shared" si="251"/>
        <v>-0.77362095009218546</v>
      </c>
      <c r="T547" s="79">
        <f t="shared" si="251"/>
        <v>-7.7459995086731986E-2</v>
      </c>
      <c r="U547" s="79">
        <f t="shared" si="251"/>
        <v>0</v>
      </c>
      <c r="V547" s="79">
        <f t="shared" si="251"/>
        <v>0</v>
      </c>
      <c r="W547" s="79">
        <f t="shared" si="251"/>
        <v>0</v>
      </c>
      <c r="X547" s="63">
        <f t="shared" si="251"/>
        <v>0</v>
      </c>
      <c r="Y547" s="63">
        <f t="shared" si="251"/>
        <v>0</v>
      </c>
      <c r="Z547" s="63">
        <f t="shared" si="251"/>
        <v>0</v>
      </c>
      <c r="AA547" s="63">
        <f t="shared" si="252"/>
        <v>-51992.205439655889</v>
      </c>
      <c r="AB547" s="58" t="str">
        <f t="shared" si="253"/>
        <v>ok</v>
      </c>
    </row>
    <row r="548" spans="1:28">
      <c r="A548" s="458" t="s">
        <v>605</v>
      </c>
      <c r="C548" s="60" t="s">
        <v>515</v>
      </c>
      <c r="D548" s="60" t="s">
        <v>556</v>
      </c>
      <c r="E548" s="60" t="s">
        <v>658</v>
      </c>
      <c r="F548" s="79">
        <f>VLOOKUP(C548,'Functional Assignment'!$C$2:$AP$780,'Functional Assignment'!$U$2,)</f>
        <v>-85081.543996974957</v>
      </c>
      <c r="G548" s="79">
        <f t="shared" si="250"/>
        <v>-73385.605669502169</v>
      </c>
      <c r="H548" s="79">
        <f t="shared" si="250"/>
        <v>-181.14115395183779</v>
      </c>
      <c r="I548" s="79">
        <f t="shared" si="250"/>
        <v>-8837.257502342818</v>
      </c>
      <c r="J548" s="79">
        <f t="shared" si="250"/>
        <v>-13.637946519632854</v>
      </c>
      <c r="K548" s="79">
        <f t="shared" si="250"/>
        <v>-542.08835759984879</v>
      </c>
      <c r="L548" s="79">
        <f t="shared" si="250"/>
        <v>-25.638271907280046</v>
      </c>
      <c r="M548" s="79">
        <f t="shared" si="250"/>
        <v>-98.389110298409591</v>
      </c>
      <c r="N548" s="79">
        <f t="shared" si="250"/>
        <v>0</v>
      </c>
      <c r="O548" s="79">
        <f t="shared" si="250"/>
        <v>-0.38965561484665295</v>
      </c>
      <c r="P548" s="79">
        <f t="shared" si="250"/>
        <v>-1970.1204361988357</v>
      </c>
      <c r="Q548" s="79">
        <f t="shared" si="251"/>
        <v>-3.4852529994617294</v>
      </c>
      <c r="R548" s="79">
        <f t="shared" si="251"/>
        <v>-21.647534158147387</v>
      </c>
      <c r="S548" s="79">
        <f t="shared" si="251"/>
        <v>-0.19482780742332648</v>
      </c>
      <c r="T548" s="79">
        <f t="shared" si="251"/>
        <v>-1.948278074233265</v>
      </c>
      <c r="U548" s="79">
        <f t="shared" si="251"/>
        <v>0</v>
      </c>
      <c r="V548" s="79">
        <f t="shared" si="251"/>
        <v>0</v>
      </c>
      <c r="W548" s="79">
        <f t="shared" si="251"/>
        <v>0</v>
      </c>
      <c r="X548" s="63">
        <f t="shared" si="251"/>
        <v>0</v>
      </c>
      <c r="Y548" s="63">
        <f t="shared" si="251"/>
        <v>0</v>
      </c>
      <c r="Z548" s="63">
        <f t="shared" si="251"/>
        <v>0</v>
      </c>
      <c r="AA548" s="63">
        <f t="shared" si="252"/>
        <v>-85081.543996974986</v>
      </c>
      <c r="AB548" s="58" t="str">
        <f t="shared" si="253"/>
        <v>ok</v>
      </c>
    </row>
    <row r="549" spans="1:28">
      <c r="A549" s="458" t="s">
        <v>606</v>
      </c>
      <c r="C549" s="60" t="s">
        <v>515</v>
      </c>
      <c r="D549" s="60" t="s">
        <v>557</v>
      </c>
      <c r="E549" s="60" t="s">
        <v>646</v>
      </c>
      <c r="F549" s="79">
        <f>VLOOKUP(C549,'Functional Assignment'!$C$2:$AP$780,'Functional Assignment'!$V$2,)</f>
        <v>-14506.2997678997</v>
      </c>
      <c r="G549" s="79">
        <f t="shared" si="250"/>
        <v>-10976.307619363673</v>
      </c>
      <c r="H549" s="79">
        <f t="shared" si="250"/>
        <v>-22.804043012585126</v>
      </c>
      <c r="I549" s="79">
        <f t="shared" si="250"/>
        <v>-1755.6736265024508</v>
      </c>
      <c r="J549" s="79">
        <f t="shared" si="250"/>
        <v>0</v>
      </c>
      <c r="K549" s="79">
        <f t="shared" si="250"/>
        <v>-1662.8678050977874</v>
      </c>
      <c r="L549" s="79">
        <f t="shared" si="250"/>
        <v>0</v>
      </c>
      <c r="M549" s="79">
        <f t="shared" si="250"/>
        <v>0</v>
      </c>
      <c r="N549" s="79">
        <f t="shared" si="250"/>
        <v>0</v>
      </c>
      <c r="O549" s="79">
        <f t="shared" si="250"/>
        <v>0</v>
      </c>
      <c r="P549" s="79">
        <f t="shared" si="250"/>
        <v>-84.206240143056618</v>
      </c>
      <c r="Q549" s="79">
        <f t="shared" si="251"/>
        <v>-2.9329050620639476</v>
      </c>
      <c r="R549" s="79">
        <f t="shared" si="251"/>
        <v>-1.3463398920043714</v>
      </c>
      <c r="S549" s="79">
        <f t="shared" si="251"/>
        <v>-0.14651844044028106</v>
      </c>
      <c r="T549" s="79">
        <f t="shared" si="251"/>
        <v>-1.4670385639462592E-2</v>
      </c>
      <c r="U549" s="79">
        <f t="shared" si="251"/>
        <v>0</v>
      </c>
      <c r="V549" s="79">
        <f t="shared" si="251"/>
        <v>0</v>
      </c>
      <c r="W549" s="79">
        <f t="shared" si="251"/>
        <v>0</v>
      </c>
      <c r="X549" s="63">
        <f t="shared" si="251"/>
        <v>0</v>
      </c>
      <c r="Y549" s="63">
        <f t="shared" si="251"/>
        <v>0</v>
      </c>
      <c r="Z549" s="63">
        <f t="shared" si="251"/>
        <v>0</v>
      </c>
      <c r="AA549" s="63">
        <f t="shared" si="252"/>
        <v>-14506.2997678997</v>
      </c>
      <c r="AB549" s="58" t="str">
        <f t="shared" si="253"/>
        <v>ok</v>
      </c>
    </row>
    <row r="550" spans="1:28">
      <c r="A550" s="458" t="s">
        <v>607</v>
      </c>
      <c r="C550" s="60" t="s">
        <v>515</v>
      </c>
      <c r="D550" s="60" t="s">
        <v>558</v>
      </c>
      <c r="E550" s="60" t="s">
        <v>657</v>
      </c>
      <c r="F550" s="79">
        <f>VLOOKUP(C550,'Functional Assignment'!$C$2:$AP$780,'Functional Assignment'!$W$2,)</f>
        <v>-24787.715577665182</v>
      </c>
      <c r="G550" s="79">
        <f t="shared" si="250"/>
        <v>-21552.553698746931</v>
      </c>
      <c r="H550" s="79">
        <f t="shared" si="250"/>
        <v>-53.199185480354068</v>
      </c>
      <c r="I550" s="79">
        <f t="shared" si="250"/>
        <v>-2595.4063488509441</v>
      </c>
      <c r="J550" s="79">
        <f t="shared" si="250"/>
        <v>0</v>
      </c>
      <c r="K550" s="79">
        <f t="shared" si="250"/>
        <v>0</v>
      </c>
      <c r="L550" s="79">
        <f t="shared" si="250"/>
        <v>0</v>
      </c>
      <c r="M550" s="79">
        <f t="shared" si="250"/>
        <v>0</v>
      </c>
      <c r="N550" s="79">
        <f t="shared" si="250"/>
        <v>0</v>
      </c>
      <c r="O550" s="79">
        <f t="shared" si="250"/>
        <v>0</v>
      </c>
      <c r="P550" s="79">
        <f t="shared" si="250"/>
        <v>-578.60293046297318</v>
      </c>
      <c r="Q550" s="79">
        <f t="shared" si="251"/>
        <v>-1.0235808744688841</v>
      </c>
      <c r="R550" s="79">
        <f t="shared" si="251"/>
        <v>-6.3576451830365466</v>
      </c>
      <c r="S550" s="79">
        <f t="shared" si="251"/>
        <v>0</v>
      </c>
      <c r="T550" s="79">
        <f t="shared" si="251"/>
        <v>-0.57218806647328924</v>
      </c>
      <c r="U550" s="79">
        <f t="shared" si="251"/>
        <v>0</v>
      </c>
      <c r="V550" s="79">
        <f t="shared" si="251"/>
        <v>0</v>
      </c>
      <c r="W550" s="79">
        <f t="shared" si="251"/>
        <v>0</v>
      </c>
      <c r="X550" s="63">
        <f t="shared" si="251"/>
        <v>0</v>
      </c>
      <c r="Y550" s="63">
        <f t="shared" si="251"/>
        <v>0</v>
      </c>
      <c r="Z550" s="63">
        <f t="shared" si="251"/>
        <v>0</v>
      </c>
      <c r="AA550" s="63">
        <f t="shared" si="252"/>
        <v>-24787.715577665185</v>
      </c>
      <c r="AB550" s="58" t="str">
        <f t="shared" si="253"/>
        <v>ok</v>
      </c>
    </row>
    <row r="551" spans="1:28">
      <c r="A551" s="44" t="s">
        <v>365</v>
      </c>
      <c r="D551" s="60" t="s">
        <v>559</v>
      </c>
      <c r="F551" s="76">
        <f>SUM(F546:F550)</f>
        <v>-176367.76478219571</v>
      </c>
      <c r="G551" s="76">
        <f t="shared" ref="G551:W551" si="254">SUM(G546:G550)</f>
        <v>-131838.09478840639</v>
      </c>
      <c r="H551" s="76">
        <f t="shared" si="254"/>
        <v>-352.07367484261454</v>
      </c>
      <c r="I551" s="76">
        <f t="shared" si="254"/>
        <v>-19525.91693266571</v>
      </c>
      <c r="J551" s="76">
        <f t="shared" si="254"/>
        <v>-429.65655123476262</v>
      </c>
      <c r="K551" s="76">
        <f t="shared" si="254"/>
        <v>-9256.7278855605382</v>
      </c>
      <c r="L551" s="76">
        <f t="shared" si="254"/>
        <v>-5939.4241699766771</v>
      </c>
      <c r="M551" s="76">
        <f t="shared" si="254"/>
        <v>-5697.2042580464049</v>
      </c>
      <c r="N551" s="76">
        <f t="shared" si="254"/>
        <v>0</v>
      </c>
      <c r="O551" s="76">
        <f>SUM(O546:O550)</f>
        <v>-188.01056666265197</v>
      </c>
      <c r="P551" s="76">
        <f t="shared" si="254"/>
        <v>-3077.5406148623388</v>
      </c>
      <c r="Q551" s="76">
        <f t="shared" si="254"/>
        <v>-22.927549417091566</v>
      </c>
      <c r="R551" s="76">
        <f t="shared" si="254"/>
        <v>-36.460226801120392</v>
      </c>
      <c r="S551" s="76">
        <f t="shared" si="254"/>
        <v>-1.1149671979557931</v>
      </c>
      <c r="T551" s="76">
        <f t="shared" si="254"/>
        <v>-2.6125965214327489</v>
      </c>
      <c r="U551" s="76">
        <f t="shared" si="254"/>
        <v>0</v>
      </c>
      <c r="V551" s="76">
        <f t="shared" si="254"/>
        <v>0</v>
      </c>
      <c r="W551" s="76">
        <f t="shared" si="254"/>
        <v>0</v>
      </c>
      <c r="X551" s="62">
        <f>SUM(X546:X550)</f>
        <v>0</v>
      </c>
      <c r="Y551" s="62">
        <f>SUM(Y546:Y550)</f>
        <v>0</v>
      </c>
      <c r="Z551" s="62">
        <f>SUM(Z546:Z550)</f>
        <v>0</v>
      </c>
      <c r="AA551" s="64">
        <f t="shared" si="252"/>
        <v>-176367.76478219574</v>
      </c>
      <c r="AB551" s="58" t="str">
        <f t="shared" si="253"/>
        <v>ok</v>
      </c>
    </row>
    <row r="552" spans="1:28">
      <c r="A552" s="44"/>
      <c r="F552" s="79"/>
    </row>
    <row r="553" spans="1:28" ht="14.1">
      <c r="A553" s="45" t="s">
        <v>613</v>
      </c>
      <c r="F553" s="79"/>
    </row>
    <row r="554" spans="1:28">
      <c r="A554" s="458" t="s">
        <v>1014</v>
      </c>
      <c r="C554" s="60" t="s">
        <v>515</v>
      </c>
      <c r="D554" s="60" t="s">
        <v>560</v>
      </c>
      <c r="E554" s="60" t="s">
        <v>1207</v>
      </c>
      <c r="F554" s="76">
        <f>VLOOKUP(C554,'Functional Assignment'!$C$2:$AP$780,'Functional Assignment'!$X$2,)</f>
        <v>-17771.034245980842</v>
      </c>
      <c r="G554" s="76">
        <f t="shared" ref="G554:P555" si="255">IF(VLOOKUP($E554,$D$6:$AN$1150,3,)=0,0,(VLOOKUP($E554,$D$6:$AN$1150,G$2,)/VLOOKUP($E554,$D$6:$AN$1150,3,))*$F554)</f>
        <v>-12273.044373836718</v>
      </c>
      <c r="H554" s="76">
        <f t="shared" si="255"/>
        <v>-25.498103870795443</v>
      </c>
      <c r="I554" s="76">
        <f t="shared" si="255"/>
        <v>-1963.0882325151683</v>
      </c>
      <c r="J554" s="76">
        <f t="shared" si="255"/>
        <v>0</v>
      </c>
      <c r="K554" s="76">
        <f t="shared" si="255"/>
        <v>-1859.3183671152199</v>
      </c>
      <c r="L554" s="76">
        <f t="shared" si="255"/>
        <v>0</v>
      </c>
      <c r="M554" s="76">
        <f t="shared" si="255"/>
        <v>-1550.9658108059559</v>
      </c>
      <c r="N554" s="76">
        <f t="shared" si="255"/>
        <v>0</v>
      </c>
      <c r="O554" s="76">
        <f t="shared" si="255"/>
        <v>0</v>
      </c>
      <c r="P554" s="76">
        <f t="shared" si="255"/>
        <v>-94.1543329203448</v>
      </c>
      <c r="Q554" s="76">
        <f t="shared" ref="Q554:Z555" si="256">IF(VLOOKUP($E554,$D$6:$AN$1150,3,)=0,0,(VLOOKUP($E554,$D$6:$AN$1150,Q$2,)/VLOOKUP($E554,$D$6:$AN$1150,3,))*$F554)</f>
        <v>-3.2793973364467286</v>
      </c>
      <c r="R554" s="76">
        <f t="shared" si="256"/>
        <v>-1.5053959682841056</v>
      </c>
      <c r="S554" s="76">
        <f t="shared" si="256"/>
        <v>-0.16382807256026682</v>
      </c>
      <c r="T554" s="76">
        <f t="shared" si="256"/>
        <v>-1.6403539348404245E-2</v>
      </c>
      <c r="U554" s="76">
        <f t="shared" si="256"/>
        <v>0</v>
      </c>
      <c r="V554" s="76">
        <f t="shared" si="256"/>
        <v>0</v>
      </c>
      <c r="W554" s="76">
        <f t="shared" si="256"/>
        <v>0</v>
      </c>
      <c r="X554" s="62">
        <f t="shared" si="256"/>
        <v>0</v>
      </c>
      <c r="Y554" s="62">
        <f t="shared" si="256"/>
        <v>0</v>
      </c>
      <c r="Z554" s="62">
        <f t="shared" si="256"/>
        <v>0</v>
      </c>
      <c r="AA554" s="64">
        <f>SUM(G554:Z554)</f>
        <v>-17771.034245980845</v>
      </c>
      <c r="AB554" s="58" t="str">
        <f>IF(ABS(F554-AA554)&lt;0.01,"ok","err")</f>
        <v>ok</v>
      </c>
    </row>
    <row r="555" spans="1:28">
      <c r="A555" s="458" t="s">
        <v>1017</v>
      </c>
      <c r="C555" s="60" t="s">
        <v>515</v>
      </c>
      <c r="D555" s="60" t="s">
        <v>561</v>
      </c>
      <c r="E555" s="60" t="s">
        <v>1205</v>
      </c>
      <c r="F555" s="79">
        <f>VLOOKUP(C555,'Functional Assignment'!$C$2:$AP$780,'Functional Assignment'!$Y$2,)</f>
        <v>-9905.7149871887777</v>
      </c>
      <c r="G555" s="79">
        <f t="shared" si="255"/>
        <v>-8547.9872971935292</v>
      </c>
      <c r="H555" s="79">
        <f t="shared" si="255"/>
        <v>-21.09940047306543</v>
      </c>
      <c r="I555" s="79">
        <f t="shared" si="255"/>
        <v>-1029.3676012194871</v>
      </c>
      <c r="J555" s="79">
        <f t="shared" si="255"/>
        <v>0</v>
      </c>
      <c r="K555" s="79">
        <f t="shared" si="255"/>
        <v>-63.142687894251807</v>
      </c>
      <c r="L555" s="79">
        <f t="shared" si="255"/>
        <v>0</v>
      </c>
      <c r="M555" s="79">
        <f t="shared" si="255"/>
        <v>-11.46040640177609</v>
      </c>
      <c r="N555" s="79">
        <f t="shared" si="255"/>
        <v>0</v>
      </c>
      <c r="O555" s="79">
        <f t="shared" si="255"/>
        <v>0</v>
      </c>
      <c r="P555" s="79">
        <f t="shared" si="255"/>
        <v>-229.48048611074805</v>
      </c>
      <c r="Q555" s="79">
        <f t="shared" si="256"/>
        <v>-0.40596378670055089</v>
      </c>
      <c r="R555" s="79">
        <f t="shared" si="256"/>
        <v>-2.5215142031090116</v>
      </c>
      <c r="S555" s="79">
        <f t="shared" si="256"/>
        <v>-2.2693627827981101E-2</v>
      </c>
      <c r="T555" s="79">
        <f t="shared" si="256"/>
        <v>-0.22693627827981103</v>
      </c>
      <c r="U555" s="79">
        <f t="shared" si="256"/>
        <v>0</v>
      </c>
      <c r="V555" s="79">
        <f t="shared" si="256"/>
        <v>0</v>
      </c>
      <c r="W555" s="79">
        <f t="shared" si="256"/>
        <v>0</v>
      </c>
      <c r="X555" s="63">
        <f t="shared" si="256"/>
        <v>0</v>
      </c>
      <c r="Y555" s="63">
        <f t="shared" si="256"/>
        <v>0</v>
      </c>
      <c r="Z555" s="63">
        <f t="shared" si="256"/>
        <v>0</v>
      </c>
      <c r="AA555" s="63">
        <f>SUM(G555:Z555)</f>
        <v>-9905.7149871887741</v>
      </c>
      <c r="AB555" s="58" t="str">
        <f>IF(ABS(F555-AA555)&lt;0.01,"ok","err")</f>
        <v>ok</v>
      </c>
    </row>
    <row r="556" spans="1:28">
      <c r="A556" s="44" t="s">
        <v>672</v>
      </c>
      <c r="D556" s="60" t="s">
        <v>562</v>
      </c>
      <c r="F556" s="76">
        <f>F554+F555</f>
        <v>-27676.749233169619</v>
      </c>
      <c r="G556" s="76">
        <f t="shared" ref="G556:W556" si="257">G554+G555</f>
        <v>-20821.031671030247</v>
      </c>
      <c r="H556" s="76">
        <f t="shared" si="257"/>
        <v>-46.597504343860876</v>
      </c>
      <c r="I556" s="76">
        <f t="shared" si="257"/>
        <v>-2992.4558337346552</v>
      </c>
      <c r="J556" s="76">
        <f t="shared" si="257"/>
        <v>0</v>
      </c>
      <c r="K556" s="76">
        <f t="shared" si="257"/>
        <v>-1922.4610550094717</v>
      </c>
      <c r="L556" s="76">
        <f t="shared" si="257"/>
        <v>0</v>
      </c>
      <c r="M556" s="76">
        <f t="shared" si="257"/>
        <v>-1562.426217207732</v>
      </c>
      <c r="N556" s="76">
        <f t="shared" si="257"/>
        <v>0</v>
      </c>
      <c r="O556" s="76">
        <f>O554+O555</f>
        <v>0</v>
      </c>
      <c r="P556" s="76">
        <f t="shared" si="257"/>
        <v>-323.63481903109283</v>
      </c>
      <c r="Q556" s="76">
        <f t="shared" si="257"/>
        <v>-3.6853611231472794</v>
      </c>
      <c r="R556" s="76">
        <f t="shared" si="257"/>
        <v>-4.0269101713931175</v>
      </c>
      <c r="S556" s="76">
        <f t="shared" si="257"/>
        <v>-0.18652170038824792</v>
      </c>
      <c r="T556" s="76">
        <f t="shared" si="257"/>
        <v>-0.24333981762821527</v>
      </c>
      <c r="U556" s="76">
        <f t="shared" si="257"/>
        <v>0</v>
      </c>
      <c r="V556" s="76">
        <f t="shared" si="257"/>
        <v>0</v>
      </c>
      <c r="W556" s="76">
        <f t="shared" si="257"/>
        <v>0</v>
      </c>
      <c r="X556" s="62">
        <f>X554+X555</f>
        <v>0</v>
      </c>
      <c r="Y556" s="62">
        <f>Y554+Y555</f>
        <v>0</v>
      </c>
      <c r="Z556" s="62">
        <f>Z554+Z555</f>
        <v>0</v>
      </c>
      <c r="AA556" s="64">
        <f>SUM(G556:Z556)</f>
        <v>-27676.749233169619</v>
      </c>
      <c r="AB556" s="58" t="str">
        <f>IF(ABS(F556-AA556)&lt;0.01,"ok","err")</f>
        <v>ok</v>
      </c>
    </row>
    <row r="557" spans="1:28">
      <c r="A557" s="44"/>
      <c r="F557" s="79"/>
    </row>
    <row r="558" spans="1:28" ht="14.1">
      <c r="A558" s="45" t="s">
        <v>343</v>
      </c>
      <c r="F558" s="79"/>
    </row>
    <row r="559" spans="1:28">
      <c r="A559" s="458" t="s">
        <v>1017</v>
      </c>
      <c r="C559" s="60" t="s">
        <v>515</v>
      </c>
      <c r="D559" s="60" t="s">
        <v>563</v>
      </c>
      <c r="E559" s="60" t="s">
        <v>1019</v>
      </c>
      <c r="F559" s="76">
        <f>VLOOKUP(C559,'Functional Assignment'!$C$2:$AP$780,'Functional Assignment'!$Z$2,)</f>
        <v>-6333.4266142562346</v>
      </c>
      <c r="G559" s="76">
        <f t="shared" ref="G559:Z559" si="258">IF(VLOOKUP($E559,$D$6:$AN$1150,3,)=0,0,(VLOOKUP($E559,$D$6:$AN$1150,G$2,)/VLOOKUP($E559,$D$6:$AN$1150,3,))*$F559)</f>
        <v>-5441.6859314802186</v>
      </c>
      <c r="H559" s="76">
        <f t="shared" si="258"/>
        <v>-13.431970208313675</v>
      </c>
      <c r="I559" s="76">
        <f t="shared" si="258"/>
        <v>-776.94045812395007</v>
      </c>
      <c r="J559" s="76">
        <f t="shared" si="258"/>
        <v>0</v>
      </c>
      <c r="K559" s="76">
        <f t="shared" si="258"/>
        <v>-79.915193116538319</v>
      </c>
      <c r="L559" s="76">
        <f t="shared" si="258"/>
        <v>0</v>
      </c>
      <c r="M559" s="76">
        <f t="shared" si="258"/>
        <v>-21.424339622280211</v>
      </c>
      <c r="N559" s="76">
        <f t="shared" si="258"/>
        <v>0</v>
      </c>
      <c r="O559" s="76">
        <f t="shared" si="258"/>
        <v>0</v>
      </c>
      <c r="P559" s="76">
        <f t="shared" si="258"/>
        <v>0</v>
      </c>
      <c r="Q559" s="76">
        <f t="shared" si="258"/>
        <v>0</v>
      </c>
      <c r="R559" s="76">
        <f t="shared" si="258"/>
        <v>0</v>
      </c>
      <c r="S559" s="76">
        <f t="shared" si="258"/>
        <v>-2.872170493320186E-2</v>
      </c>
      <c r="T559" s="76">
        <f t="shared" si="258"/>
        <v>0</v>
      </c>
      <c r="U559" s="76">
        <f t="shared" si="258"/>
        <v>0</v>
      </c>
      <c r="V559" s="76">
        <f t="shared" si="258"/>
        <v>0</v>
      </c>
      <c r="W559" s="76">
        <f t="shared" si="258"/>
        <v>0</v>
      </c>
      <c r="X559" s="62">
        <f t="shared" si="258"/>
        <v>0</v>
      </c>
      <c r="Y559" s="62">
        <f t="shared" si="258"/>
        <v>0</v>
      </c>
      <c r="Z559" s="62">
        <f t="shared" si="258"/>
        <v>0</v>
      </c>
      <c r="AA559" s="64">
        <f>SUM(G559:Z559)</f>
        <v>-6333.4266142562346</v>
      </c>
      <c r="AB559" s="58" t="str">
        <f>IF(ABS(F559-AA559)&lt;0.01,"ok","err")</f>
        <v>ok</v>
      </c>
    </row>
    <row r="560" spans="1:28">
      <c r="A560" s="44"/>
      <c r="F560" s="79"/>
    </row>
    <row r="561" spans="1:28" ht="14.1">
      <c r="A561" s="45" t="s">
        <v>342</v>
      </c>
      <c r="F561" s="79"/>
    </row>
    <row r="562" spans="1:28">
      <c r="A562" s="458" t="s">
        <v>1017</v>
      </c>
      <c r="C562" s="60" t="s">
        <v>515</v>
      </c>
      <c r="D562" s="60" t="s">
        <v>564</v>
      </c>
      <c r="E562" s="60" t="s">
        <v>1020</v>
      </c>
      <c r="F562" s="76">
        <f>VLOOKUP(C562,'Functional Assignment'!$C$2:$AP$780,'Functional Assignment'!$AA$2,)</f>
        <v>-6459.0024748242704</v>
      </c>
      <c r="G562" s="76">
        <f t="shared" ref="G562:Z562" si="259">IF(VLOOKUP($E562,$D$6:$AN$1150,3,)=0,0,(VLOOKUP($E562,$D$6:$AN$1150,G$2,)/VLOOKUP($E562,$D$6:$AN$1150,3,))*$F562)</f>
        <v>-4404.1559214122462</v>
      </c>
      <c r="H562" s="76">
        <f t="shared" si="259"/>
        <v>-10.870985917609937</v>
      </c>
      <c r="I562" s="76">
        <f t="shared" si="259"/>
        <v>-1371.7656336007158</v>
      </c>
      <c r="J562" s="76">
        <f t="shared" si="259"/>
        <v>-44.837856458398861</v>
      </c>
      <c r="K562" s="76">
        <f t="shared" si="259"/>
        <v>-383.61088966799582</v>
      </c>
      <c r="L562" s="76">
        <f t="shared" si="259"/>
        <v>-89.558995363960989</v>
      </c>
      <c r="M562" s="76">
        <f t="shared" si="259"/>
        <v>-75.837497517209854</v>
      </c>
      <c r="N562" s="76">
        <f t="shared" si="259"/>
        <v>-63.290840914507186</v>
      </c>
      <c r="O562" s="76">
        <f t="shared" si="259"/>
        <v>-1.3611356307397471</v>
      </c>
      <c r="P562" s="76">
        <f t="shared" si="259"/>
        <v>0</v>
      </c>
      <c r="Q562" s="76">
        <f t="shared" si="259"/>
        <v>-1.8824724202583489</v>
      </c>
      <c r="R562" s="76">
        <f t="shared" si="259"/>
        <v>-11.692375281107758</v>
      </c>
      <c r="S562" s="76">
        <f t="shared" si="259"/>
        <v>-0.13787063951832063</v>
      </c>
      <c r="T562" s="76">
        <f t="shared" si="259"/>
        <v>0</v>
      </c>
      <c r="U562" s="76">
        <f t="shared" si="259"/>
        <v>0</v>
      </c>
      <c r="V562" s="76">
        <f t="shared" si="259"/>
        <v>0</v>
      </c>
      <c r="W562" s="76">
        <f t="shared" si="259"/>
        <v>0</v>
      </c>
      <c r="X562" s="62">
        <f t="shared" si="259"/>
        <v>0</v>
      </c>
      <c r="Y562" s="62">
        <f t="shared" si="259"/>
        <v>0</v>
      </c>
      <c r="Z562" s="62">
        <f t="shared" si="259"/>
        <v>0</v>
      </c>
      <c r="AA562" s="64">
        <f>SUM(G562:Z562)</f>
        <v>-6459.0024748242704</v>
      </c>
      <c r="AB562" s="58" t="str">
        <f>IF(ABS(F562-AA562)&lt;0.01,"ok","err")</f>
        <v>ok</v>
      </c>
    </row>
    <row r="563" spans="1:28">
      <c r="A563" s="44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62"/>
      <c r="Y563" s="62"/>
      <c r="Z563" s="62"/>
      <c r="AA563" s="64"/>
    </row>
    <row r="564" spans="1:28" ht="14.1">
      <c r="A564" s="45" t="s">
        <v>358</v>
      </c>
      <c r="F564" s="79"/>
    </row>
    <row r="565" spans="1:28">
      <c r="A565" s="458" t="s">
        <v>1017</v>
      </c>
      <c r="C565" s="60" t="s">
        <v>515</v>
      </c>
      <c r="D565" s="60" t="s">
        <v>565</v>
      </c>
      <c r="E565" s="60" t="s">
        <v>1021</v>
      </c>
      <c r="F565" s="76">
        <f>VLOOKUP(C565,'Functional Assignment'!$C$2:$AP$780,'Functional Assignment'!$AB$2,)</f>
        <v>-20881.59187356992</v>
      </c>
      <c r="G565" s="76">
        <f t="shared" ref="G565:Z565" si="260">IF(VLOOKUP($E565,$D$6:$AN$1150,3,)=0,0,(VLOOKUP($E565,$D$6:$AN$1150,G$2,)/VLOOKUP($E565,$D$6:$AN$1150,3,))*$F565)</f>
        <v>0</v>
      </c>
      <c r="H565" s="76">
        <f t="shared" si="260"/>
        <v>0</v>
      </c>
      <c r="I565" s="76">
        <f t="shared" si="260"/>
        <v>0</v>
      </c>
      <c r="J565" s="76">
        <f t="shared" si="260"/>
        <v>0</v>
      </c>
      <c r="K565" s="76">
        <f t="shared" si="260"/>
        <v>0</v>
      </c>
      <c r="L565" s="76">
        <f t="shared" si="260"/>
        <v>0</v>
      </c>
      <c r="M565" s="76">
        <f t="shared" si="260"/>
        <v>0</v>
      </c>
      <c r="N565" s="76">
        <f t="shared" si="260"/>
        <v>0</v>
      </c>
      <c r="O565" s="76">
        <f t="shared" si="260"/>
        <v>0</v>
      </c>
      <c r="P565" s="76">
        <f t="shared" si="260"/>
        <v>-20881.59187356992</v>
      </c>
      <c r="Q565" s="76">
        <f t="shared" si="260"/>
        <v>0</v>
      </c>
      <c r="R565" s="76">
        <f t="shared" si="260"/>
        <v>0</v>
      </c>
      <c r="S565" s="76">
        <f t="shared" si="260"/>
        <v>0</v>
      </c>
      <c r="T565" s="76">
        <f t="shared" si="260"/>
        <v>0</v>
      </c>
      <c r="U565" s="76">
        <f t="shared" si="260"/>
        <v>0</v>
      </c>
      <c r="V565" s="76">
        <f t="shared" si="260"/>
        <v>0</v>
      </c>
      <c r="W565" s="76">
        <f t="shared" si="260"/>
        <v>0</v>
      </c>
      <c r="X565" s="62">
        <f t="shared" si="260"/>
        <v>0</v>
      </c>
      <c r="Y565" s="62">
        <f t="shared" si="260"/>
        <v>0</v>
      </c>
      <c r="Z565" s="62">
        <f t="shared" si="260"/>
        <v>0</v>
      </c>
      <c r="AA565" s="64">
        <f>SUM(G565:Z565)</f>
        <v>-20881.59187356992</v>
      </c>
      <c r="AB565" s="58" t="str">
        <f>IF(ABS(F565-AA565)&lt;0.01,"ok","err")</f>
        <v>ok</v>
      </c>
    </row>
    <row r="566" spans="1:28">
      <c r="A566" s="44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62"/>
      <c r="Y566" s="62"/>
      <c r="Z566" s="62"/>
      <c r="AA566" s="64"/>
    </row>
    <row r="567" spans="1:28" ht="14.1">
      <c r="A567" s="45" t="s">
        <v>949</v>
      </c>
      <c r="F567" s="79"/>
    </row>
    <row r="568" spans="1:28">
      <c r="A568" s="458" t="s">
        <v>1017</v>
      </c>
      <c r="C568" s="60" t="s">
        <v>515</v>
      </c>
      <c r="D568" s="60" t="s">
        <v>566</v>
      </c>
      <c r="E568" s="60" t="s">
        <v>1022</v>
      </c>
      <c r="F568" s="76">
        <f>VLOOKUP(C568,'Functional Assignment'!$C$2:$AP$780,'Functional Assignment'!$AC$2,)</f>
        <v>0</v>
      </c>
      <c r="G568" s="76">
        <f t="shared" ref="G568:Z568" si="261">IF(VLOOKUP($E568,$D$6:$AN$1150,3,)=0,0,(VLOOKUP($E568,$D$6:$AN$1150,G$2,)/VLOOKUP($E568,$D$6:$AN$1150,3,))*$F568)</f>
        <v>0</v>
      </c>
      <c r="H568" s="76">
        <f t="shared" si="261"/>
        <v>0</v>
      </c>
      <c r="I568" s="76">
        <f t="shared" si="261"/>
        <v>0</v>
      </c>
      <c r="J568" s="76">
        <f t="shared" si="261"/>
        <v>0</v>
      </c>
      <c r="K568" s="76">
        <f t="shared" si="261"/>
        <v>0</v>
      </c>
      <c r="L568" s="76">
        <f t="shared" si="261"/>
        <v>0</v>
      </c>
      <c r="M568" s="76">
        <f t="shared" si="261"/>
        <v>0</v>
      </c>
      <c r="N568" s="76">
        <f t="shared" si="261"/>
        <v>0</v>
      </c>
      <c r="O568" s="76">
        <f t="shared" si="261"/>
        <v>0</v>
      </c>
      <c r="P568" s="76">
        <f t="shared" si="261"/>
        <v>0</v>
      </c>
      <c r="Q568" s="76">
        <f t="shared" si="261"/>
        <v>0</v>
      </c>
      <c r="R568" s="76">
        <f t="shared" si="261"/>
        <v>0</v>
      </c>
      <c r="S568" s="76">
        <f t="shared" si="261"/>
        <v>0</v>
      </c>
      <c r="T568" s="76">
        <f t="shared" si="261"/>
        <v>0</v>
      </c>
      <c r="U568" s="76">
        <f t="shared" si="261"/>
        <v>0</v>
      </c>
      <c r="V568" s="76">
        <f t="shared" si="261"/>
        <v>0</v>
      </c>
      <c r="W568" s="76">
        <f t="shared" si="261"/>
        <v>0</v>
      </c>
      <c r="X568" s="62">
        <f t="shared" si="261"/>
        <v>0</v>
      </c>
      <c r="Y568" s="62">
        <f t="shared" si="261"/>
        <v>0</v>
      </c>
      <c r="Z568" s="62">
        <f t="shared" si="261"/>
        <v>0</v>
      </c>
      <c r="AA568" s="64">
        <f>SUM(G568:Z568)</f>
        <v>0</v>
      </c>
      <c r="AB568" s="58" t="str">
        <f>IF(ABS(F568-AA568)&lt;0.01,"ok","err")</f>
        <v>ok</v>
      </c>
    </row>
    <row r="569" spans="1:28">
      <c r="A569" s="44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62"/>
      <c r="Y569" s="62"/>
      <c r="Z569" s="62"/>
      <c r="AA569" s="64"/>
    </row>
    <row r="570" spans="1:28" ht="14.1">
      <c r="A570" s="45" t="s">
        <v>340</v>
      </c>
      <c r="F570" s="79"/>
    </row>
    <row r="571" spans="1:28">
      <c r="A571" s="458" t="s">
        <v>1017</v>
      </c>
      <c r="C571" s="60" t="s">
        <v>515</v>
      </c>
      <c r="D571" s="60" t="s">
        <v>567</v>
      </c>
      <c r="E571" s="60" t="s">
        <v>1022</v>
      </c>
      <c r="F571" s="76">
        <f>VLOOKUP(C571,'Functional Assignment'!$C$2:$AP$780,'Functional Assignment'!$AD$2,)</f>
        <v>0</v>
      </c>
      <c r="G571" s="76">
        <f t="shared" ref="G571:Z571" si="262">IF(VLOOKUP($E571,$D$6:$AN$1150,3,)=0,0,(VLOOKUP($E571,$D$6:$AN$1150,G$2,)/VLOOKUP($E571,$D$6:$AN$1150,3,))*$F571)</f>
        <v>0</v>
      </c>
      <c r="H571" s="76">
        <f t="shared" si="262"/>
        <v>0</v>
      </c>
      <c r="I571" s="76">
        <f t="shared" si="262"/>
        <v>0</v>
      </c>
      <c r="J571" s="76">
        <f t="shared" si="262"/>
        <v>0</v>
      </c>
      <c r="K571" s="76">
        <f t="shared" si="262"/>
        <v>0</v>
      </c>
      <c r="L571" s="76">
        <f t="shared" si="262"/>
        <v>0</v>
      </c>
      <c r="M571" s="76">
        <f t="shared" si="262"/>
        <v>0</v>
      </c>
      <c r="N571" s="76">
        <f t="shared" si="262"/>
        <v>0</v>
      </c>
      <c r="O571" s="76">
        <f t="shared" si="262"/>
        <v>0</v>
      </c>
      <c r="P571" s="76">
        <f t="shared" si="262"/>
        <v>0</v>
      </c>
      <c r="Q571" s="76">
        <f t="shared" si="262"/>
        <v>0</v>
      </c>
      <c r="R571" s="76">
        <f t="shared" si="262"/>
        <v>0</v>
      </c>
      <c r="S571" s="76">
        <f t="shared" si="262"/>
        <v>0</v>
      </c>
      <c r="T571" s="76">
        <f t="shared" si="262"/>
        <v>0</v>
      </c>
      <c r="U571" s="76">
        <f t="shared" si="262"/>
        <v>0</v>
      </c>
      <c r="V571" s="76">
        <f t="shared" si="262"/>
        <v>0</v>
      </c>
      <c r="W571" s="76">
        <f t="shared" si="262"/>
        <v>0</v>
      </c>
      <c r="X571" s="62">
        <f t="shared" si="262"/>
        <v>0</v>
      </c>
      <c r="Y571" s="62">
        <f t="shared" si="262"/>
        <v>0</v>
      </c>
      <c r="Z571" s="62">
        <f t="shared" si="262"/>
        <v>0</v>
      </c>
      <c r="AA571" s="64">
        <f>SUM(G571:Z571)</f>
        <v>0</v>
      </c>
      <c r="AB571" s="58" t="str">
        <f>IF(ABS(F571-AA571)&lt;0.01,"ok","err")</f>
        <v>ok</v>
      </c>
    </row>
    <row r="572" spans="1:28">
      <c r="A572" s="44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62"/>
      <c r="Y572" s="62"/>
      <c r="Z572" s="62"/>
      <c r="AA572" s="64"/>
    </row>
    <row r="573" spans="1:28" ht="14.1">
      <c r="A573" s="45" t="s">
        <v>339</v>
      </c>
      <c r="F573" s="79"/>
    </row>
    <row r="574" spans="1:28">
      <c r="A574" s="458" t="s">
        <v>1017</v>
      </c>
      <c r="C574" s="60" t="s">
        <v>515</v>
      </c>
      <c r="D574" s="60" t="s">
        <v>568</v>
      </c>
      <c r="E574" s="60" t="s">
        <v>1023</v>
      </c>
      <c r="F574" s="76">
        <f>VLOOKUP(C574,'Functional Assignment'!$C$2:$AP$780,'Functional Assignment'!$AE$2,)</f>
        <v>0</v>
      </c>
      <c r="G574" s="76">
        <f t="shared" ref="G574:Z574" si="263">IF(VLOOKUP($E574,$D$6:$AN$1150,3,)=0,0,(VLOOKUP($E574,$D$6:$AN$1150,G$2,)/VLOOKUP($E574,$D$6:$AN$1150,3,))*$F574)</f>
        <v>0</v>
      </c>
      <c r="H574" s="76">
        <f t="shared" si="263"/>
        <v>0</v>
      </c>
      <c r="I574" s="76">
        <f t="shared" si="263"/>
        <v>0</v>
      </c>
      <c r="J574" s="76">
        <f t="shared" si="263"/>
        <v>0</v>
      </c>
      <c r="K574" s="76">
        <f t="shared" si="263"/>
        <v>0</v>
      </c>
      <c r="L574" s="76">
        <f t="shared" si="263"/>
        <v>0</v>
      </c>
      <c r="M574" s="76">
        <f t="shared" si="263"/>
        <v>0</v>
      </c>
      <c r="N574" s="76">
        <f t="shared" si="263"/>
        <v>0</v>
      </c>
      <c r="O574" s="76">
        <f t="shared" si="263"/>
        <v>0</v>
      </c>
      <c r="P574" s="76">
        <f t="shared" si="263"/>
        <v>0</v>
      </c>
      <c r="Q574" s="76">
        <f t="shared" si="263"/>
        <v>0</v>
      </c>
      <c r="R574" s="76">
        <f t="shared" si="263"/>
        <v>0</v>
      </c>
      <c r="S574" s="76">
        <f t="shared" si="263"/>
        <v>0</v>
      </c>
      <c r="T574" s="76">
        <f t="shared" si="263"/>
        <v>0</v>
      </c>
      <c r="U574" s="76">
        <f t="shared" si="263"/>
        <v>0</v>
      </c>
      <c r="V574" s="76">
        <f t="shared" si="263"/>
        <v>0</v>
      </c>
      <c r="W574" s="76">
        <f t="shared" si="263"/>
        <v>0</v>
      </c>
      <c r="X574" s="62">
        <f t="shared" si="263"/>
        <v>0</v>
      </c>
      <c r="Y574" s="62">
        <f t="shared" si="263"/>
        <v>0</v>
      </c>
      <c r="Z574" s="62">
        <f t="shared" si="263"/>
        <v>0</v>
      </c>
      <c r="AA574" s="64">
        <f>SUM(G574:Z574)</f>
        <v>0</v>
      </c>
      <c r="AB574" s="58" t="str">
        <f>IF(ABS(F574-AA574)&lt;0.01,"ok","err")</f>
        <v>ok</v>
      </c>
    </row>
    <row r="575" spans="1:28">
      <c r="A575" s="44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62"/>
      <c r="Y575" s="62"/>
      <c r="Z575" s="62"/>
      <c r="AA575" s="64"/>
    </row>
    <row r="576" spans="1:28">
      <c r="A576" s="44" t="s">
        <v>846</v>
      </c>
      <c r="D576" s="60" t="s">
        <v>1035</v>
      </c>
      <c r="F576" s="76">
        <f>F531+F537+F540+F543+F551+F556+F559+F562+F565+F568+F571+F574</f>
        <v>-916996.00000000012</v>
      </c>
      <c r="G576" s="76">
        <f t="shared" ref="G576:Z576" si="264">G531+G537+G540+G543+G551+G556+G559+G562+G565+G568+G571+G574</f>
        <v>-458862.48737190949</v>
      </c>
      <c r="H576" s="76">
        <f t="shared" si="264"/>
        <v>-727.98822373383473</v>
      </c>
      <c r="I576" s="76">
        <f t="shared" si="264"/>
        <v>-105421.67495801237</v>
      </c>
      <c r="J576" s="76">
        <f t="shared" si="264"/>
        <v>-5916.3981678281643</v>
      </c>
      <c r="K576" s="76">
        <f t="shared" si="264"/>
        <v>-101641.80495353245</v>
      </c>
      <c r="L576" s="76">
        <f t="shared" si="264"/>
        <v>-86248.088263757658</v>
      </c>
      <c r="M576" s="76">
        <f t="shared" si="264"/>
        <v>-76888.20755966939</v>
      </c>
      <c r="N576" s="76">
        <f t="shared" si="264"/>
        <v>-37075.540052353863</v>
      </c>
      <c r="O576" s="76">
        <f>O531+O537+O540+O543+O551+O556+O559+O562+O565+O568+O571+O574</f>
        <v>-2531.6744163383464</v>
      </c>
      <c r="P576" s="76">
        <f t="shared" si="264"/>
        <v>-27253.427022410709</v>
      </c>
      <c r="Q576" s="76">
        <f t="shared" si="264"/>
        <v>-131.96352143618196</v>
      </c>
      <c r="R576" s="76">
        <f t="shared" si="264"/>
        <v>-162.54941863734248</v>
      </c>
      <c r="S576" s="76">
        <f t="shared" si="264"/>
        <v>-3.3087633486676418</v>
      </c>
      <c r="T576" s="76">
        <f t="shared" si="264"/>
        <v>-3.8873070315677523</v>
      </c>
      <c r="U576" s="76">
        <f t="shared" si="264"/>
        <v>-13727.717595343111</v>
      </c>
      <c r="V576" s="76">
        <f t="shared" si="264"/>
        <v>-399.28240465688896</v>
      </c>
      <c r="W576" s="76">
        <f t="shared" si="264"/>
        <v>0</v>
      </c>
      <c r="X576" s="62">
        <f t="shared" si="264"/>
        <v>0</v>
      </c>
      <c r="Y576" s="62">
        <f t="shared" si="264"/>
        <v>0</v>
      </c>
      <c r="Z576" s="62">
        <f t="shared" si="264"/>
        <v>0</v>
      </c>
      <c r="AA576" s="64">
        <f>SUM(G576:Z576)</f>
        <v>-916995.99999999988</v>
      </c>
      <c r="AB576" s="58" t="str">
        <f>IF(ABS(F576-AA576)&lt;0.01,"ok","err")</f>
        <v>ok</v>
      </c>
    </row>
    <row r="577" spans="1:28">
      <c r="A577" s="44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62"/>
      <c r="Y577" s="62"/>
      <c r="Z577" s="62"/>
      <c r="AA577" s="64"/>
      <c r="AB577" s="58"/>
    </row>
    <row r="578" spans="1:28">
      <c r="A578" s="44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62"/>
      <c r="Y578" s="62"/>
      <c r="Z578" s="62"/>
      <c r="AA578" s="64"/>
      <c r="AB578" s="58"/>
    </row>
    <row r="579" spans="1:28">
      <c r="A579" s="44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62"/>
      <c r="Y579" s="62"/>
      <c r="Z579" s="62"/>
      <c r="AA579" s="64"/>
      <c r="AB579" s="58"/>
    </row>
    <row r="580" spans="1:28" ht="14.1">
      <c r="A580" s="45" t="s">
        <v>994</v>
      </c>
    </row>
    <row r="581" spans="1:28">
      <c r="A581" s="44"/>
    </row>
    <row r="582" spans="1:28" ht="14.1">
      <c r="A582" s="45" t="s">
        <v>352</v>
      </c>
    </row>
    <row r="583" spans="1:28">
      <c r="A583" s="458" t="s">
        <v>1441</v>
      </c>
      <c r="B583" s="44"/>
      <c r="C583" s="44" t="s">
        <v>999</v>
      </c>
      <c r="D583" s="44" t="s">
        <v>1442</v>
      </c>
      <c r="E583" s="44" t="s">
        <v>1410</v>
      </c>
      <c r="F583" s="76">
        <f>VLOOKUP(C583,'Functional Assignment'!$C$2:$AP$780,'Functional Assignment'!$H$2,)</f>
        <v>0</v>
      </c>
      <c r="G583" s="76">
        <f t="shared" ref="G583:P588" si="265">IF(VLOOKUP($E583,$D$6:$AN$1150,3,)=0,0,(VLOOKUP($E583,$D$6:$AN$1150,G$2,)/VLOOKUP($E583,$D$6:$AN$1150,3,))*$F583)</f>
        <v>0</v>
      </c>
      <c r="H583" s="76">
        <f t="shared" si="265"/>
        <v>0</v>
      </c>
      <c r="I583" s="76">
        <f t="shared" si="265"/>
        <v>0</v>
      </c>
      <c r="J583" s="76">
        <f t="shared" si="265"/>
        <v>0</v>
      </c>
      <c r="K583" s="76">
        <f t="shared" si="265"/>
        <v>0</v>
      </c>
      <c r="L583" s="76">
        <f t="shared" si="265"/>
        <v>0</v>
      </c>
      <c r="M583" s="76">
        <f t="shared" si="265"/>
        <v>0</v>
      </c>
      <c r="N583" s="76">
        <f t="shared" si="265"/>
        <v>0</v>
      </c>
      <c r="O583" s="76">
        <f t="shared" si="265"/>
        <v>0</v>
      </c>
      <c r="P583" s="76">
        <f t="shared" si="265"/>
        <v>0</v>
      </c>
      <c r="Q583" s="76">
        <f t="shared" ref="Q583:Z588" si="266">IF(VLOOKUP($E583,$D$6:$AN$1150,3,)=0,0,(VLOOKUP($E583,$D$6:$AN$1150,Q$2,)/VLOOKUP($E583,$D$6:$AN$1150,3,))*$F583)</f>
        <v>0</v>
      </c>
      <c r="R583" s="76">
        <f t="shared" si="266"/>
        <v>0</v>
      </c>
      <c r="S583" s="76">
        <f t="shared" si="266"/>
        <v>0</v>
      </c>
      <c r="T583" s="76">
        <f t="shared" si="266"/>
        <v>0</v>
      </c>
      <c r="U583" s="76">
        <f t="shared" si="266"/>
        <v>0</v>
      </c>
      <c r="V583" s="76">
        <f t="shared" si="266"/>
        <v>0</v>
      </c>
      <c r="W583" s="76">
        <f t="shared" si="266"/>
        <v>0</v>
      </c>
      <c r="X583" s="62">
        <f t="shared" si="266"/>
        <v>0</v>
      </c>
      <c r="Y583" s="62">
        <f t="shared" si="266"/>
        <v>0</v>
      </c>
      <c r="Z583" s="62">
        <f t="shared" si="266"/>
        <v>0</v>
      </c>
      <c r="AA583" s="64">
        <f t="shared" ref="AA583:AA589" si="267">SUM(G583:Z583)</f>
        <v>0</v>
      </c>
      <c r="AB583" s="58" t="str">
        <f t="shared" ref="AB583:AB589" si="268">IF(ABS(F583-AA583)&lt;0.01,"ok","err")</f>
        <v>ok</v>
      </c>
    </row>
    <row r="584" spans="1:28" hidden="1">
      <c r="A584" s="458" t="s">
        <v>1256</v>
      </c>
      <c r="B584" s="44"/>
      <c r="C584" s="44" t="s">
        <v>999</v>
      </c>
      <c r="D584" s="44" t="s">
        <v>543</v>
      </c>
      <c r="E584" s="44" t="s">
        <v>1412</v>
      </c>
      <c r="F584" s="79">
        <f>VLOOKUP(C584,'Functional Assignment'!$C$2:$AP$780,'Functional Assignment'!$I$2,)</f>
        <v>0</v>
      </c>
      <c r="G584" s="79">
        <f t="shared" si="265"/>
        <v>0</v>
      </c>
      <c r="H584" s="79">
        <f t="shared" si="265"/>
        <v>0</v>
      </c>
      <c r="I584" s="79">
        <f t="shared" si="265"/>
        <v>0</v>
      </c>
      <c r="J584" s="79">
        <f t="shared" si="265"/>
        <v>0</v>
      </c>
      <c r="K584" s="79">
        <f t="shared" si="265"/>
        <v>0</v>
      </c>
      <c r="L584" s="79">
        <f t="shared" si="265"/>
        <v>0</v>
      </c>
      <c r="M584" s="79">
        <f t="shared" si="265"/>
        <v>0</v>
      </c>
      <c r="N584" s="79">
        <f t="shared" si="265"/>
        <v>0</v>
      </c>
      <c r="O584" s="79">
        <f t="shared" si="265"/>
        <v>0</v>
      </c>
      <c r="P584" s="79">
        <f t="shared" si="265"/>
        <v>0</v>
      </c>
      <c r="Q584" s="79">
        <f t="shared" si="266"/>
        <v>0</v>
      </c>
      <c r="R584" s="79">
        <f t="shared" si="266"/>
        <v>0</v>
      </c>
      <c r="S584" s="79">
        <f t="shared" si="266"/>
        <v>0</v>
      </c>
      <c r="T584" s="79">
        <f t="shared" si="266"/>
        <v>0</v>
      </c>
      <c r="U584" s="79">
        <f t="shared" si="266"/>
        <v>0</v>
      </c>
      <c r="V584" s="79">
        <f t="shared" si="266"/>
        <v>0</v>
      </c>
      <c r="W584" s="79">
        <f t="shared" si="266"/>
        <v>0</v>
      </c>
      <c r="X584" s="63">
        <f t="shared" si="266"/>
        <v>0</v>
      </c>
      <c r="Y584" s="63">
        <f t="shared" si="266"/>
        <v>0</v>
      </c>
      <c r="Z584" s="63">
        <f t="shared" si="266"/>
        <v>0</v>
      </c>
      <c r="AA584" s="63">
        <f t="shared" si="267"/>
        <v>0</v>
      </c>
      <c r="AB584" s="58" t="str">
        <f t="shared" si="268"/>
        <v>ok</v>
      </c>
    </row>
    <row r="585" spans="1:28" hidden="1">
      <c r="A585" s="458" t="s">
        <v>1256</v>
      </c>
      <c r="B585" s="44"/>
      <c r="C585" s="44" t="s">
        <v>999</v>
      </c>
      <c r="D585" s="44" t="s">
        <v>544</v>
      </c>
      <c r="E585" s="44" t="s">
        <v>1412</v>
      </c>
      <c r="F585" s="79">
        <f>VLOOKUP(C585,'Functional Assignment'!$C$2:$AP$780,'Functional Assignment'!$J$2,)</f>
        <v>0</v>
      </c>
      <c r="G585" s="79">
        <f t="shared" si="265"/>
        <v>0</v>
      </c>
      <c r="H585" s="79">
        <f t="shared" si="265"/>
        <v>0</v>
      </c>
      <c r="I585" s="79">
        <f t="shared" si="265"/>
        <v>0</v>
      </c>
      <c r="J585" s="79">
        <f t="shared" si="265"/>
        <v>0</v>
      </c>
      <c r="K585" s="79">
        <f t="shared" si="265"/>
        <v>0</v>
      </c>
      <c r="L585" s="79">
        <f t="shared" si="265"/>
        <v>0</v>
      </c>
      <c r="M585" s="79">
        <f t="shared" si="265"/>
        <v>0</v>
      </c>
      <c r="N585" s="79">
        <f t="shared" si="265"/>
        <v>0</v>
      </c>
      <c r="O585" s="79">
        <f t="shared" si="265"/>
        <v>0</v>
      </c>
      <c r="P585" s="79">
        <f t="shared" si="265"/>
        <v>0</v>
      </c>
      <c r="Q585" s="79">
        <f t="shared" si="266"/>
        <v>0</v>
      </c>
      <c r="R585" s="79">
        <f t="shared" si="266"/>
        <v>0</v>
      </c>
      <c r="S585" s="79">
        <f t="shared" si="266"/>
        <v>0</v>
      </c>
      <c r="T585" s="79">
        <f t="shared" si="266"/>
        <v>0</v>
      </c>
      <c r="U585" s="79">
        <f t="shared" si="266"/>
        <v>0</v>
      </c>
      <c r="V585" s="79">
        <f t="shared" si="266"/>
        <v>0</v>
      </c>
      <c r="W585" s="79">
        <f t="shared" si="266"/>
        <v>0</v>
      </c>
      <c r="X585" s="63">
        <f t="shared" si="266"/>
        <v>0</v>
      </c>
      <c r="Y585" s="63">
        <f t="shared" si="266"/>
        <v>0</v>
      </c>
      <c r="Z585" s="63">
        <f t="shared" si="266"/>
        <v>0</v>
      </c>
      <c r="AA585" s="63">
        <f t="shared" si="267"/>
        <v>0</v>
      </c>
      <c r="AB585" s="58" t="str">
        <f t="shared" si="268"/>
        <v>ok</v>
      </c>
    </row>
    <row r="586" spans="1:28">
      <c r="A586" s="458" t="s">
        <v>1160</v>
      </c>
      <c r="B586" s="44"/>
      <c r="C586" s="44" t="s">
        <v>999</v>
      </c>
      <c r="D586" s="44" t="s">
        <v>545</v>
      </c>
      <c r="E586" s="44" t="s">
        <v>1015</v>
      </c>
      <c r="F586" s="79">
        <f>VLOOKUP(C586,'Functional Assignment'!$C$2:$AP$780,'Functional Assignment'!$K$2,)</f>
        <v>0</v>
      </c>
      <c r="G586" s="79">
        <f t="shared" si="265"/>
        <v>0</v>
      </c>
      <c r="H586" s="79">
        <f t="shared" si="265"/>
        <v>0</v>
      </c>
      <c r="I586" s="79">
        <f t="shared" si="265"/>
        <v>0</v>
      </c>
      <c r="J586" s="79">
        <f t="shared" si="265"/>
        <v>0</v>
      </c>
      <c r="K586" s="79">
        <f t="shared" si="265"/>
        <v>0</v>
      </c>
      <c r="L586" s="79">
        <f t="shared" si="265"/>
        <v>0</v>
      </c>
      <c r="M586" s="79">
        <f t="shared" si="265"/>
        <v>0</v>
      </c>
      <c r="N586" s="79">
        <f t="shared" si="265"/>
        <v>0</v>
      </c>
      <c r="O586" s="79">
        <f t="shared" si="265"/>
        <v>0</v>
      </c>
      <c r="P586" s="79">
        <f t="shared" si="265"/>
        <v>0</v>
      </c>
      <c r="Q586" s="79">
        <f t="shared" si="266"/>
        <v>0</v>
      </c>
      <c r="R586" s="79">
        <f t="shared" si="266"/>
        <v>0</v>
      </c>
      <c r="S586" s="79">
        <f t="shared" si="266"/>
        <v>0</v>
      </c>
      <c r="T586" s="79">
        <f t="shared" si="266"/>
        <v>0</v>
      </c>
      <c r="U586" s="79">
        <f t="shared" si="266"/>
        <v>0</v>
      </c>
      <c r="V586" s="79">
        <f t="shared" si="266"/>
        <v>0</v>
      </c>
      <c r="W586" s="79">
        <f t="shared" si="266"/>
        <v>0</v>
      </c>
      <c r="X586" s="63">
        <f t="shared" si="266"/>
        <v>0</v>
      </c>
      <c r="Y586" s="63">
        <f t="shared" si="266"/>
        <v>0</v>
      </c>
      <c r="Z586" s="63">
        <f t="shared" si="266"/>
        <v>0</v>
      </c>
      <c r="AA586" s="63">
        <f t="shared" si="267"/>
        <v>0</v>
      </c>
      <c r="AB586" s="58" t="str">
        <f t="shared" si="268"/>
        <v>ok</v>
      </c>
    </row>
    <row r="587" spans="1:28" hidden="1">
      <c r="A587" s="458" t="s">
        <v>1161</v>
      </c>
      <c r="B587" s="44"/>
      <c r="C587" s="44" t="s">
        <v>999</v>
      </c>
      <c r="D587" s="44" t="s">
        <v>546</v>
      </c>
      <c r="E587" s="44" t="s">
        <v>1015</v>
      </c>
      <c r="F587" s="79">
        <f>VLOOKUP(C587,'Functional Assignment'!$C$2:$AP$780,'Functional Assignment'!$L$2,)</f>
        <v>0</v>
      </c>
      <c r="G587" s="79">
        <f t="shared" si="265"/>
        <v>0</v>
      </c>
      <c r="H587" s="79">
        <f t="shared" si="265"/>
        <v>0</v>
      </c>
      <c r="I587" s="79">
        <f t="shared" si="265"/>
        <v>0</v>
      </c>
      <c r="J587" s="79">
        <f t="shared" si="265"/>
        <v>0</v>
      </c>
      <c r="K587" s="79">
        <f t="shared" si="265"/>
        <v>0</v>
      </c>
      <c r="L587" s="79">
        <f t="shared" si="265"/>
        <v>0</v>
      </c>
      <c r="M587" s="79">
        <f t="shared" si="265"/>
        <v>0</v>
      </c>
      <c r="N587" s="79">
        <f t="shared" si="265"/>
        <v>0</v>
      </c>
      <c r="O587" s="79">
        <f t="shared" si="265"/>
        <v>0</v>
      </c>
      <c r="P587" s="79">
        <f t="shared" si="265"/>
        <v>0</v>
      </c>
      <c r="Q587" s="79">
        <f t="shared" si="266"/>
        <v>0</v>
      </c>
      <c r="R587" s="79">
        <f t="shared" si="266"/>
        <v>0</v>
      </c>
      <c r="S587" s="79">
        <f t="shared" si="266"/>
        <v>0</v>
      </c>
      <c r="T587" s="79">
        <f t="shared" si="266"/>
        <v>0</v>
      </c>
      <c r="U587" s="79">
        <f t="shared" si="266"/>
        <v>0</v>
      </c>
      <c r="V587" s="79">
        <f t="shared" si="266"/>
        <v>0</v>
      </c>
      <c r="W587" s="79">
        <f t="shared" si="266"/>
        <v>0</v>
      </c>
      <c r="X587" s="63">
        <f t="shared" si="266"/>
        <v>0</v>
      </c>
      <c r="Y587" s="63">
        <f t="shared" si="266"/>
        <v>0</v>
      </c>
      <c r="Z587" s="63">
        <f t="shared" si="266"/>
        <v>0</v>
      </c>
      <c r="AA587" s="63">
        <f t="shared" si="267"/>
        <v>0</v>
      </c>
      <c r="AB587" s="58" t="str">
        <f t="shared" si="268"/>
        <v>ok</v>
      </c>
    </row>
    <row r="588" spans="1:28" hidden="1">
      <c r="A588" s="458" t="s">
        <v>1161</v>
      </c>
      <c r="B588" s="44"/>
      <c r="C588" s="44" t="s">
        <v>999</v>
      </c>
      <c r="D588" s="44" t="s">
        <v>547</v>
      </c>
      <c r="E588" s="44" t="s">
        <v>1015</v>
      </c>
      <c r="F588" s="79">
        <f>VLOOKUP(C588,'Functional Assignment'!$C$2:$AP$780,'Functional Assignment'!$M$2,)</f>
        <v>0</v>
      </c>
      <c r="G588" s="79">
        <f t="shared" si="265"/>
        <v>0</v>
      </c>
      <c r="H588" s="79">
        <f t="shared" si="265"/>
        <v>0</v>
      </c>
      <c r="I588" s="79">
        <f t="shared" si="265"/>
        <v>0</v>
      </c>
      <c r="J588" s="79">
        <f t="shared" si="265"/>
        <v>0</v>
      </c>
      <c r="K588" s="79">
        <f t="shared" si="265"/>
        <v>0</v>
      </c>
      <c r="L588" s="79">
        <f t="shared" si="265"/>
        <v>0</v>
      </c>
      <c r="M588" s="79">
        <f t="shared" si="265"/>
        <v>0</v>
      </c>
      <c r="N588" s="79">
        <f t="shared" si="265"/>
        <v>0</v>
      </c>
      <c r="O588" s="79">
        <f t="shared" si="265"/>
        <v>0</v>
      </c>
      <c r="P588" s="79">
        <f t="shared" si="265"/>
        <v>0</v>
      </c>
      <c r="Q588" s="79">
        <f t="shared" si="266"/>
        <v>0</v>
      </c>
      <c r="R588" s="79">
        <f t="shared" si="266"/>
        <v>0</v>
      </c>
      <c r="S588" s="79">
        <f t="shared" si="266"/>
        <v>0</v>
      </c>
      <c r="T588" s="79">
        <f t="shared" si="266"/>
        <v>0</v>
      </c>
      <c r="U588" s="79">
        <f t="shared" si="266"/>
        <v>0</v>
      </c>
      <c r="V588" s="79">
        <f t="shared" si="266"/>
        <v>0</v>
      </c>
      <c r="W588" s="79">
        <f t="shared" si="266"/>
        <v>0</v>
      </c>
      <c r="X588" s="63">
        <f t="shared" si="266"/>
        <v>0</v>
      </c>
      <c r="Y588" s="63">
        <f t="shared" si="266"/>
        <v>0</v>
      </c>
      <c r="Z588" s="63">
        <f t="shared" si="266"/>
        <v>0</v>
      </c>
      <c r="AA588" s="63">
        <f t="shared" si="267"/>
        <v>0</v>
      </c>
      <c r="AB588" s="58" t="str">
        <f t="shared" si="268"/>
        <v>ok</v>
      </c>
    </row>
    <row r="589" spans="1:28">
      <c r="A589" s="44" t="s">
        <v>374</v>
      </c>
      <c r="B589" s="44"/>
      <c r="C589" s="44"/>
      <c r="D589" s="44" t="s">
        <v>1034</v>
      </c>
      <c r="E589" s="44"/>
      <c r="F589" s="76">
        <f>SUM(F583:F588)</f>
        <v>0</v>
      </c>
      <c r="G589" s="76">
        <f t="shared" ref="G589:P589" si="269">SUM(G583:G588)</f>
        <v>0</v>
      </c>
      <c r="H589" s="76">
        <f t="shared" si="269"/>
        <v>0</v>
      </c>
      <c r="I589" s="76">
        <f t="shared" si="269"/>
        <v>0</v>
      </c>
      <c r="J589" s="76">
        <f t="shared" si="269"/>
        <v>0</v>
      </c>
      <c r="K589" s="76">
        <f t="shared" si="269"/>
        <v>0</v>
      </c>
      <c r="L589" s="76">
        <f t="shared" si="269"/>
        <v>0</v>
      </c>
      <c r="M589" s="76">
        <f t="shared" si="269"/>
        <v>0</v>
      </c>
      <c r="N589" s="76">
        <f t="shared" si="269"/>
        <v>0</v>
      </c>
      <c r="O589" s="76">
        <f>SUM(O583:O588)</f>
        <v>0</v>
      </c>
      <c r="P589" s="76">
        <f t="shared" si="269"/>
        <v>0</v>
      </c>
      <c r="Q589" s="76">
        <f t="shared" ref="Q589:W589" si="270">SUM(Q583:Q588)</f>
        <v>0</v>
      </c>
      <c r="R589" s="76">
        <f t="shared" si="270"/>
        <v>0</v>
      </c>
      <c r="S589" s="76">
        <f t="shared" si="270"/>
        <v>0</v>
      </c>
      <c r="T589" s="76">
        <f t="shared" si="270"/>
        <v>0</v>
      </c>
      <c r="U589" s="76">
        <f t="shared" si="270"/>
        <v>0</v>
      </c>
      <c r="V589" s="76">
        <f t="shared" si="270"/>
        <v>0</v>
      </c>
      <c r="W589" s="76">
        <f t="shared" si="270"/>
        <v>0</v>
      </c>
      <c r="X589" s="62">
        <f>SUM(X583:X588)</f>
        <v>0</v>
      </c>
      <c r="Y589" s="62">
        <f>SUM(Y583:Y588)</f>
        <v>0</v>
      </c>
      <c r="Z589" s="62">
        <f>SUM(Z583:Z588)</f>
        <v>0</v>
      </c>
      <c r="AA589" s="64">
        <f t="shared" si="267"/>
        <v>0</v>
      </c>
      <c r="AB589" s="58" t="str">
        <f t="shared" si="268"/>
        <v>ok</v>
      </c>
    </row>
    <row r="590" spans="1:28">
      <c r="A590" s="44"/>
      <c r="F590" s="79"/>
      <c r="G590" s="79"/>
    </row>
    <row r="591" spans="1:28" ht="14.1">
      <c r="A591" s="45" t="s">
        <v>1055</v>
      </c>
      <c r="F591" s="79"/>
      <c r="G591" s="79"/>
    </row>
    <row r="592" spans="1:28">
      <c r="A592" s="458" t="s">
        <v>1225</v>
      </c>
      <c r="C592" s="60" t="s">
        <v>999</v>
      </c>
      <c r="D592" s="60" t="s">
        <v>548</v>
      </c>
      <c r="E592" s="60" t="s">
        <v>1229</v>
      </c>
      <c r="F592" s="76">
        <f>VLOOKUP(C592,'Functional Assignment'!$C$2:$AP$780,'Functional Assignment'!$N$2,)</f>
        <v>0</v>
      </c>
      <c r="G592" s="76">
        <f t="shared" ref="G592:P594" si="271">IF(VLOOKUP($E592,$D$6:$AN$1150,3,)=0,0,(VLOOKUP($E592,$D$6:$AN$1150,G$2,)/VLOOKUP($E592,$D$6:$AN$1150,3,))*$F592)</f>
        <v>0</v>
      </c>
      <c r="H592" s="76">
        <f t="shared" si="271"/>
        <v>0</v>
      </c>
      <c r="I592" s="76">
        <f t="shared" si="271"/>
        <v>0</v>
      </c>
      <c r="J592" s="76">
        <f t="shared" si="271"/>
        <v>0</v>
      </c>
      <c r="K592" s="76">
        <f t="shared" si="271"/>
        <v>0</v>
      </c>
      <c r="L592" s="76">
        <f t="shared" si="271"/>
        <v>0</v>
      </c>
      <c r="M592" s="76">
        <f t="shared" si="271"/>
        <v>0</v>
      </c>
      <c r="N592" s="76">
        <f t="shared" si="271"/>
        <v>0</v>
      </c>
      <c r="O592" s="76">
        <f t="shared" si="271"/>
        <v>0</v>
      </c>
      <c r="P592" s="76">
        <f t="shared" si="271"/>
        <v>0</v>
      </c>
      <c r="Q592" s="76">
        <f t="shared" ref="Q592:Z594" si="272">IF(VLOOKUP($E592,$D$6:$AN$1150,3,)=0,0,(VLOOKUP($E592,$D$6:$AN$1150,Q$2,)/VLOOKUP($E592,$D$6:$AN$1150,3,))*$F592)</f>
        <v>0</v>
      </c>
      <c r="R592" s="76">
        <f t="shared" si="272"/>
        <v>0</v>
      </c>
      <c r="S592" s="76">
        <f t="shared" si="272"/>
        <v>0</v>
      </c>
      <c r="T592" s="76">
        <f t="shared" si="272"/>
        <v>0</v>
      </c>
      <c r="U592" s="76">
        <f t="shared" si="272"/>
        <v>0</v>
      </c>
      <c r="V592" s="76">
        <f t="shared" si="272"/>
        <v>0</v>
      </c>
      <c r="W592" s="76">
        <f t="shared" si="272"/>
        <v>0</v>
      </c>
      <c r="X592" s="62">
        <f t="shared" si="272"/>
        <v>0</v>
      </c>
      <c r="Y592" s="62">
        <f t="shared" si="272"/>
        <v>0</v>
      </c>
      <c r="Z592" s="62">
        <f t="shared" si="272"/>
        <v>0</v>
      </c>
      <c r="AA592" s="64">
        <f>SUM(G592:Z592)</f>
        <v>0</v>
      </c>
      <c r="AB592" s="58" t="str">
        <f>IF(ABS(F592-AA592)&lt;0.01,"ok","err")</f>
        <v>ok</v>
      </c>
    </row>
    <row r="593" spans="1:28" hidden="1">
      <c r="A593" s="458" t="s">
        <v>1226</v>
      </c>
      <c r="C593" s="60" t="s">
        <v>999</v>
      </c>
      <c r="D593" s="60" t="s">
        <v>549</v>
      </c>
      <c r="E593" s="60" t="s">
        <v>1229</v>
      </c>
      <c r="F593" s="79">
        <f>VLOOKUP(C593,'Functional Assignment'!$C$2:$AP$780,'Functional Assignment'!$O$2,)</f>
        <v>0</v>
      </c>
      <c r="G593" s="79">
        <f t="shared" si="271"/>
        <v>0</v>
      </c>
      <c r="H593" s="79">
        <f t="shared" si="271"/>
        <v>0</v>
      </c>
      <c r="I593" s="79">
        <f t="shared" si="271"/>
        <v>0</v>
      </c>
      <c r="J593" s="79">
        <f t="shared" si="271"/>
        <v>0</v>
      </c>
      <c r="K593" s="79">
        <f t="shared" si="271"/>
        <v>0</v>
      </c>
      <c r="L593" s="79">
        <f t="shared" si="271"/>
        <v>0</v>
      </c>
      <c r="M593" s="79">
        <f t="shared" si="271"/>
        <v>0</v>
      </c>
      <c r="N593" s="79">
        <f t="shared" si="271"/>
        <v>0</v>
      </c>
      <c r="O593" s="79">
        <f t="shared" si="271"/>
        <v>0</v>
      </c>
      <c r="P593" s="79">
        <f t="shared" si="271"/>
        <v>0</v>
      </c>
      <c r="Q593" s="79">
        <f t="shared" si="272"/>
        <v>0</v>
      </c>
      <c r="R593" s="79">
        <f t="shared" si="272"/>
        <v>0</v>
      </c>
      <c r="S593" s="79">
        <f t="shared" si="272"/>
        <v>0</v>
      </c>
      <c r="T593" s="79">
        <f t="shared" si="272"/>
        <v>0</v>
      </c>
      <c r="U593" s="79">
        <f t="shared" si="272"/>
        <v>0</v>
      </c>
      <c r="V593" s="79">
        <f t="shared" si="272"/>
        <v>0</v>
      </c>
      <c r="W593" s="79">
        <f t="shared" si="272"/>
        <v>0</v>
      </c>
      <c r="X593" s="63">
        <f t="shared" si="272"/>
        <v>0</v>
      </c>
      <c r="Y593" s="63">
        <f t="shared" si="272"/>
        <v>0</v>
      </c>
      <c r="Z593" s="63">
        <f t="shared" si="272"/>
        <v>0</v>
      </c>
      <c r="AA593" s="63">
        <f>SUM(G593:Z593)</f>
        <v>0</v>
      </c>
      <c r="AB593" s="58" t="str">
        <f>IF(ABS(F593-AA593)&lt;0.01,"ok","err")</f>
        <v>ok</v>
      </c>
    </row>
    <row r="594" spans="1:28" hidden="1">
      <c r="A594" s="458" t="s">
        <v>1226</v>
      </c>
      <c r="C594" s="60" t="s">
        <v>999</v>
      </c>
      <c r="D594" s="60" t="s">
        <v>550</v>
      </c>
      <c r="E594" s="60" t="s">
        <v>1229</v>
      </c>
      <c r="F594" s="79">
        <f>VLOOKUP(C594,'Functional Assignment'!$C$2:$AP$780,'Functional Assignment'!$P$2,)</f>
        <v>0</v>
      </c>
      <c r="G594" s="79">
        <f t="shared" si="271"/>
        <v>0</v>
      </c>
      <c r="H594" s="79">
        <f t="shared" si="271"/>
        <v>0</v>
      </c>
      <c r="I594" s="79">
        <f t="shared" si="271"/>
        <v>0</v>
      </c>
      <c r="J594" s="79">
        <f t="shared" si="271"/>
        <v>0</v>
      </c>
      <c r="K594" s="79">
        <f t="shared" si="271"/>
        <v>0</v>
      </c>
      <c r="L594" s="79">
        <f t="shared" si="271"/>
        <v>0</v>
      </c>
      <c r="M594" s="79">
        <f t="shared" si="271"/>
        <v>0</v>
      </c>
      <c r="N594" s="79">
        <f t="shared" si="271"/>
        <v>0</v>
      </c>
      <c r="O594" s="79">
        <f t="shared" si="271"/>
        <v>0</v>
      </c>
      <c r="P594" s="79">
        <f t="shared" si="271"/>
        <v>0</v>
      </c>
      <c r="Q594" s="79">
        <f t="shared" si="272"/>
        <v>0</v>
      </c>
      <c r="R594" s="79">
        <f t="shared" si="272"/>
        <v>0</v>
      </c>
      <c r="S594" s="79">
        <f t="shared" si="272"/>
        <v>0</v>
      </c>
      <c r="T594" s="79">
        <f t="shared" si="272"/>
        <v>0</v>
      </c>
      <c r="U594" s="79">
        <f t="shared" si="272"/>
        <v>0</v>
      </c>
      <c r="V594" s="79">
        <f t="shared" si="272"/>
        <v>0</v>
      </c>
      <c r="W594" s="79">
        <f t="shared" si="272"/>
        <v>0</v>
      </c>
      <c r="X594" s="63">
        <f t="shared" si="272"/>
        <v>0</v>
      </c>
      <c r="Y594" s="63">
        <f t="shared" si="272"/>
        <v>0</v>
      </c>
      <c r="Z594" s="63">
        <f t="shared" si="272"/>
        <v>0</v>
      </c>
      <c r="AA594" s="63">
        <f>SUM(G594:Z594)</f>
        <v>0</v>
      </c>
      <c r="AB594" s="58" t="str">
        <f>IF(ABS(F594-AA594)&lt;0.01,"ok","err")</f>
        <v>ok</v>
      </c>
    </row>
    <row r="595" spans="1:28" hidden="1">
      <c r="A595" s="44" t="s">
        <v>1057</v>
      </c>
      <c r="D595" s="60" t="s">
        <v>551</v>
      </c>
      <c r="F595" s="76">
        <f>SUM(F592:F594)</f>
        <v>0</v>
      </c>
      <c r="G595" s="76">
        <f t="shared" ref="G595:W595" si="273">SUM(G592:G594)</f>
        <v>0</v>
      </c>
      <c r="H595" s="76">
        <f t="shared" si="273"/>
        <v>0</v>
      </c>
      <c r="I595" s="76">
        <f t="shared" si="273"/>
        <v>0</v>
      </c>
      <c r="J595" s="76">
        <f t="shared" si="273"/>
        <v>0</v>
      </c>
      <c r="K595" s="76">
        <f t="shared" si="273"/>
        <v>0</v>
      </c>
      <c r="L595" s="76">
        <f t="shared" si="273"/>
        <v>0</v>
      </c>
      <c r="M595" s="76">
        <f t="shared" si="273"/>
        <v>0</v>
      </c>
      <c r="N595" s="76">
        <f t="shared" si="273"/>
        <v>0</v>
      </c>
      <c r="O595" s="76">
        <f>SUM(O592:O594)</f>
        <v>0</v>
      </c>
      <c r="P595" s="76">
        <f t="shared" si="273"/>
        <v>0</v>
      </c>
      <c r="Q595" s="76">
        <f t="shared" si="273"/>
        <v>0</v>
      </c>
      <c r="R595" s="76">
        <f t="shared" si="273"/>
        <v>0</v>
      </c>
      <c r="S595" s="76">
        <f t="shared" si="273"/>
        <v>0</v>
      </c>
      <c r="T595" s="76">
        <f t="shared" si="273"/>
        <v>0</v>
      </c>
      <c r="U595" s="76">
        <f t="shared" si="273"/>
        <v>0</v>
      </c>
      <c r="V595" s="76">
        <f t="shared" si="273"/>
        <v>0</v>
      </c>
      <c r="W595" s="76">
        <f t="shared" si="273"/>
        <v>0</v>
      </c>
      <c r="X595" s="62">
        <f>SUM(X592:X594)</f>
        <v>0</v>
      </c>
      <c r="Y595" s="62">
        <f>SUM(Y592:Y594)</f>
        <v>0</v>
      </c>
      <c r="Z595" s="62">
        <f>SUM(Z592:Z594)</f>
        <v>0</v>
      </c>
      <c r="AA595" s="64">
        <f>SUM(G595:Z595)</f>
        <v>0</v>
      </c>
      <c r="AB595" s="58" t="str">
        <f>IF(ABS(F595-AA595)&lt;0.01,"ok","err")</f>
        <v>ok</v>
      </c>
    </row>
    <row r="596" spans="1:28">
      <c r="A596" s="44"/>
      <c r="F596" s="79"/>
      <c r="G596" s="79"/>
    </row>
    <row r="597" spans="1:28" ht="14.1">
      <c r="A597" s="45" t="s">
        <v>337</v>
      </c>
      <c r="F597" s="79"/>
      <c r="G597" s="79"/>
    </row>
    <row r="598" spans="1:28">
      <c r="A598" s="458" t="s">
        <v>359</v>
      </c>
      <c r="C598" s="60" t="s">
        <v>999</v>
      </c>
      <c r="D598" s="60" t="s">
        <v>552</v>
      </c>
      <c r="E598" s="60" t="s">
        <v>1230</v>
      </c>
      <c r="F598" s="76">
        <f>VLOOKUP(C598,'Functional Assignment'!$C$2:$AP$780,'Functional Assignment'!$Q$2,)</f>
        <v>0</v>
      </c>
      <c r="G598" s="76">
        <f t="shared" ref="G598:Z598" si="274">IF(VLOOKUP($E598,$D$6:$AN$1150,3,)=0,0,(VLOOKUP($E598,$D$6:$AN$1150,G$2,)/VLOOKUP($E598,$D$6:$AN$1150,3,))*$F598)</f>
        <v>0</v>
      </c>
      <c r="H598" s="76">
        <f t="shared" si="274"/>
        <v>0</v>
      </c>
      <c r="I598" s="76">
        <f t="shared" si="274"/>
        <v>0</v>
      </c>
      <c r="J598" s="76">
        <f t="shared" si="274"/>
        <v>0</v>
      </c>
      <c r="K598" s="76">
        <f t="shared" si="274"/>
        <v>0</v>
      </c>
      <c r="L598" s="76">
        <f t="shared" si="274"/>
        <v>0</v>
      </c>
      <c r="M598" s="76">
        <f t="shared" si="274"/>
        <v>0</v>
      </c>
      <c r="N598" s="76">
        <f t="shared" si="274"/>
        <v>0</v>
      </c>
      <c r="O598" s="76">
        <f t="shared" si="274"/>
        <v>0</v>
      </c>
      <c r="P598" s="76">
        <f t="shared" si="274"/>
        <v>0</v>
      </c>
      <c r="Q598" s="76">
        <f t="shared" si="274"/>
        <v>0</v>
      </c>
      <c r="R598" s="76">
        <f t="shared" si="274"/>
        <v>0</v>
      </c>
      <c r="S598" s="76">
        <f t="shared" si="274"/>
        <v>0</v>
      </c>
      <c r="T598" s="76">
        <f t="shared" si="274"/>
        <v>0</v>
      </c>
      <c r="U598" s="76">
        <f t="shared" si="274"/>
        <v>0</v>
      </c>
      <c r="V598" s="76">
        <f t="shared" si="274"/>
        <v>0</v>
      </c>
      <c r="W598" s="76">
        <f t="shared" si="274"/>
        <v>0</v>
      </c>
      <c r="X598" s="62">
        <f t="shared" si="274"/>
        <v>0</v>
      </c>
      <c r="Y598" s="62">
        <f t="shared" si="274"/>
        <v>0</v>
      </c>
      <c r="Z598" s="62">
        <f t="shared" si="274"/>
        <v>0</v>
      </c>
      <c r="AA598" s="64">
        <f>SUM(G598:Z598)</f>
        <v>0</v>
      </c>
      <c r="AB598" s="58" t="str">
        <f>IF(ABS(F598-AA598)&lt;0.01,"ok","err")</f>
        <v>ok</v>
      </c>
    </row>
    <row r="599" spans="1:28">
      <c r="A599" s="44"/>
      <c r="F599" s="79"/>
    </row>
    <row r="600" spans="1:28" ht="14.1">
      <c r="A600" s="45" t="s">
        <v>338</v>
      </c>
      <c r="F600" s="79"/>
      <c r="G600" s="79"/>
    </row>
    <row r="601" spans="1:28">
      <c r="A601" s="458" t="s">
        <v>361</v>
      </c>
      <c r="C601" s="60" t="s">
        <v>999</v>
      </c>
      <c r="D601" s="60" t="s">
        <v>553</v>
      </c>
      <c r="E601" s="60" t="s">
        <v>1230</v>
      </c>
      <c r="F601" s="76">
        <f>VLOOKUP(C601,'Functional Assignment'!$C$2:$AP$780,'Functional Assignment'!$R$2,)</f>
        <v>0</v>
      </c>
      <c r="G601" s="76">
        <f t="shared" ref="G601:Z601" si="275">IF(VLOOKUP($E601,$D$6:$AN$1150,3,)=0,0,(VLOOKUP($E601,$D$6:$AN$1150,G$2,)/VLOOKUP($E601,$D$6:$AN$1150,3,))*$F601)</f>
        <v>0</v>
      </c>
      <c r="H601" s="76">
        <f t="shared" si="275"/>
        <v>0</v>
      </c>
      <c r="I601" s="76">
        <f t="shared" si="275"/>
        <v>0</v>
      </c>
      <c r="J601" s="76">
        <f t="shared" si="275"/>
        <v>0</v>
      </c>
      <c r="K601" s="76">
        <f t="shared" si="275"/>
        <v>0</v>
      </c>
      <c r="L601" s="76">
        <f t="shared" si="275"/>
        <v>0</v>
      </c>
      <c r="M601" s="76">
        <f t="shared" si="275"/>
        <v>0</v>
      </c>
      <c r="N601" s="76">
        <f t="shared" si="275"/>
        <v>0</v>
      </c>
      <c r="O601" s="76">
        <f t="shared" si="275"/>
        <v>0</v>
      </c>
      <c r="P601" s="76">
        <f t="shared" si="275"/>
        <v>0</v>
      </c>
      <c r="Q601" s="76">
        <f t="shared" si="275"/>
        <v>0</v>
      </c>
      <c r="R601" s="76">
        <f t="shared" si="275"/>
        <v>0</v>
      </c>
      <c r="S601" s="76">
        <f t="shared" si="275"/>
        <v>0</v>
      </c>
      <c r="T601" s="76">
        <f t="shared" si="275"/>
        <v>0</v>
      </c>
      <c r="U601" s="76">
        <f t="shared" si="275"/>
        <v>0</v>
      </c>
      <c r="V601" s="76">
        <f t="shared" si="275"/>
        <v>0</v>
      </c>
      <c r="W601" s="76">
        <f t="shared" si="275"/>
        <v>0</v>
      </c>
      <c r="X601" s="62">
        <f t="shared" si="275"/>
        <v>0</v>
      </c>
      <c r="Y601" s="62">
        <f t="shared" si="275"/>
        <v>0</v>
      </c>
      <c r="Z601" s="62">
        <f t="shared" si="275"/>
        <v>0</v>
      </c>
      <c r="AA601" s="64">
        <f>SUM(G601:Z601)</f>
        <v>0</v>
      </c>
      <c r="AB601" s="58" t="str">
        <f>IF(ABS(F601-AA601)&lt;0.01,"ok","err")</f>
        <v>ok</v>
      </c>
    </row>
    <row r="602" spans="1:28">
      <c r="A602" s="44"/>
      <c r="F602" s="79"/>
    </row>
    <row r="603" spans="1:28" ht="14.1">
      <c r="A603" s="45" t="s">
        <v>360</v>
      </c>
      <c r="F603" s="79"/>
    </row>
    <row r="604" spans="1:28">
      <c r="A604" s="458" t="s">
        <v>603</v>
      </c>
      <c r="C604" s="60" t="s">
        <v>999</v>
      </c>
      <c r="D604" s="60" t="s">
        <v>554</v>
      </c>
      <c r="E604" s="60" t="s">
        <v>1230</v>
      </c>
      <c r="F604" s="76">
        <f>VLOOKUP(C604,'Functional Assignment'!$C$2:$AP$780,'Functional Assignment'!$S$2,)</f>
        <v>0</v>
      </c>
      <c r="G604" s="76">
        <f t="shared" ref="G604:P608" si="276">IF(VLOOKUP($E604,$D$6:$AN$1150,3,)=0,0,(VLOOKUP($E604,$D$6:$AN$1150,G$2,)/VLOOKUP($E604,$D$6:$AN$1150,3,))*$F604)</f>
        <v>0</v>
      </c>
      <c r="H604" s="76">
        <f t="shared" si="276"/>
        <v>0</v>
      </c>
      <c r="I604" s="76">
        <f t="shared" si="276"/>
        <v>0</v>
      </c>
      <c r="J604" s="76">
        <f t="shared" si="276"/>
        <v>0</v>
      </c>
      <c r="K604" s="76">
        <f t="shared" si="276"/>
        <v>0</v>
      </c>
      <c r="L604" s="76">
        <f t="shared" si="276"/>
        <v>0</v>
      </c>
      <c r="M604" s="76">
        <f t="shared" si="276"/>
        <v>0</v>
      </c>
      <c r="N604" s="76">
        <f t="shared" si="276"/>
        <v>0</v>
      </c>
      <c r="O604" s="76">
        <f t="shared" si="276"/>
        <v>0</v>
      </c>
      <c r="P604" s="76">
        <f t="shared" si="276"/>
        <v>0</v>
      </c>
      <c r="Q604" s="76">
        <f t="shared" ref="Q604:Z608" si="277">IF(VLOOKUP($E604,$D$6:$AN$1150,3,)=0,0,(VLOOKUP($E604,$D$6:$AN$1150,Q$2,)/VLOOKUP($E604,$D$6:$AN$1150,3,))*$F604)</f>
        <v>0</v>
      </c>
      <c r="R604" s="76">
        <f t="shared" si="277"/>
        <v>0</v>
      </c>
      <c r="S604" s="76">
        <f t="shared" si="277"/>
        <v>0</v>
      </c>
      <c r="T604" s="76">
        <f t="shared" si="277"/>
        <v>0</v>
      </c>
      <c r="U604" s="76">
        <f t="shared" si="277"/>
        <v>0</v>
      </c>
      <c r="V604" s="76">
        <f t="shared" si="277"/>
        <v>0</v>
      </c>
      <c r="W604" s="76">
        <f t="shared" si="277"/>
        <v>0</v>
      </c>
      <c r="X604" s="62">
        <f t="shared" si="277"/>
        <v>0</v>
      </c>
      <c r="Y604" s="62">
        <f t="shared" si="277"/>
        <v>0</v>
      </c>
      <c r="Z604" s="62">
        <f t="shared" si="277"/>
        <v>0</v>
      </c>
      <c r="AA604" s="64">
        <f t="shared" ref="AA604:AA609" si="278">SUM(G604:Z604)</f>
        <v>0</v>
      </c>
      <c r="AB604" s="58" t="str">
        <f t="shared" ref="AB604:AB609" si="279">IF(ABS(F604-AA604)&lt;0.01,"ok","err")</f>
        <v>ok</v>
      </c>
    </row>
    <row r="605" spans="1:28">
      <c r="A605" s="458" t="s">
        <v>604</v>
      </c>
      <c r="C605" s="60" t="s">
        <v>999</v>
      </c>
      <c r="D605" s="60" t="s">
        <v>555</v>
      </c>
      <c r="E605" s="60" t="s">
        <v>1230</v>
      </c>
      <c r="F605" s="79">
        <f>VLOOKUP(C605,'Functional Assignment'!$C$2:$AP$780,'Functional Assignment'!$T$2,)</f>
        <v>0</v>
      </c>
      <c r="G605" s="79">
        <f t="shared" si="276"/>
        <v>0</v>
      </c>
      <c r="H605" s="79">
        <f t="shared" si="276"/>
        <v>0</v>
      </c>
      <c r="I605" s="79">
        <f t="shared" si="276"/>
        <v>0</v>
      </c>
      <c r="J605" s="79">
        <f t="shared" si="276"/>
        <v>0</v>
      </c>
      <c r="K605" s="79">
        <f t="shared" si="276"/>
        <v>0</v>
      </c>
      <c r="L605" s="79">
        <f t="shared" si="276"/>
        <v>0</v>
      </c>
      <c r="M605" s="79">
        <f t="shared" si="276"/>
        <v>0</v>
      </c>
      <c r="N605" s="79">
        <f t="shared" si="276"/>
        <v>0</v>
      </c>
      <c r="O605" s="79">
        <f t="shared" si="276"/>
        <v>0</v>
      </c>
      <c r="P605" s="79">
        <f t="shared" si="276"/>
        <v>0</v>
      </c>
      <c r="Q605" s="79">
        <f t="shared" si="277"/>
        <v>0</v>
      </c>
      <c r="R605" s="79">
        <f t="shared" si="277"/>
        <v>0</v>
      </c>
      <c r="S605" s="79">
        <f t="shared" si="277"/>
        <v>0</v>
      </c>
      <c r="T605" s="79">
        <f t="shared" si="277"/>
        <v>0</v>
      </c>
      <c r="U605" s="79">
        <f t="shared" si="277"/>
        <v>0</v>
      </c>
      <c r="V605" s="79">
        <f t="shared" si="277"/>
        <v>0</v>
      </c>
      <c r="W605" s="79">
        <f t="shared" si="277"/>
        <v>0</v>
      </c>
      <c r="X605" s="63">
        <f t="shared" si="277"/>
        <v>0</v>
      </c>
      <c r="Y605" s="63">
        <f t="shared" si="277"/>
        <v>0</v>
      </c>
      <c r="Z605" s="63">
        <f t="shared" si="277"/>
        <v>0</v>
      </c>
      <c r="AA605" s="63">
        <f t="shared" si="278"/>
        <v>0</v>
      </c>
      <c r="AB605" s="58" t="str">
        <f t="shared" si="279"/>
        <v>ok</v>
      </c>
    </row>
    <row r="606" spans="1:28">
      <c r="A606" s="458" t="s">
        <v>605</v>
      </c>
      <c r="C606" s="60" t="s">
        <v>999</v>
      </c>
      <c r="D606" s="60" t="s">
        <v>556</v>
      </c>
      <c r="E606" s="60" t="s">
        <v>658</v>
      </c>
      <c r="F606" s="79">
        <f>VLOOKUP(C606,'Functional Assignment'!$C$2:$AP$780,'Functional Assignment'!$U$2,)</f>
        <v>0</v>
      </c>
      <c r="G606" s="79">
        <f t="shared" si="276"/>
        <v>0</v>
      </c>
      <c r="H606" s="79">
        <f t="shared" si="276"/>
        <v>0</v>
      </c>
      <c r="I606" s="79">
        <f t="shared" si="276"/>
        <v>0</v>
      </c>
      <c r="J606" s="79">
        <f t="shared" si="276"/>
        <v>0</v>
      </c>
      <c r="K606" s="79">
        <f t="shared" si="276"/>
        <v>0</v>
      </c>
      <c r="L606" s="79">
        <f t="shared" si="276"/>
        <v>0</v>
      </c>
      <c r="M606" s="79">
        <f t="shared" si="276"/>
        <v>0</v>
      </c>
      <c r="N606" s="79">
        <f t="shared" si="276"/>
        <v>0</v>
      </c>
      <c r="O606" s="79">
        <f t="shared" si="276"/>
        <v>0</v>
      </c>
      <c r="P606" s="79">
        <f t="shared" si="276"/>
        <v>0</v>
      </c>
      <c r="Q606" s="79">
        <f t="shared" si="277"/>
        <v>0</v>
      </c>
      <c r="R606" s="79">
        <f t="shared" si="277"/>
        <v>0</v>
      </c>
      <c r="S606" s="79">
        <f t="shared" si="277"/>
        <v>0</v>
      </c>
      <c r="T606" s="79">
        <f t="shared" si="277"/>
        <v>0</v>
      </c>
      <c r="U606" s="79">
        <f t="shared" si="277"/>
        <v>0</v>
      </c>
      <c r="V606" s="79">
        <f t="shared" si="277"/>
        <v>0</v>
      </c>
      <c r="W606" s="79">
        <f t="shared" si="277"/>
        <v>0</v>
      </c>
      <c r="X606" s="63">
        <f t="shared" si="277"/>
        <v>0</v>
      </c>
      <c r="Y606" s="63">
        <f t="shared" si="277"/>
        <v>0</v>
      </c>
      <c r="Z606" s="63">
        <f t="shared" si="277"/>
        <v>0</v>
      </c>
      <c r="AA606" s="63">
        <f t="shared" si="278"/>
        <v>0</v>
      </c>
      <c r="AB606" s="58" t="str">
        <f t="shared" si="279"/>
        <v>ok</v>
      </c>
    </row>
    <row r="607" spans="1:28">
      <c r="A607" s="458" t="s">
        <v>606</v>
      </c>
      <c r="C607" s="60" t="s">
        <v>999</v>
      </c>
      <c r="D607" s="60" t="s">
        <v>557</v>
      </c>
      <c r="E607" s="60" t="s">
        <v>646</v>
      </c>
      <c r="F607" s="79">
        <f>VLOOKUP(C607,'Functional Assignment'!$C$2:$AP$780,'Functional Assignment'!$V$2,)</f>
        <v>0</v>
      </c>
      <c r="G607" s="79">
        <f t="shared" si="276"/>
        <v>0</v>
      </c>
      <c r="H607" s="79">
        <f t="shared" si="276"/>
        <v>0</v>
      </c>
      <c r="I607" s="79">
        <f t="shared" si="276"/>
        <v>0</v>
      </c>
      <c r="J607" s="79">
        <f t="shared" si="276"/>
        <v>0</v>
      </c>
      <c r="K607" s="79">
        <f t="shared" si="276"/>
        <v>0</v>
      </c>
      <c r="L607" s="79">
        <f t="shared" si="276"/>
        <v>0</v>
      </c>
      <c r="M607" s="79">
        <f t="shared" si="276"/>
        <v>0</v>
      </c>
      <c r="N607" s="79">
        <f t="shared" si="276"/>
        <v>0</v>
      </c>
      <c r="O607" s="79">
        <f t="shared" si="276"/>
        <v>0</v>
      </c>
      <c r="P607" s="79">
        <f t="shared" si="276"/>
        <v>0</v>
      </c>
      <c r="Q607" s="79">
        <f t="shared" si="277"/>
        <v>0</v>
      </c>
      <c r="R607" s="79">
        <f t="shared" si="277"/>
        <v>0</v>
      </c>
      <c r="S607" s="79">
        <f t="shared" si="277"/>
        <v>0</v>
      </c>
      <c r="T607" s="79">
        <f t="shared" si="277"/>
        <v>0</v>
      </c>
      <c r="U607" s="79">
        <f t="shared" si="277"/>
        <v>0</v>
      </c>
      <c r="V607" s="79">
        <f t="shared" si="277"/>
        <v>0</v>
      </c>
      <c r="W607" s="79">
        <f t="shared" si="277"/>
        <v>0</v>
      </c>
      <c r="X607" s="63">
        <f t="shared" si="277"/>
        <v>0</v>
      </c>
      <c r="Y607" s="63">
        <f t="shared" si="277"/>
        <v>0</v>
      </c>
      <c r="Z607" s="63">
        <f t="shared" si="277"/>
        <v>0</v>
      </c>
      <c r="AA607" s="63">
        <f t="shared" si="278"/>
        <v>0</v>
      </c>
      <c r="AB607" s="58" t="str">
        <f t="shared" si="279"/>
        <v>ok</v>
      </c>
    </row>
    <row r="608" spans="1:28">
      <c r="A608" s="458" t="s">
        <v>607</v>
      </c>
      <c r="C608" s="60" t="s">
        <v>999</v>
      </c>
      <c r="D608" s="60" t="s">
        <v>558</v>
      </c>
      <c r="E608" s="60" t="s">
        <v>657</v>
      </c>
      <c r="F608" s="79">
        <f>VLOOKUP(C608,'Functional Assignment'!$C$2:$AP$780,'Functional Assignment'!$W$2,)</f>
        <v>0</v>
      </c>
      <c r="G608" s="79">
        <f t="shared" si="276"/>
        <v>0</v>
      </c>
      <c r="H608" s="79">
        <f t="shared" si="276"/>
        <v>0</v>
      </c>
      <c r="I608" s="79">
        <f t="shared" si="276"/>
        <v>0</v>
      </c>
      <c r="J608" s="79">
        <f t="shared" si="276"/>
        <v>0</v>
      </c>
      <c r="K608" s="79">
        <f t="shared" si="276"/>
        <v>0</v>
      </c>
      <c r="L608" s="79">
        <f t="shared" si="276"/>
        <v>0</v>
      </c>
      <c r="M608" s="79">
        <f t="shared" si="276"/>
        <v>0</v>
      </c>
      <c r="N608" s="79">
        <f t="shared" si="276"/>
        <v>0</v>
      </c>
      <c r="O608" s="79">
        <f t="shared" si="276"/>
        <v>0</v>
      </c>
      <c r="P608" s="79">
        <f t="shared" si="276"/>
        <v>0</v>
      </c>
      <c r="Q608" s="79">
        <f t="shared" si="277"/>
        <v>0</v>
      </c>
      <c r="R608" s="79">
        <f t="shared" si="277"/>
        <v>0</v>
      </c>
      <c r="S608" s="79">
        <f t="shared" si="277"/>
        <v>0</v>
      </c>
      <c r="T608" s="79">
        <f t="shared" si="277"/>
        <v>0</v>
      </c>
      <c r="U608" s="79">
        <f t="shared" si="277"/>
        <v>0</v>
      </c>
      <c r="V608" s="79">
        <f t="shared" si="277"/>
        <v>0</v>
      </c>
      <c r="W608" s="79">
        <f t="shared" si="277"/>
        <v>0</v>
      </c>
      <c r="X608" s="63">
        <f t="shared" si="277"/>
        <v>0</v>
      </c>
      <c r="Y608" s="63">
        <f t="shared" si="277"/>
        <v>0</v>
      </c>
      <c r="Z608" s="63">
        <f t="shared" si="277"/>
        <v>0</v>
      </c>
      <c r="AA608" s="63">
        <f t="shared" si="278"/>
        <v>0</v>
      </c>
      <c r="AB608" s="58" t="str">
        <f t="shared" si="279"/>
        <v>ok</v>
      </c>
    </row>
    <row r="609" spans="1:28">
      <c r="A609" s="44" t="s">
        <v>365</v>
      </c>
      <c r="D609" s="60" t="s">
        <v>559</v>
      </c>
      <c r="F609" s="76">
        <f>SUM(F604:F608)</f>
        <v>0</v>
      </c>
      <c r="G609" s="76">
        <f t="shared" ref="G609:W609" si="280">SUM(G604:G608)</f>
        <v>0</v>
      </c>
      <c r="H609" s="76">
        <f t="shared" si="280"/>
        <v>0</v>
      </c>
      <c r="I609" s="76">
        <f t="shared" si="280"/>
        <v>0</v>
      </c>
      <c r="J609" s="76">
        <f t="shared" si="280"/>
        <v>0</v>
      </c>
      <c r="K609" s="76">
        <f t="shared" si="280"/>
        <v>0</v>
      </c>
      <c r="L609" s="76">
        <f t="shared" si="280"/>
        <v>0</v>
      </c>
      <c r="M609" s="76">
        <f t="shared" si="280"/>
        <v>0</v>
      </c>
      <c r="N609" s="76">
        <f t="shared" si="280"/>
        <v>0</v>
      </c>
      <c r="O609" s="76">
        <f>SUM(O604:O608)</f>
        <v>0</v>
      </c>
      <c r="P609" s="76">
        <f t="shared" si="280"/>
        <v>0</v>
      </c>
      <c r="Q609" s="76">
        <f t="shared" si="280"/>
        <v>0</v>
      </c>
      <c r="R609" s="76">
        <f t="shared" si="280"/>
        <v>0</v>
      </c>
      <c r="S609" s="76">
        <f t="shared" si="280"/>
        <v>0</v>
      </c>
      <c r="T609" s="76">
        <f t="shared" si="280"/>
        <v>0</v>
      </c>
      <c r="U609" s="76">
        <f t="shared" si="280"/>
        <v>0</v>
      </c>
      <c r="V609" s="76">
        <f t="shared" si="280"/>
        <v>0</v>
      </c>
      <c r="W609" s="76">
        <f t="shared" si="280"/>
        <v>0</v>
      </c>
      <c r="X609" s="62">
        <f>SUM(X604:X608)</f>
        <v>0</v>
      </c>
      <c r="Y609" s="62">
        <f>SUM(Y604:Y608)</f>
        <v>0</v>
      </c>
      <c r="Z609" s="62">
        <f>SUM(Z604:Z608)</f>
        <v>0</v>
      </c>
      <c r="AA609" s="64">
        <f t="shared" si="278"/>
        <v>0</v>
      </c>
      <c r="AB609" s="58" t="str">
        <f t="shared" si="279"/>
        <v>ok</v>
      </c>
    </row>
    <row r="610" spans="1:28">
      <c r="A610" s="44"/>
      <c r="F610" s="79"/>
    </row>
    <row r="611" spans="1:28" ht="14.1">
      <c r="A611" s="45" t="s">
        <v>613</v>
      </c>
      <c r="F611" s="79"/>
    </row>
    <row r="612" spans="1:28">
      <c r="A612" s="458" t="s">
        <v>1014</v>
      </c>
      <c r="C612" s="60" t="s">
        <v>999</v>
      </c>
      <c r="D612" s="60" t="s">
        <v>560</v>
      </c>
      <c r="E612" s="60" t="s">
        <v>1207</v>
      </c>
      <c r="F612" s="76">
        <f>VLOOKUP(C612,'Functional Assignment'!$C$2:$AP$780,'Functional Assignment'!$X$2,)</f>
        <v>0</v>
      </c>
      <c r="G612" s="76">
        <f t="shared" ref="G612:P613" si="281">IF(VLOOKUP($E612,$D$6:$AN$1150,3,)=0,0,(VLOOKUP($E612,$D$6:$AN$1150,G$2,)/VLOOKUP($E612,$D$6:$AN$1150,3,))*$F612)</f>
        <v>0</v>
      </c>
      <c r="H612" s="76">
        <f t="shared" si="281"/>
        <v>0</v>
      </c>
      <c r="I612" s="76">
        <f t="shared" si="281"/>
        <v>0</v>
      </c>
      <c r="J612" s="76">
        <f t="shared" si="281"/>
        <v>0</v>
      </c>
      <c r="K612" s="76">
        <f t="shared" si="281"/>
        <v>0</v>
      </c>
      <c r="L612" s="76">
        <f t="shared" si="281"/>
        <v>0</v>
      </c>
      <c r="M612" s="76">
        <f t="shared" si="281"/>
        <v>0</v>
      </c>
      <c r="N612" s="76">
        <f t="shared" si="281"/>
        <v>0</v>
      </c>
      <c r="O612" s="76">
        <f t="shared" si="281"/>
        <v>0</v>
      </c>
      <c r="P612" s="76">
        <f t="shared" si="281"/>
        <v>0</v>
      </c>
      <c r="Q612" s="76">
        <f t="shared" ref="Q612:Z613" si="282">IF(VLOOKUP($E612,$D$6:$AN$1150,3,)=0,0,(VLOOKUP($E612,$D$6:$AN$1150,Q$2,)/VLOOKUP($E612,$D$6:$AN$1150,3,))*$F612)</f>
        <v>0</v>
      </c>
      <c r="R612" s="76">
        <f t="shared" si="282"/>
        <v>0</v>
      </c>
      <c r="S612" s="76">
        <f t="shared" si="282"/>
        <v>0</v>
      </c>
      <c r="T612" s="76">
        <f t="shared" si="282"/>
        <v>0</v>
      </c>
      <c r="U612" s="76">
        <f t="shared" si="282"/>
        <v>0</v>
      </c>
      <c r="V612" s="76">
        <f t="shared" si="282"/>
        <v>0</v>
      </c>
      <c r="W612" s="76">
        <f t="shared" si="282"/>
        <v>0</v>
      </c>
      <c r="X612" s="62">
        <f t="shared" si="282"/>
        <v>0</v>
      </c>
      <c r="Y612" s="62">
        <f t="shared" si="282"/>
        <v>0</v>
      </c>
      <c r="Z612" s="62">
        <f t="shared" si="282"/>
        <v>0</v>
      </c>
      <c r="AA612" s="64">
        <f>SUM(G612:Z612)</f>
        <v>0</v>
      </c>
      <c r="AB612" s="58" t="str">
        <f>IF(ABS(F612-AA612)&lt;0.01,"ok","err")</f>
        <v>ok</v>
      </c>
    </row>
    <row r="613" spans="1:28">
      <c r="A613" s="458" t="s">
        <v>1017</v>
      </c>
      <c r="C613" s="60" t="s">
        <v>999</v>
      </c>
      <c r="D613" s="60" t="s">
        <v>561</v>
      </c>
      <c r="E613" s="60" t="s">
        <v>1205</v>
      </c>
      <c r="F613" s="79">
        <f>VLOOKUP(C613,'Functional Assignment'!$C$2:$AP$780,'Functional Assignment'!$Y$2,)</f>
        <v>0</v>
      </c>
      <c r="G613" s="79">
        <f t="shared" si="281"/>
        <v>0</v>
      </c>
      <c r="H613" s="79">
        <f t="shared" si="281"/>
        <v>0</v>
      </c>
      <c r="I613" s="79">
        <f t="shared" si="281"/>
        <v>0</v>
      </c>
      <c r="J613" s="79">
        <f t="shared" si="281"/>
        <v>0</v>
      </c>
      <c r="K613" s="79">
        <f t="shared" si="281"/>
        <v>0</v>
      </c>
      <c r="L613" s="79">
        <f t="shared" si="281"/>
        <v>0</v>
      </c>
      <c r="M613" s="79">
        <f t="shared" si="281"/>
        <v>0</v>
      </c>
      <c r="N613" s="79">
        <f t="shared" si="281"/>
        <v>0</v>
      </c>
      <c r="O613" s="79">
        <f t="shared" si="281"/>
        <v>0</v>
      </c>
      <c r="P613" s="79">
        <f t="shared" si="281"/>
        <v>0</v>
      </c>
      <c r="Q613" s="79">
        <f t="shared" si="282"/>
        <v>0</v>
      </c>
      <c r="R613" s="79">
        <f t="shared" si="282"/>
        <v>0</v>
      </c>
      <c r="S613" s="79">
        <f t="shared" si="282"/>
        <v>0</v>
      </c>
      <c r="T613" s="79">
        <f t="shared" si="282"/>
        <v>0</v>
      </c>
      <c r="U613" s="79">
        <f t="shared" si="282"/>
        <v>0</v>
      </c>
      <c r="V613" s="79">
        <f t="shared" si="282"/>
        <v>0</v>
      </c>
      <c r="W613" s="79">
        <f t="shared" si="282"/>
        <v>0</v>
      </c>
      <c r="X613" s="63">
        <f t="shared" si="282"/>
        <v>0</v>
      </c>
      <c r="Y613" s="63">
        <f t="shared" si="282"/>
        <v>0</v>
      </c>
      <c r="Z613" s="63">
        <f t="shared" si="282"/>
        <v>0</v>
      </c>
      <c r="AA613" s="63">
        <f>SUM(G613:Z613)</f>
        <v>0</v>
      </c>
      <c r="AB613" s="58" t="str">
        <f>IF(ABS(F613-AA613)&lt;0.01,"ok","err")</f>
        <v>ok</v>
      </c>
    </row>
    <row r="614" spans="1:28">
      <c r="A614" s="44" t="s">
        <v>672</v>
      </c>
      <c r="D614" s="60" t="s">
        <v>562</v>
      </c>
      <c r="F614" s="76">
        <f>F612+F613</f>
        <v>0</v>
      </c>
      <c r="G614" s="76">
        <f t="shared" ref="G614:W614" si="283">G612+G613</f>
        <v>0</v>
      </c>
      <c r="H614" s="76">
        <f t="shared" si="283"/>
        <v>0</v>
      </c>
      <c r="I614" s="76">
        <f t="shared" si="283"/>
        <v>0</v>
      </c>
      <c r="J614" s="76">
        <f t="shared" si="283"/>
        <v>0</v>
      </c>
      <c r="K614" s="76">
        <f t="shared" si="283"/>
        <v>0</v>
      </c>
      <c r="L614" s="76">
        <f t="shared" si="283"/>
        <v>0</v>
      </c>
      <c r="M614" s="76">
        <f t="shared" si="283"/>
        <v>0</v>
      </c>
      <c r="N614" s="76">
        <f t="shared" si="283"/>
        <v>0</v>
      </c>
      <c r="O614" s="76">
        <f>O612+O613</f>
        <v>0</v>
      </c>
      <c r="P614" s="76">
        <f t="shared" si="283"/>
        <v>0</v>
      </c>
      <c r="Q614" s="76">
        <f t="shared" si="283"/>
        <v>0</v>
      </c>
      <c r="R614" s="76">
        <f t="shared" si="283"/>
        <v>0</v>
      </c>
      <c r="S614" s="76">
        <f t="shared" si="283"/>
        <v>0</v>
      </c>
      <c r="T614" s="76">
        <f t="shared" si="283"/>
        <v>0</v>
      </c>
      <c r="U614" s="76">
        <f t="shared" si="283"/>
        <v>0</v>
      </c>
      <c r="V614" s="76">
        <f t="shared" si="283"/>
        <v>0</v>
      </c>
      <c r="W614" s="76">
        <f t="shared" si="283"/>
        <v>0</v>
      </c>
      <c r="X614" s="62">
        <f>X612+X613</f>
        <v>0</v>
      </c>
      <c r="Y614" s="62">
        <f>Y612+Y613</f>
        <v>0</v>
      </c>
      <c r="Z614" s="62">
        <f>Z612+Z613</f>
        <v>0</v>
      </c>
      <c r="AA614" s="64">
        <f>SUM(G614:Z614)</f>
        <v>0</v>
      </c>
      <c r="AB614" s="58" t="str">
        <f>IF(ABS(F614-AA614)&lt;0.01,"ok","err")</f>
        <v>ok</v>
      </c>
    </row>
    <row r="615" spans="1:28">
      <c r="A615" s="44"/>
      <c r="F615" s="79"/>
    </row>
    <row r="616" spans="1:28" ht="14.1">
      <c r="A616" s="45" t="s">
        <v>343</v>
      </c>
      <c r="F616" s="79"/>
    </row>
    <row r="617" spans="1:28">
      <c r="A617" s="458" t="s">
        <v>1017</v>
      </c>
      <c r="C617" s="60" t="s">
        <v>999</v>
      </c>
      <c r="D617" s="60" t="s">
        <v>563</v>
      </c>
      <c r="E617" s="60" t="s">
        <v>1019</v>
      </c>
      <c r="F617" s="76">
        <f>VLOOKUP(C617,'Functional Assignment'!$C$2:$AP$780,'Functional Assignment'!$Z$2,)</f>
        <v>0</v>
      </c>
      <c r="G617" s="76">
        <f t="shared" ref="G617:Z617" si="284">IF(VLOOKUP($E617,$D$6:$AN$1150,3,)=0,0,(VLOOKUP($E617,$D$6:$AN$1150,G$2,)/VLOOKUP($E617,$D$6:$AN$1150,3,))*$F617)</f>
        <v>0</v>
      </c>
      <c r="H617" s="76">
        <f t="shared" si="284"/>
        <v>0</v>
      </c>
      <c r="I617" s="76">
        <f t="shared" si="284"/>
        <v>0</v>
      </c>
      <c r="J617" s="76">
        <f t="shared" si="284"/>
        <v>0</v>
      </c>
      <c r="K617" s="76">
        <f t="shared" si="284"/>
        <v>0</v>
      </c>
      <c r="L617" s="76">
        <f t="shared" si="284"/>
        <v>0</v>
      </c>
      <c r="M617" s="76">
        <f t="shared" si="284"/>
        <v>0</v>
      </c>
      <c r="N617" s="76">
        <f t="shared" si="284"/>
        <v>0</v>
      </c>
      <c r="O617" s="76">
        <f t="shared" si="284"/>
        <v>0</v>
      </c>
      <c r="P617" s="76">
        <f t="shared" si="284"/>
        <v>0</v>
      </c>
      <c r="Q617" s="76">
        <f t="shared" si="284"/>
        <v>0</v>
      </c>
      <c r="R617" s="76">
        <f t="shared" si="284"/>
        <v>0</v>
      </c>
      <c r="S617" s="76">
        <f t="shared" si="284"/>
        <v>0</v>
      </c>
      <c r="T617" s="76">
        <f t="shared" si="284"/>
        <v>0</v>
      </c>
      <c r="U617" s="76">
        <f t="shared" si="284"/>
        <v>0</v>
      </c>
      <c r="V617" s="76">
        <f t="shared" si="284"/>
        <v>0</v>
      </c>
      <c r="W617" s="76">
        <f t="shared" si="284"/>
        <v>0</v>
      </c>
      <c r="X617" s="62">
        <f t="shared" si="284"/>
        <v>0</v>
      </c>
      <c r="Y617" s="62">
        <f t="shared" si="284"/>
        <v>0</v>
      </c>
      <c r="Z617" s="62">
        <f t="shared" si="284"/>
        <v>0</v>
      </c>
      <c r="AA617" s="64">
        <f>SUM(G617:Z617)</f>
        <v>0</v>
      </c>
      <c r="AB617" s="58" t="str">
        <f>IF(ABS(F617-AA617)&lt;0.01,"ok","err")</f>
        <v>ok</v>
      </c>
    </row>
    <row r="618" spans="1:28">
      <c r="A618" s="44"/>
      <c r="F618" s="79"/>
    </row>
    <row r="619" spans="1:28" ht="14.1">
      <c r="A619" s="45" t="s">
        <v>342</v>
      </c>
      <c r="F619" s="79"/>
    </row>
    <row r="620" spans="1:28">
      <c r="A620" s="458" t="s">
        <v>1017</v>
      </c>
      <c r="C620" s="60" t="s">
        <v>999</v>
      </c>
      <c r="D620" s="60" t="s">
        <v>564</v>
      </c>
      <c r="E620" s="60" t="s">
        <v>1020</v>
      </c>
      <c r="F620" s="76">
        <f>VLOOKUP(C620,'Functional Assignment'!$C$2:$AP$780,'Functional Assignment'!$AA$2,)</f>
        <v>0</v>
      </c>
      <c r="G620" s="76">
        <f t="shared" ref="G620:Z620" si="285">IF(VLOOKUP($E620,$D$6:$AN$1150,3,)=0,0,(VLOOKUP($E620,$D$6:$AN$1150,G$2,)/VLOOKUP($E620,$D$6:$AN$1150,3,))*$F620)</f>
        <v>0</v>
      </c>
      <c r="H620" s="76">
        <f t="shared" si="285"/>
        <v>0</v>
      </c>
      <c r="I620" s="76">
        <f t="shared" si="285"/>
        <v>0</v>
      </c>
      <c r="J620" s="76">
        <f t="shared" si="285"/>
        <v>0</v>
      </c>
      <c r="K620" s="76">
        <f t="shared" si="285"/>
        <v>0</v>
      </c>
      <c r="L620" s="76">
        <f t="shared" si="285"/>
        <v>0</v>
      </c>
      <c r="M620" s="76">
        <f t="shared" si="285"/>
        <v>0</v>
      </c>
      <c r="N620" s="76">
        <f t="shared" si="285"/>
        <v>0</v>
      </c>
      <c r="O620" s="76">
        <f t="shared" si="285"/>
        <v>0</v>
      </c>
      <c r="P620" s="76">
        <f t="shared" si="285"/>
        <v>0</v>
      </c>
      <c r="Q620" s="76">
        <f t="shared" si="285"/>
        <v>0</v>
      </c>
      <c r="R620" s="76">
        <f t="shared" si="285"/>
        <v>0</v>
      </c>
      <c r="S620" s="76">
        <f t="shared" si="285"/>
        <v>0</v>
      </c>
      <c r="T620" s="76">
        <f t="shared" si="285"/>
        <v>0</v>
      </c>
      <c r="U620" s="76">
        <f t="shared" si="285"/>
        <v>0</v>
      </c>
      <c r="V620" s="76">
        <f t="shared" si="285"/>
        <v>0</v>
      </c>
      <c r="W620" s="76">
        <f t="shared" si="285"/>
        <v>0</v>
      </c>
      <c r="X620" s="62">
        <f t="shared" si="285"/>
        <v>0</v>
      </c>
      <c r="Y620" s="62">
        <f t="shared" si="285"/>
        <v>0</v>
      </c>
      <c r="Z620" s="62">
        <f t="shared" si="285"/>
        <v>0</v>
      </c>
      <c r="AA620" s="64">
        <f>SUM(G620:Z620)</f>
        <v>0</v>
      </c>
      <c r="AB620" s="58" t="str">
        <f>IF(ABS(F620-AA620)&lt;0.01,"ok","err")</f>
        <v>ok</v>
      </c>
    </row>
    <row r="621" spans="1:28">
      <c r="A621" s="44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62"/>
      <c r="Y621" s="62"/>
      <c r="Z621" s="62"/>
      <c r="AA621" s="64"/>
    </row>
    <row r="622" spans="1:28" ht="14.1">
      <c r="A622" s="45" t="s">
        <v>358</v>
      </c>
      <c r="F622" s="79"/>
    </row>
    <row r="623" spans="1:28">
      <c r="A623" s="458" t="s">
        <v>1017</v>
      </c>
      <c r="C623" s="60" t="s">
        <v>999</v>
      </c>
      <c r="D623" s="60" t="s">
        <v>565</v>
      </c>
      <c r="E623" s="60" t="s">
        <v>1021</v>
      </c>
      <c r="F623" s="76">
        <f>VLOOKUP(C623,'Functional Assignment'!$C$2:$AP$780,'Functional Assignment'!$AB$2,)</f>
        <v>0</v>
      </c>
      <c r="G623" s="76">
        <f t="shared" ref="G623:Z623" si="286">IF(VLOOKUP($E623,$D$6:$AN$1150,3,)=0,0,(VLOOKUP($E623,$D$6:$AN$1150,G$2,)/VLOOKUP($E623,$D$6:$AN$1150,3,))*$F623)</f>
        <v>0</v>
      </c>
      <c r="H623" s="76">
        <f t="shared" si="286"/>
        <v>0</v>
      </c>
      <c r="I623" s="76">
        <f t="shared" si="286"/>
        <v>0</v>
      </c>
      <c r="J623" s="76">
        <f t="shared" si="286"/>
        <v>0</v>
      </c>
      <c r="K623" s="76">
        <f t="shared" si="286"/>
        <v>0</v>
      </c>
      <c r="L623" s="76">
        <f t="shared" si="286"/>
        <v>0</v>
      </c>
      <c r="M623" s="76">
        <f t="shared" si="286"/>
        <v>0</v>
      </c>
      <c r="N623" s="76">
        <f t="shared" si="286"/>
        <v>0</v>
      </c>
      <c r="O623" s="76">
        <f t="shared" si="286"/>
        <v>0</v>
      </c>
      <c r="P623" s="76">
        <f t="shared" si="286"/>
        <v>0</v>
      </c>
      <c r="Q623" s="76">
        <f t="shared" si="286"/>
        <v>0</v>
      </c>
      <c r="R623" s="76">
        <f t="shared" si="286"/>
        <v>0</v>
      </c>
      <c r="S623" s="76">
        <f t="shared" si="286"/>
        <v>0</v>
      </c>
      <c r="T623" s="76">
        <f t="shared" si="286"/>
        <v>0</v>
      </c>
      <c r="U623" s="76">
        <f t="shared" si="286"/>
        <v>0</v>
      </c>
      <c r="V623" s="76">
        <f t="shared" si="286"/>
        <v>0</v>
      </c>
      <c r="W623" s="76">
        <f t="shared" si="286"/>
        <v>0</v>
      </c>
      <c r="X623" s="62">
        <f t="shared" si="286"/>
        <v>0</v>
      </c>
      <c r="Y623" s="62">
        <f t="shared" si="286"/>
        <v>0</v>
      </c>
      <c r="Z623" s="62">
        <f t="shared" si="286"/>
        <v>0</v>
      </c>
      <c r="AA623" s="64">
        <f>SUM(G623:Z623)</f>
        <v>0</v>
      </c>
      <c r="AB623" s="58" t="str">
        <f>IF(ABS(F623-AA623)&lt;0.01,"ok","err")</f>
        <v>ok</v>
      </c>
    </row>
    <row r="624" spans="1:28">
      <c r="A624" s="44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62"/>
      <c r="Y624" s="62"/>
      <c r="Z624" s="62"/>
      <c r="AA624" s="64"/>
    </row>
    <row r="625" spans="1:28" ht="14.1">
      <c r="A625" s="45" t="s">
        <v>949</v>
      </c>
      <c r="F625" s="79"/>
    </row>
    <row r="626" spans="1:28">
      <c r="A626" s="458" t="s">
        <v>1017</v>
      </c>
      <c r="C626" s="60" t="s">
        <v>999</v>
      </c>
      <c r="D626" s="60" t="s">
        <v>566</v>
      </c>
      <c r="E626" s="60" t="s">
        <v>1022</v>
      </c>
      <c r="F626" s="76">
        <f>VLOOKUP(C626,'Functional Assignment'!$C$2:$AP$780,'Functional Assignment'!$AC$2,)</f>
        <v>0</v>
      </c>
      <c r="G626" s="76">
        <f t="shared" ref="G626:Z626" si="287">IF(VLOOKUP($E626,$D$6:$AN$1150,3,)=0,0,(VLOOKUP($E626,$D$6:$AN$1150,G$2,)/VLOOKUP($E626,$D$6:$AN$1150,3,))*$F626)</f>
        <v>0</v>
      </c>
      <c r="H626" s="76">
        <f t="shared" si="287"/>
        <v>0</v>
      </c>
      <c r="I626" s="76">
        <f t="shared" si="287"/>
        <v>0</v>
      </c>
      <c r="J626" s="76">
        <f t="shared" si="287"/>
        <v>0</v>
      </c>
      <c r="K626" s="76">
        <f t="shared" si="287"/>
        <v>0</v>
      </c>
      <c r="L626" s="76">
        <f t="shared" si="287"/>
        <v>0</v>
      </c>
      <c r="M626" s="76">
        <f t="shared" si="287"/>
        <v>0</v>
      </c>
      <c r="N626" s="76">
        <f t="shared" si="287"/>
        <v>0</v>
      </c>
      <c r="O626" s="76">
        <f t="shared" si="287"/>
        <v>0</v>
      </c>
      <c r="P626" s="76">
        <f t="shared" si="287"/>
        <v>0</v>
      </c>
      <c r="Q626" s="76">
        <f t="shared" si="287"/>
        <v>0</v>
      </c>
      <c r="R626" s="76">
        <f t="shared" si="287"/>
        <v>0</v>
      </c>
      <c r="S626" s="76">
        <f t="shared" si="287"/>
        <v>0</v>
      </c>
      <c r="T626" s="76">
        <f t="shared" si="287"/>
        <v>0</v>
      </c>
      <c r="U626" s="76">
        <f t="shared" si="287"/>
        <v>0</v>
      </c>
      <c r="V626" s="76">
        <f t="shared" si="287"/>
        <v>0</v>
      </c>
      <c r="W626" s="76">
        <f t="shared" si="287"/>
        <v>0</v>
      </c>
      <c r="X626" s="62">
        <f t="shared" si="287"/>
        <v>0</v>
      </c>
      <c r="Y626" s="62">
        <f t="shared" si="287"/>
        <v>0</v>
      </c>
      <c r="Z626" s="62">
        <f t="shared" si="287"/>
        <v>0</v>
      </c>
      <c r="AA626" s="64">
        <f>SUM(G626:Z626)</f>
        <v>0</v>
      </c>
      <c r="AB626" s="58" t="str">
        <f>IF(ABS(F626-AA626)&lt;0.01,"ok","err")</f>
        <v>ok</v>
      </c>
    </row>
    <row r="627" spans="1:28">
      <c r="A627" s="44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62"/>
      <c r="Y627" s="62"/>
      <c r="Z627" s="62"/>
      <c r="AA627" s="64"/>
    </row>
    <row r="628" spans="1:28" ht="14.1">
      <c r="A628" s="45" t="s">
        <v>340</v>
      </c>
      <c r="F628" s="79"/>
    </row>
    <row r="629" spans="1:28">
      <c r="A629" s="458" t="s">
        <v>1017</v>
      </c>
      <c r="C629" s="60" t="s">
        <v>999</v>
      </c>
      <c r="D629" s="60" t="s">
        <v>567</v>
      </c>
      <c r="E629" s="60" t="s">
        <v>1022</v>
      </c>
      <c r="F629" s="76">
        <f>VLOOKUP(C629,'Functional Assignment'!$C$2:$AP$780,'Functional Assignment'!$AD$2,)</f>
        <v>0</v>
      </c>
      <c r="G629" s="76">
        <f t="shared" ref="G629:Z629" si="288">IF(VLOOKUP($E629,$D$6:$AN$1150,3,)=0,0,(VLOOKUP($E629,$D$6:$AN$1150,G$2,)/VLOOKUP($E629,$D$6:$AN$1150,3,))*$F629)</f>
        <v>0</v>
      </c>
      <c r="H629" s="76">
        <f t="shared" si="288"/>
        <v>0</v>
      </c>
      <c r="I629" s="76">
        <f t="shared" si="288"/>
        <v>0</v>
      </c>
      <c r="J629" s="76">
        <f t="shared" si="288"/>
        <v>0</v>
      </c>
      <c r="K629" s="76">
        <f t="shared" si="288"/>
        <v>0</v>
      </c>
      <c r="L629" s="76">
        <f t="shared" si="288"/>
        <v>0</v>
      </c>
      <c r="M629" s="76">
        <f t="shared" si="288"/>
        <v>0</v>
      </c>
      <c r="N629" s="76">
        <f t="shared" si="288"/>
        <v>0</v>
      </c>
      <c r="O629" s="76">
        <f t="shared" si="288"/>
        <v>0</v>
      </c>
      <c r="P629" s="76">
        <f t="shared" si="288"/>
        <v>0</v>
      </c>
      <c r="Q629" s="76">
        <f t="shared" si="288"/>
        <v>0</v>
      </c>
      <c r="R629" s="76">
        <f t="shared" si="288"/>
        <v>0</v>
      </c>
      <c r="S629" s="76">
        <f t="shared" si="288"/>
        <v>0</v>
      </c>
      <c r="T629" s="76">
        <f t="shared" si="288"/>
        <v>0</v>
      </c>
      <c r="U629" s="76">
        <f t="shared" si="288"/>
        <v>0</v>
      </c>
      <c r="V629" s="76">
        <f t="shared" si="288"/>
        <v>0</v>
      </c>
      <c r="W629" s="76">
        <f t="shared" si="288"/>
        <v>0</v>
      </c>
      <c r="X629" s="62">
        <f t="shared" si="288"/>
        <v>0</v>
      </c>
      <c r="Y629" s="62">
        <f t="shared" si="288"/>
        <v>0</v>
      </c>
      <c r="Z629" s="62">
        <f t="shared" si="288"/>
        <v>0</v>
      </c>
      <c r="AA629" s="64">
        <f>SUM(G629:Z629)</f>
        <v>0</v>
      </c>
      <c r="AB629" s="58" t="str">
        <f>IF(ABS(F629-AA629)&lt;0.01,"ok","err")</f>
        <v>ok</v>
      </c>
    </row>
    <row r="630" spans="1:28">
      <c r="A630" s="44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62"/>
      <c r="Y630" s="62"/>
      <c r="Z630" s="62"/>
      <c r="AA630" s="64"/>
    </row>
    <row r="631" spans="1:28" ht="14.1">
      <c r="A631" s="45" t="s">
        <v>339</v>
      </c>
      <c r="F631" s="79"/>
    </row>
    <row r="632" spans="1:28">
      <c r="A632" s="458" t="s">
        <v>1017</v>
      </c>
      <c r="C632" s="60" t="s">
        <v>999</v>
      </c>
      <c r="D632" s="60" t="s">
        <v>568</v>
      </c>
      <c r="E632" s="60" t="s">
        <v>1023</v>
      </c>
      <c r="F632" s="76">
        <f>VLOOKUP(C632,'Functional Assignment'!$C$2:$AP$780,'Functional Assignment'!$AE$2,)</f>
        <v>0</v>
      </c>
      <c r="G632" s="76">
        <f t="shared" ref="G632:Z632" si="289">IF(VLOOKUP($E632,$D$6:$AN$1150,3,)=0,0,(VLOOKUP($E632,$D$6:$AN$1150,G$2,)/VLOOKUP($E632,$D$6:$AN$1150,3,))*$F632)</f>
        <v>0</v>
      </c>
      <c r="H632" s="76">
        <f t="shared" si="289"/>
        <v>0</v>
      </c>
      <c r="I632" s="76">
        <f t="shared" si="289"/>
        <v>0</v>
      </c>
      <c r="J632" s="76">
        <f t="shared" si="289"/>
        <v>0</v>
      </c>
      <c r="K632" s="76">
        <f t="shared" si="289"/>
        <v>0</v>
      </c>
      <c r="L632" s="76">
        <f t="shared" si="289"/>
        <v>0</v>
      </c>
      <c r="M632" s="76">
        <f t="shared" si="289"/>
        <v>0</v>
      </c>
      <c r="N632" s="76">
        <f t="shared" si="289"/>
        <v>0</v>
      </c>
      <c r="O632" s="76">
        <f t="shared" si="289"/>
        <v>0</v>
      </c>
      <c r="P632" s="76">
        <f t="shared" si="289"/>
        <v>0</v>
      </c>
      <c r="Q632" s="76">
        <f t="shared" si="289"/>
        <v>0</v>
      </c>
      <c r="R632" s="76">
        <f t="shared" si="289"/>
        <v>0</v>
      </c>
      <c r="S632" s="76">
        <f t="shared" si="289"/>
        <v>0</v>
      </c>
      <c r="T632" s="76">
        <f t="shared" si="289"/>
        <v>0</v>
      </c>
      <c r="U632" s="76">
        <f t="shared" si="289"/>
        <v>0</v>
      </c>
      <c r="V632" s="76">
        <f t="shared" si="289"/>
        <v>0</v>
      </c>
      <c r="W632" s="76">
        <f t="shared" si="289"/>
        <v>0</v>
      </c>
      <c r="X632" s="62">
        <f t="shared" si="289"/>
        <v>0</v>
      </c>
      <c r="Y632" s="62">
        <f t="shared" si="289"/>
        <v>0</v>
      </c>
      <c r="Z632" s="62">
        <f t="shared" si="289"/>
        <v>0</v>
      </c>
      <c r="AA632" s="64">
        <f>SUM(G632:Z632)</f>
        <v>0</v>
      </c>
      <c r="AB632" s="58" t="str">
        <f>IF(ABS(F632-AA632)&lt;0.01,"ok","err")</f>
        <v>ok</v>
      </c>
    </row>
    <row r="633" spans="1:28">
      <c r="A633" s="44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62"/>
      <c r="Y633" s="62"/>
      <c r="Z633" s="62"/>
      <c r="AA633" s="64"/>
    </row>
    <row r="634" spans="1:28">
      <c r="A634" s="44" t="s">
        <v>846</v>
      </c>
      <c r="D634" s="60" t="s">
        <v>1035</v>
      </c>
      <c r="F634" s="76">
        <f>F589+F595+F598+F601+F609+F614+F617+F620+F623+F626+F629+F632</f>
        <v>0</v>
      </c>
      <c r="G634" s="76">
        <f t="shared" ref="G634:Z634" si="290">G589+G595+G598+G601+G609+G614+G617+G620+G623+G626+G629+G632</f>
        <v>0</v>
      </c>
      <c r="H634" s="76">
        <f t="shared" si="290"/>
        <v>0</v>
      </c>
      <c r="I634" s="76">
        <f t="shared" si="290"/>
        <v>0</v>
      </c>
      <c r="J634" s="76">
        <f t="shared" si="290"/>
        <v>0</v>
      </c>
      <c r="K634" s="76">
        <f t="shared" si="290"/>
        <v>0</v>
      </c>
      <c r="L634" s="76">
        <f t="shared" si="290"/>
        <v>0</v>
      </c>
      <c r="M634" s="76">
        <f t="shared" si="290"/>
        <v>0</v>
      </c>
      <c r="N634" s="76">
        <f t="shared" si="290"/>
        <v>0</v>
      </c>
      <c r="O634" s="76">
        <f>O589+O595+O598+O601+O609+O614+O617+O620+O623+O626+O629+O632</f>
        <v>0</v>
      </c>
      <c r="P634" s="76">
        <f t="shared" si="290"/>
        <v>0</v>
      </c>
      <c r="Q634" s="76">
        <f t="shared" si="290"/>
        <v>0</v>
      </c>
      <c r="R634" s="76">
        <f t="shared" si="290"/>
        <v>0</v>
      </c>
      <c r="S634" s="76">
        <f t="shared" si="290"/>
        <v>0</v>
      </c>
      <c r="T634" s="76">
        <f t="shared" si="290"/>
        <v>0</v>
      </c>
      <c r="U634" s="76">
        <f t="shared" si="290"/>
        <v>0</v>
      </c>
      <c r="V634" s="76">
        <f t="shared" si="290"/>
        <v>0</v>
      </c>
      <c r="W634" s="76">
        <f t="shared" si="290"/>
        <v>0</v>
      </c>
      <c r="X634" s="62">
        <f t="shared" si="290"/>
        <v>0</v>
      </c>
      <c r="Y634" s="62">
        <f t="shared" si="290"/>
        <v>0</v>
      </c>
      <c r="Z634" s="62">
        <f t="shared" si="290"/>
        <v>0</v>
      </c>
      <c r="AA634" s="64">
        <f>SUM(G634:Z634)</f>
        <v>0</v>
      </c>
      <c r="AB634" s="58" t="str">
        <f>IF(ABS(F634-AA634)&lt;0.01,"ok","err")</f>
        <v>ok</v>
      </c>
    </row>
    <row r="635" spans="1:28"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62"/>
      <c r="Y635" s="62"/>
      <c r="Z635" s="62"/>
      <c r="AA635" s="64"/>
      <c r="AB635" s="58"/>
    </row>
    <row r="636" spans="1:28"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62"/>
      <c r="Y636" s="62"/>
      <c r="Z636" s="62"/>
      <c r="AA636" s="64"/>
      <c r="AB636" s="58"/>
    </row>
    <row r="637" spans="1:28" ht="14.1">
      <c r="A637" s="65" t="s">
        <v>764</v>
      </c>
    </row>
    <row r="639" spans="1:28" ht="14.1">
      <c r="A639" s="65" t="s">
        <v>352</v>
      </c>
    </row>
    <row r="640" spans="1:28">
      <c r="A640" s="458" t="s">
        <v>1441</v>
      </c>
      <c r="B640" s="44"/>
      <c r="C640" s="44" t="s">
        <v>1000</v>
      </c>
      <c r="D640" s="44" t="s">
        <v>1443</v>
      </c>
      <c r="E640" s="44" t="s">
        <v>1410</v>
      </c>
      <c r="F640" s="76">
        <f>VLOOKUP(C640,'Functional Assignment'!$C$2:$AP$780,'Functional Assignment'!$H$2,)</f>
        <v>45829810.507106677</v>
      </c>
      <c r="G640" s="76">
        <f t="shared" ref="G640:P645" si="291">IF(VLOOKUP($E640,$D$6:$AN$1150,3,)=0,0,(VLOOKUP($E640,$D$6:$AN$1150,G$2,)/VLOOKUP($E640,$D$6:$AN$1150,3,))*$F640)</f>
        <v>20069984.710151855</v>
      </c>
      <c r="H640" s="76">
        <f t="shared" si="291"/>
        <v>7642.4813627245776</v>
      </c>
      <c r="I640" s="76">
        <f t="shared" si="291"/>
        <v>5607383.4019963173</v>
      </c>
      <c r="J640" s="76">
        <f t="shared" si="291"/>
        <v>379980.05220178817</v>
      </c>
      <c r="K640" s="76">
        <f t="shared" si="291"/>
        <v>6251453.1369763771</v>
      </c>
      <c r="L640" s="76">
        <f t="shared" si="291"/>
        <v>5642996.6988949366</v>
      </c>
      <c r="M640" s="76">
        <f t="shared" si="291"/>
        <v>4800985.6273777643</v>
      </c>
      <c r="N640" s="76">
        <f t="shared" si="291"/>
        <v>2727695.1198031879</v>
      </c>
      <c r="O640" s="76">
        <f t="shared" si="291"/>
        <v>161918.99620179625</v>
      </c>
      <c r="P640" s="76">
        <f t="shared" si="291"/>
        <v>165950.17977154735</v>
      </c>
      <c r="Q640" s="76">
        <f t="shared" ref="Q640:Z645" si="292">IF(VLOOKUP($E640,$D$6:$AN$1150,3,)=0,0,(VLOOKUP($E640,$D$6:$AN$1150,Q$2,)/VLOOKUP($E640,$D$6:$AN$1150,3,))*$F640)</f>
        <v>5780.0481469724709</v>
      </c>
      <c r="R640" s="76">
        <f t="shared" si="292"/>
        <v>7959.9331379298246</v>
      </c>
      <c r="S640" s="76">
        <f t="shared" si="292"/>
        <v>7.841608403557645</v>
      </c>
      <c r="T640" s="76">
        <f t="shared" si="292"/>
        <v>72.279475073662027</v>
      </c>
      <c r="U640" s="76">
        <f t="shared" si="292"/>
        <v>0</v>
      </c>
      <c r="V640" s="76">
        <f t="shared" si="292"/>
        <v>0</v>
      </c>
      <c r="W640" s="76">
        <f t="shared" si="292"/>
        <v>0</v>
      </c>
      <c r="X640" s="62">
        <f t="shared" si="292"/>
        <v>0</v>
      </c>
      <c r="Y640" s="62">
        <f t="shared" si="292"/>
        <v>0</v>
      </c>
      <c r="Z640" s="62">
        <f t="shared" si="292"/>
        <v>0</v>
      </c>
      <c r="AA640" s="64">
        <f t="shared" ref="AA640:AA646" si="293">SUM(G640:Z640)</f>
        <v>45829810.507106677</v>
      </c>
      <c r="AB640" s="58" t="str">
        <f t="shared" ref="AB640:AB646" si="294">IF(ABS(F640-AA640)&lt;0.01,"ok","err")</f>
        <v>ok</v>
      </c>
    </row>
    <row r="641" spans="1:28" hidden="1">
      <c r="A641" s="458" t="s">
        <v>1256</v>
      </c>
      <c r="B641" s="44"/>
      <c r="C641" s="44" t="s">
        <v>1000</v>
      </c>
      <c r="D641" s="44" t="s">
        <v>765</v>
      </c>
      <c r="E641" s="44" t="s">
        <v>1412</v>
      </c>
      <c r="F641" s="79">
        <f>VLOOKUP(C641,'Functional Assignment'!$C$2:$AP$780,'Functional Assignment'!$I$2,)</f>
        <v>0</v>
      </c>
      <c r="G641" s="79">
        <f t="shared" si="291"/>
        <v>0</v>
      </c>
      <c r="H641" s="79">
        <f t="shared" si="291"/>
        <v>0</v>
      </c>
      <c r="I641" s="79">
        <f t="shared" si="291"/>
        <v>0</v>
      </c>
      <c r="J641" s="79">
        <f t="shared" si="291"/>
        <v>0</v>
      </c>
      <c r="K641" s="79">
        <f t="shared" si="291"/>
        <v>0</v>
      </c>
      <c r="L641" s="79">
        <f t="shared" si="291"/>
        <v>0</v>
      </c>
      <c r="M641" s="79">
        <f t="shared" si="291"/>
        <v>0</v>
      </c>
      <c r="N641" s="79">
        <f t="shared" si="291"/>
        <v>0</v>
      </c>
      <c r="O641" s="79">
        <f t="shared" si="291"/>
        <v>0</v>
      </c>
      <c r="P641" s="79">
        <f t="shared" si="291"/>
        <v>0</v>
      </c>
      <c r="Q641" s="79">
        <f t="shared" si="292"/>
        <v>0</v>
      </c>
      <c r="R641" s="79">
        <f t="shared" si="292"/>
        <v>0</v>
      </c>
      <c r="S641" s="79">
        <f t="shared" si="292"/>
        <v>0</v>
      </c>
      <c r="T641" s="79">
        <f t="shared" si="292"/>
        <v>0</v>
      </c>
      <c r="U641" s="79">
        <f t="shared" si="292"/>
        <v>0</v>
      </c>
      <c r="V641" s="79">
        <f t="shared" si="292"/>
        <v>0</v>
      </c>
      <c r="W641" s="79">
        <f t="shared" si="292"/>
        <v>0</v>
      </c>
      <c r="X641" s="63">
        <f t="shared" si="292"/>
        <v>0</v>
      </c>
      <c r="Y641" s="63">
        <f t="shared" si="292"/>
        <v>0</v>
      </c>
      <c r="Z641" s="63">
        <f t="shared" si="292"/>
        <v>0</v>
      </c>
      <c r="AA641" s="63">
        <f t="shared" si="293"/>
        <v>0</v>
      </c>
      <c r="AB641" s="58" t="str">
        <f t="shared" si="294"/>
        <v>ok</v>
      </c>
    </row>
    <row r="642" spans="1:28" hidden="1">
      <c r="A642" s="458" t="s">
        <v>1256</v>
      </c>
      <c r="B642" s="44"/>
      <c r="C642" s="44" t="s">
        <v>1000</v>
      </c>
      <c r="D642" s="44" t="s">
        <v>766</v>
      </c>
      <c r="E642" s="44" t="s">
        <v>1412</v>
      </c>
      <c r="F642" s="79">
        <f>VLOOKUP(C642,'Functional Assignment'!$C$2:$AP$780,'Functional Assignment'!$J$2,)</f>
        <v>0</v>
      </c>
      <c r="G642" s="79">
        <f t="shared" si="291"/>
        <v>0</v>
      </c>
      <c r="H642" s="79">
        <f t="shared" si="291"/>
        <v>0</v>
      </c>
      <c r="I642" s="79">
        <f t="shared" si="291"/>
        <v>0</v>
      </c>
      <c r="J642" s="79">
        <f t="shared" si="291"/>
        <v>0</v>
      </c>
      <c r="K642" s="79">
        <f t="shared" si="291"/>
        <v>0</v>
      </c>
      <c r="L642" s="79">
        <f t="shared" si="291"/>
        <v>0</v>
      </c>
      <c r="M642" s="79">
        <f t="shared" si="291"/>
        <v>0</v>
      </c>
      <c r="N642" s="79">
        <f t="shared" si="291"/>
        <v>0</v>
      </c>
      <c r="O642" s="79">
        <f t="shared" si="291"/>
        <v>0</v>
      </c>
      <c r="P642" s="79">
        <f t="shared" si="291"/>
        <v>0</v>
      </c>
      <c r="Q642" s="79">
        <f t="shared" si="292"/>
        <v>0</v>
      </c>
      <c r="R642" s="79">
        <f t="shared" si="292"/>
        <v>0</v>
      </c>
      <c r="S642" s="79">
        <f t="shared" si="292"/>
        <v>0</v>
      </c>
      <c r="T642" s="79">
        <f t="shared" si="292"/>
        <v>0</v>
      </c>
      <c r="U642" s="79">
        <f t="shared" si="292"/>
        <v>0</v>
      </c>
      <c r="V642" s="79">
        <f t="shared" si="292"/>
        <v>0</v>
      </c>
      <c r="W642" s="79">
        <f t="shared" si="292"/>
        <v>0</v>
      </c>
      <c r="X642" s="63">
        <f t="shared" si="292"/>
        <v>0</v>
      </c>
      <c r="Y642" s="63">
        <f t="shared" si="292"/>
        <v>0</v>
      </c>
      <c r="Z642" s="63">
        <f t="shared" si="292"/>
        <v>0</v>
      </c>
      <c r="AA642" s="63">
        <f t="shared" si="293"/>
        <v>0</v>
      </c>
      <c r="AB642" s="58" t="str">
        <f t="shared" si="294"/>
        <v>ok</v>
      </c>
    </row>
    <row r="643" spans="1:28">
      <c r="A643" s="458" t="s">
        <v>1160</v>
      </c>
      <c r="B643" s="44"/>
      <c r="C643" s="44" t="s">
        <v>1000</v>
      </c>
      <c r="D643" s="44" t="s">
        <v>767</v>
      </c>
      <c r="E643" s="44" t="s">
        <v>1015</v>
      </c>
      <c r="F643" s="79">
        <f>VLOOKUP(C643,'Functional Assignment'!$C$2:$AP$780,'Functional Assignment'!$K$2,)</f>
        <v>0</v>
      </c>
      <c r="G643" s="79">
        <f t="shared" si="291"/>
        <v>0</v>
      </c>
      <c r="H643" s="79">
        <f t="shared" si="291"/>
        <v>0</v>
      </c>
      <c r="I643" s="79">
        <f t="shared" si="291"/>
        <v>0</v>
      </c>
      <c r="J643" s="79">
        <f t="shared" si="291"/>
        <v>0</v>
      </c>
      <c r="K643" s="79">
        <f t="shared" si="291"/>
        <v>0</v>
      </c>
      <c r="L643" s="79">
        <f t="shared" si="291"/>
        <v>0</v>
      </c>
      <c r="M643" s="79">
        <f t="shared" si="291"/>
        <v>0</v>
      </c>
      <c r="N643" s="79">
        <f t="shared" si="291"/>
        <v>0</v>
      </c>
      <c r="O643" s="79">
        <f t="shared" si="291"/>
        <v>0</v>
      </c>
      <c r="P643" s="79">
        <f t="shared" si="291"/>
        <v>0</v>
      </c>
      <c r="Q643" s="79">
        <f t="shared" si="292"/>
        <v>0</v>
      </c>
      <c r="R643" s="79">
        <f t="shared" si="292"/>
        <v>0</v>
      </c>
      <c r="S643" s="79">
        <f t="shared" si="292"/>
        <v>0</v>
      </c>
      <c r="T643" s="79">
        <f t="shared" si="292"/>
        <v>0</v>
      </c>
      <c r="U643" s="79">
        <f t="shared" si="292"/>
        <v>0</v>
      </c>
      <c r="V643" s="79">
        <f t="shared" si="292"/>
        <v>0</v>
      </c>
      <c r="W643" s="79">
        <f t="shared" si="292"/>
        <v>0</v>
      </c>
      <c r="X643" s="63">
        <f t="shared" si="292"/>
        <v>0</v>
      </c>
      <c r="Y643" s="63">
        <f t="shared" si="292"/>
        <v>0</v>
      </c>
      <c r="Z643" s="63">
        <f t="shared" si="292"/>
        <v>0</v>
      </c>
      <c r="AA643" s="63">
        <f t="shared" si="293"/>
        <v>0</v>
      </c>
      <c r="AB643" s="58" t="str">
        <f t="shared" si="294"/>
        <v>ok</v>
      </c>
    </row>
    <row r="644" spans="1:28" hidden="1">
      <c r="A644" s="458" t="s">
        <v>1161</v>
      </c>
      <c r="B644" s="44"/>
      <c r="C644" s="44" t="s">
        <v>1000</v>
      </c>
      <c r="D644" s="44" t="s">
        <v>768</v>
      </c>
      <c r="E644" s="44" t="s">
        <v>1015</v>
      </c>
      <c r="F644" s="79">
        <f>VLOOKUP(C644,'Functional Assignment'!$C$2:$AP$780,'Functional Assignment'!$L$2,)</f>
        <v>0</v>
      </c>
      <c r="G644" s="79">
        <f t="shared" si="291"/>
        <v>0</v>
      </c>
      <c r="H644" s="79">
        <f t="shared" si="291"/>
        <v>0</v>
      </c>
      <c r="I644" s="79">
        <f t="shared" si="291"/>
        <v>0</v>
      </c>
      <c r="J644" s="79">
        <f t="shared" si="291"/>
        <v>0</v>
      </c>
      <c r="K644" s="79">
        <f t="shared" si="291"/>
        <v>0</v>
      </c>
      <c r="L644" s="79">
        <f t="shared" si="291"/>
        <v>0</v>
      </c>
      <c r="M644" s="79">
        <f t="shared" si="291"/>
        <v>0</v>
      </c>
      <c r="N644" s="79">
        <f t="shared" si="291"/>
        <v>0</v>
      </c>
      <c r="O644" s="79">
        <f t="shared" si="291"/>
        <v>0</v>
      </c>
      <c r="P644" s="79">
        <f t="shared" si="291"/>
        <v>0</v>
      </c>
      <c r="Q644" s="79">
        <f t="shared" si="292"/>
        <v>0</v>
      </c>
      <c r="R644" s="79">
        <f t="shared" si="292"/>
        <v>0</v>
      </c>
      <c r="S644" s="79">
        <f t="shared" si="292"/>
        <v>0</v>
      </c>
      <c r="T644" s="79">
        <f t="shared" si="292"/>
        <v>0</v>
      </c>
      <c r="U644" s="79">
        <f t="shared" si="292"/>
        <v>0</v>
      </c>
      <c r="V644" s="79">
        <f t="shared" si="292"/>
        <v>0</v>
      </c>
      <c r="W644" s="79">
        <f t="shared" si="292"/>
        <v>0</v>
      </c>
      <c r="X644" s="63">
        <f t="shared" si="292"/>
        <v>0</v>
      </c>
      <c r="Y644" s="63">
        <f t="shared" si="292"/>
        <v>0</v>
      </c>
      <c r="Z644" s="63">
        <f t="shared" si="292"/>
        <v>0</v>
      </c>
      <c r="AA644" s="63">
        <f t="shared" si="293"/>
        <v>0</v>
      </c>
      <c r="AB644" s="58" t="str">
        <f t="shared" si="294"/>
        <v>ok</v>
      </c>
    </row>
    <row r="645" spans="1:28" hidden="1">
      <c r="A645" s="458" t="s">
        <v>1161</v>
      </c>
      <c r="B645" s="44"/>
      <c r="C645" s="44" t="s">
        <v>1000</v>
      </c>
      <c r="D645" s="44" t="s">
        <v>769</v>
      </c>
      <c r="E645" s="44" t="s">
        <v>1015</v>
      </c>
      <c r="F645" s="79">
        <f>VLOOKUP(C645,'Functional Assignment'!$C$2:$AP$780,'Functional Assignment'!$M$2,)</f>
        <v>0</v>
      </c>
      <c r="G645" s="79">
        <f t="shared" si="291"/>
        <v>0</v>
      </c>
      <c r="H645" s="79">
        <f t="shared" si="291"/>
        <v>0</v>
      </c>
      <c r="I645" s="79">
        <f t="shared" si="291"/>
        <v>0</v>
      </c>
      <c r="J645" s="79">
        <f t="shared" si="291"/>
        <v>0</v>
      </c>
      <c r="K645" s="79">
        <f t="shared" si="291"/>
        <v>0</v>
      </c>
      <c r="L645" s="79">
        <f t="shared" si="291"/>
        <v>0</v>
      </c>
      <c r="M645" s="79">
        <f t="shared" si="291"/>
        <v>0</v>
      </c>
      <c r="N645" s="79">
        <f t="shared" si="291"/>
        <v>0</v>
      </c>
      <c r="O645" s="79">
        <f t="shared" si="291"/>
        <v>0</v>
      </c>
      <c r="P645" s="79">
        <f t="shared" si="291"/>
        <v>0</v>
      </c>
      <c r="Q645" s="79">
        <f t="shared" si="292"/>
        <v>0</v>
      </c>
      <c r="R645" s="79">
        <f t="shared" si="292"/>
        <v>0</v>
      </c>
      <c r="S645" s="79">
        <f t="shared" si="292"/>
        <v>0</v>
      </c>
      <c r="T645" s="79">
        <f t="shared" si="292"/>
        <v>0</v>
      </c>
      <c r="U645" s="79">
        <f t="shared" si="292"/>
        <v>0</v>
      </c>
      <c r="V645" s="79">
        <f t="shared" si="292"/>
        <v>0</v>
      </c>
      <c r="W645" s="79">
        <f t="shared" si="292"/>
        <v>0</v>
      </c>
      <c r="X645" s="63">
        <f t="shared" si="292"/>
        <v>0</v>
      </c>
      <c r="Y645" s="63">
        <f t="shared" si="292"/>
        <v>0</v>
      </c>
      <c r="Z645" s="63">
        <f t="shared" si="292"/>
        <v>0</v>
      </c>
      <c r="AA645" s="63">
        <f t="shared" si="293"/>
        <v>0</v>
      </c>
      <c r="AB645" s="58" t="str">
        <f t="shared" si="294"/>
        <v>ok</v>
      </c>
    </row>
    <row r="646" spans="1:28">
      <c r="A646" s="44" t="s">
        <v>374</v>
      </c>
      <c r="B646" s="44"/>
      <c r="C646" s="44"/>
      <c r="D646" s="44" t="s">
        <v>770</v>
      </c>
      <c r="E646" s="44"/>
      <c r="F646" s="76">
        <f>SUM(F640:F645)</f>
        <v>45829810.507106677</v>
      </c>
      <c r="G646" s="76">
        <f t="shared" ref="G646:W646" si="295">SUM(G640:G645)</f>
        <v>20069984.710151855</v>
      </c>
      <c r="H646" s="76">
        <f t="shared" si="295"/>
        <v>7642.4813627245776</v>
      </c>
      <c r="I646" s="76">
        <f t="shared" si="295"/>
        <v>5607383.4019963173</v>
      </c>
      <c r="J646" s="76">
        <f t="shared" si="295"/>
        <v>379980.05220178817</v>
      </c>
      <c r="K646" s="76">
        <f t="shared" si="295"/>
        <v>6251453.1369763771</v>
      </c>
      <c r="L646" s="76">
        <f t="shared" si="295"/>
        <v>5642996.6988949366</v>
      </c>
      <c r="M646" s="76">
        <f t="shared" si="295"/>
        <v>4800985.6273777643</v>
      </c>
      <c r="N646" s="76">
        <f t="shared" si="295"/>
        <v>2727695.1198031879</v>
      </c>
      <c r="O646" s="76">
        <f>SUM(O640:O645)</f>
        <v>161918.99620179625</v>
      </c>
      <c r="P646" s="76">
        <f t="shared" si="295"/>
        <v>165950.17977154735</v>
      </c>
      <c r="Q646" s="76">
        <f t="shared" si="295"/>
        <v>5780.0481469724709</v>
      </c>
      <c r="R646" s="76">
        <f t="shared" si="295"/>
        <v>7959.9331379298246</v>
      </c>
      <c r="S646" s="76">
        <f t="shared" si="295"/>
        <v>7.841608403557645</v>
      </c>
      <c r="T646" s="76">
        <f t="shared" si="295"/>
        <v>72.279475073662027</v>
      </c>
      <c r="U646" s="76">
        <f t="shared" si="295"/>
        <v>0</v>
      </c>
      <c r="V646" s="76">
        <f t="shared" si="295"/>
        <v>0</v>
      </c>
      <c r="W646" s="76">
        <f t="shared" si="295"/>
        <v>0</v>
      </c>
      <c r="X646" s="62">
        <f>SUM(X640:X645)</f>
        <v>0</v>
      </c>
      <c r="Y646" s="62">
        <f>SUM(Y640:Y645)</f>
        <v>0</v>
      </c>
      <c r="Z646" s="62">
        <f>SUM(Z640:Z645)</f>
        <v>0</v>
      </c>
      <c r="AA646" s="64">
        <f t="shared" si="293"/>
        <v>45829810.507106677</v>
      </c>
      <c r="AB646" s="58" t="str">
        <f t="shared" si="294"/>
        <v>ok</v>
      </c>
    </row>
    <row r="647" spans="1:28">
      <c r="F647" s="79"/>
      <c r="G647" s="79"/>
    </row>
    <row r="648" spans="1:28" ht="14.1">
      <c r="A648" s="65" t="s">
        <v>1055</v>
      </c>
      <c r="F648" s="79"/>
      <c r="G648" s="79"/>
    </row>
    <row r="649" spans="1:28">
      <c r="A649" s="68" t="s">
        <v>1225</v>
      </c>
      <c r="C649" s="60" t="s">
        <v>1000</v>
      </c>
      <c r="D649" s="60" t="s">
        <v>771</v>
      </c>
      <c r="E649" s="60" t="s">
        <v>1229</v>
      </c>
      <c r="F649" s="76">
        <f>VLOOKUP(C649,'Functional Assignment'!$C$2:$AP$780,'Functional Assignment'!$N$2,)</f>
        <v>7262773.8238366842</v>
      </c>
      <c r="G649" s="76">
        <f t="shared" ref="G649:P651" si="296">IF(VLOOKUP($E649,$D$6:$AN$1150,3,)=0,0,(VLOOKUP($E649,$D$6:$AN$1150,G$2,)/VLOOKUP($E649,$D$6:$AN$1150,3,))*$F649)</f>
        <v>3428719.1439268035</v>
      </c>
      <c r="H649" s="76">
        <f t="shared" si="296"/>
        <v>12555.568405203163</v>
      </c>
      <c r="I649" s="76">
        <f t="shared" si="296"/>
        <v>838222.95900830114</v>
      </c>
      <c r="J649" s="76">
        <f t="shared" si="296"/>
        <v>55023.585633057657</v>
      </c>
      <c r="K649" s="76">
        <f t="shared" si="296"/>
        <v>932683.68496023247</v>
      </c>
      <c r="L649" s="76">
        <f t="shared" si="296"/>
        <v>782171.04016491666</v>
      </c>
      <c r="M649" s="76">
        <f t="shared" si="296"/>
        <v>740512.27813891182</v>
      </c>
      <c r="N649" s="76">
        <f t="shared" si="296"/>
        <v>386164.13418260508</v>
      </c>
      <c r="O649" s="76">
        <f t="shared" si="296"/>
        <v>24815.176890130468</v>
      </c>
      <c r="P649" s="76">
        <f t="shared" si="296"/>
        <v>58805.283220451973</v>
      </c>
      <c r="Q649" s="76">
        <f t="shared" ref="Q649:Z651" si="297">IF(VLOOKUP($E649,$D$6:$AN$1150,3,)=0,0,(VLOOKUP($E649,$D$6:$AN$1150,Q$2,)/VLOOKUP($E649,$D$6:$AN$1150,3,))*$F649)</f>
        <v>2048.1892142477886</v>
      </c>
      <c r="R649" s="76">
        <f t="shared" si="297"/>
        <v>940.21415189427682</v>
      </c>
      <c r="S649" s="76">
        <f t="shared" si="297"/>
        <v>102.32090130698116</v>
      </c>
      <c r="T649" s="76">
        <f t="shared" si="297"/>
        <v>10.245038622033576</v>
      </c>
      <c r="U649" s="76">
        <f t="shared" si="297"/>
        <v>0</v>
      </c>
      <c r="V649" s="76">
        <f t="shared" si="297"/>
        <v>0</v>
      </c>
      <c r="W649" s="76">
        <f t="shared" si="297"/>
        <v>0</v>
      </c>
      <c r="X649" s="62">
        <f t="shared" si="297"/>
        <v>0</v>
      </c>
      <c r="Y649" s="62">
        <f t="shared" si="297"/>
        <v>0</v>
      </c>
      <c r="Z649" s="62">
        <f t="shared" si="297"/>
        <v>0</v>
      </c>
      <c r="AA649" s="64">
        <f>SUM(G649:Z649)</f>
        <v>7262773.8238366852</v>
      </c>
      <c r="AB649" s="58" t="str">
        <f>IF(ABS(F649-AA649)&lt;0.01,"ok","err")</f>
        <v>ok</v>
      </c>
    </row>
    <row r="650" spans="1:28" hidden="1">
      <c r="A650" s="68" t="s">
        <v>1226</v>
      </c>
      <c r="C650" s="60" t="s">
        <v>1000</v>
      </c>
      <c r="D650" s="60" t="s">
        <v>772</v>
      </c>
      <c r="E650" s="60" t="s">
        <v>1229</v>
      </c>
      <c r="F650" s="79">
        <f>VLOOKUP(C650,'Functional Assignment'!$C$2:$AP$780,'Functional Assignment'!$O$2,)</f>
        <v>0</v>
      </c>
      <c r="G650" s="79">
        <f t="shared" si="296"/>
        <v>0</v>
      </c>
      <c r="H650" s="79">
        <f t="shared" si="296"/>
        <v>0</v>
      </c>
      <c r="I650" s="79">
        <f t="shared" si="296"/>
        <v>0</v>
      </c>
      <c r="J650" s="79">
        <f t="shared" si="296"/>
        <v>0</v>
      </c>
      <c r="K650" s="79">
        <f t="shared" si="296"/>
        <v>0</v>
      </c>
      <c r="L650" s="79">
        <f t="shared" si="296"/>
        <v>0</v>
      </c>
      <c r="M650" s="79">
        <f t="shared" si="296"/>
        <v>0</v>
      </c>
      <c r="N650" s="79">
        <f t="shared" si="296"/>
        <v>0</v>
      </c>
      <c r="O650" s="79">
        <f t="shared" si="296"/>
        <v>0</v>
      </c>
      <c r="P650" s="79">
        <f t="shared" si="296"/>
        <v>0</v>
      </c>
      <c r="Q650" s="79">
        <f t="shared" si="297"/>
        <v>0</v>
      </c>
      <c r="R650" s="79">
        <f t="shared" si="297"/>
        <v>0</v>
      </c>
      <c r="S650" s="79">
        <f t="shared" si="297"/>
        <v>0</v>
      </c>
      <c r="T650" s="79">
        <f t="shared" si="297"/>
        <v>0</v>
      </c>
      <c r="U650" s="79">
        <f t="shared" si="297"/>
        <v>0</v>
      </c>
      <c r="V650" s="79">
        <f t="shared" si="297"/>
        <v>0</v>
      </c>
      <c r="W650" s="79">
        <f t="shared" si="297"/>
        <v>0</v>
      </c>
      <c r="X650" s="63">
        <f t="shared" si="297"/>
        <v>0</v>
      </c>
      <c r="Y650" s="63">
        <f t="shared" si="297"/>
        <v>0</v>
      </c>
      <c r="Z650" s="63">
        <f t="shared" si="297"/>
        <v>0</v>
      </c>
      <c r="AA650" s="63">
        <f>SUM(G650:Z650)</f>
        <v>0</v>
      </c>
      <c r="AB650" s="58" t="str">
        <f>IF(ABS(F650-AA650)&lt;0.01,"ok","err")</f>
        <v>ok</v>
      </c>
    </row>
    <row r="651" spans="1:28" hidden="1">
      <c r="A651" s="68" t="s">
        <v>1226</v>
      </c>
      <c r="C651" s="60" t="s">
        <v>1000</v>
      </c>
      <c r="D651" s="60" t="s">
        <v>773</v>
      </c>
      <c r="E651" s="60" t="s">
        <v>1229</v>
      </c>
      <c r="F651" s="79">
        <f>VLOOKUP(C651,'Functional Assignment'!$C$2:$AP$780,'Functional Assignment'!$P$2,)</f>
        <v>0</v>
      </c>
      <c r="G651" s="79">
        <f t="shared" si="296"/>
        <v>0</v>
      </c>
      <c r="H651" s="79">
        <f t="shared" si="296"/>
        <v>0</v>
      </c>
      <c r="I651" s="79">
        <f t="shared" si="296"/>
        <v>0</v>
      </c>
      <c r="J651" s="79">
        <f t="shared" si="296"/>
        <v>0</v>
      </c>
      <c r="K651" s="79">
        <f t="shared" si="296"/>
        <v>0</v>
      </c>
      <c r="L651" s="79">
        <f t="shared" si="296"/>
        <v>0</v>
      </c>
      <c r="M651" s="79">
        <f t="shared" si="296"/>
        <v>0</v>
      </c>
      <c r="N651" s="79">
        <f t="shared" si="296"/>
        <v>0</v>
      </c>
      <c r="O651" s="79">
        <f t="shared" si="296"/>
        <v>0</v>
      </c>
      <c r="P651" s="79">
        <f t="shared" si="296"/>
        <v>0</v>
      </c>
      <c r="Q651" s="79">
        <f t="shared" si="297"/>
        <v>0</v>
      </c>
      <c r="R651" s="79">
        <f t="shared" si="297"/>
        <v>0</v>
      </c>
      <c r="S651" s="79">
        <f t="shared" si="297"/>
        <v>0</v>
      </c>
      <c r="T651" s="79">
        <f t="shared" si="297"/>
        <v>0</v>
      </c>
      <c r="U651" s="79">
        <f t="shared" si="297"/>
        <v>0</v>
      </c>
      <c r="V651" s="79">
        <f t="shared" si="297"/>
        <v>0</v>
      </c>
      <c r="W651" s="79">
        <f t="shared" si="297"/>
        <v>0</v>
      </c>
      <c r="X651" s="63">
        <f t="shared" si="297"/>
        <v>0</v>
      </c>
      <c r="Y651" s="63">
        <f t="shared" si="297"/>
        <v>0</v>
      </c>
      <c r="Z651" s="63">
        <f t="shared" si="297"/>
        <v>0</v>
      </c>
      <c r="AA651" s="63">
        <f>SUM(G651:Z651)</f>
        <v>0</v>
      </c>
      <c r="AB651" s="58" t="str">
        <f>IF(ABS(F651-AA651)&lt;0.01,"ok","err")</f>
        <v>ok</v>
      </c>
    </row>
    <row r="652" spans="1:28" hidden="1">
      <c r="A652" s="60" t="s">
        <v>1057</v>
      </c>
      <c r="D652" s="60" t="s">
        <v>774</v>
      </c>
      <c r="F652" s="76">
        <f>SUM(F649:F651)</f>
        <v>7262773.8238366842</v>
      </c>
      <c r="G652" s="76">
        <f t="shared" ref="G652:W652" si="298">SUM(G649:G651)</f>
        <v>3428719.1439268035</v>
      </c>
      <c r="H652" s="76">
        <f t="shared" si="298"/>
        <v>12555.568405203163</v>
      </c>
      <c r="I652" s="76">
        <f t="shared" si="298"/>
        <v>838222.95900830114</v>
      </c>
      <c r="J652" s="76">
        <f t="shared" si="298"/>
        <v>55023.585633057657</v>
      </c>
      <c r="K652" s="76">
        <f t="shared" si="298"/>
        <v>932683.68496023247</v>
      </c>
      <c r="L652" s="76">
        <f t="shared" si="298"/>
        <v>782171.04016491666</v>
      </c>
      <c r="M652" s="76">
        <f t="shared" si="298"/>
        <v>740512.27813891182</v>
      </c>
      <c r="N652" s="76">
        <f t="shared" si="298"/>
        <v>386164.13418260508</v>
      </c>
      <c r="O652" s="76">
        <f>SUM(O649:O651)</f>
        <v>24815.176890130468</v>
      </c>
      <c r="P652" s="76">
        <f t="shared" si="298"/>
        <v>58805.283220451973</v>
      </c>
      <c r="Q652" s="76">
        <f t="shared" si="298"/>
        <v>2048.1892142477886</v>
      </c>
      <c r="R652" s="76">
        <f t="shared" si="298"/>
        <v>940.21415189427682</v>
      </c>
      <c r="S652" s="76">
        <f t="shared" si="298"/>
        <v>102.32090130698116</v>
      </c>
      <c r="T652" s="76">
        <f t="shared" si="298"/>
        <v>10.245038622033576</v>
      </c>
      <c r="U652" s="76">
        <f t="shared" si="298"/>
        <v>0</v>
      </c>
      <c r="V652" s="76">
        <f t="shared" si="298"/>
        <v>0</v>
      </c>
      <c r="W652" s="76">
        <f t="shared" si="298"/>
        <v>0</v>
      </c>
      <c r="X652" s="62">
        <f>SUM(X649:X651)</f>
        <v>0</v>
      </c>
      <c r="Y652" s="62">
        <f>SUM(Y649:Y651)</f>
        <v>0</v>
      </c>
      <c r="Z652" s="62">
        <f>SUM(Z649:Z651)</f>
        <v>0</v>
      </c>
      <c r="AA652" s="64">
        <f>SUM(G652:Z652)</f>
        <v>7262773.8238366852</v>
      </c>
      <c r="AB652" s="58" t="str">
        <f>IF(ABS(F652-AA652)&lt;0.01,"ok","err")</f>
        <v>ok</v>
      </c>
    </row>
    <row r="653" spans="1:28">
      <c r="F653" s="79"/>
      <c r="G653" s="79"/>
    </row>
    <row r="654" spans="1:28" ht="14.1">
      <c r="A654" s="65" t="s">
        <v>337</v>
      </c>
      <c r="F654" s="79"/>
      <c r="G654" s="79"/>
    </row>
    <row r="655" spans="1:28">
      <c r="A655" s="68" t="s">
        <v>359</v>
      </c>
      <c r="C655" s="60" t="s">
        <v>1000</v>
      </c>
      <c r="D655" s="60" t="s">
        <v>775</v>
      </c>
      <c r="E655" s="60" t="s">
        <v>1230</v>
      </c>
      <c r="F655" s="76">
        <f>VLOOKUP(C655,'Functional Assignment'!$C$2:$AP$780,'Functional Assignment'!$Q$2,)</f>
        <v>0</v>
      </c>
      <c r="G655" s="76">
        <f t="shared" ref="G655:Z655" si="299">IF(VLOOKUP($E655,$D$6:$AN$1150,3,)=0,0,(VLOOKUP($E655,$D$6:$AN$1150,G$2,)/VLOOKUP($E655,$D$6:$AN$1150,3,))*$F655)</f>
        <v>0</v>
      </c>
      <c r="H655" s="76">
        <f t="shared" si="299"/>
        <v>0</v>
      </c>
      <c r="I655" s="76">
        <f t="shared" si="299"/>
        <v>0</v>
      </c>
      <c r="J655" s="76">
        <f t="shared" si="299"/>
        <v>0</v>
      </c>
      <c r="K655" s="76">
        <f t="shared" si="299"/>
        <v>0</v>
      </c>
      <c r="L655" s="76">
        <f t="shared" si="299"/>
        <v>0</v>
      </c>
      <c r="M655" s="76">
        <f t="shared" si="299"/>
        <v>0</v>
      </c>
      <c r="N655" s="76">
        <f t="shared" si="299"/>
        <v>0</v>
      </c>
      <c r="O655" s="76">
        <f t="shared" si="299"/>
        <v>0</v>
      </c>
      <c r="P655" s="76">
        <f t="shared" si="299"/>
        <v>0</v>
      </c>
      <c r="Q655" s="76">
        <f t="shared" si="299"/>
        <v>0</v>
      </c>
      <c r="R655" s="76">
        <f t="shared" si="299"/>
        <v>0</v>
      </c>
      <c r="S655" s="76">
        <f t="shared" si="299"/>
        <v>0</v>
      </c>
      <c r="T655" s="76">
        <f t="shared" si="299"/>
        <v>0</v>
      </c>
      <c r="U655" s="76">
        <f t="shared" si="299"/>
        <v>0</v>
      </c>
      <c r="V655" s="76">
        <f t="shared" si="299"/>
        <v>0</v>
      </c>
      <c r="W655" s="76">
        <f t="shared" si="299"/>
        <v>0</v>
      </c>
      <c r="X655" s="62">
        <f t="shared" si="299"/>
        <v>0</v>
      </c>
      <c r="Y655" s="62">
        <f t="shared" si="299"/>
        <v>0</v>
      </c>
      <c r="Z655" s="62">
        <f t="shared" si="299"/>
        <v>0</v>
      </c>
      <c r="AA655" s="64">
        <f>SUM(G655:Z655)</f>
        <v>0</v>
      </c>
      <c r="AB655" s="58" t="str">
        <f>IF(ABS(F655-AA655)&lt;0.01,"ok","err")</f>
        <v>ok</v>
      </c>
    </row>
    <row r="656" spans="1:28">
      <c r="F656" s="79"/>
    </row>
    <row r="657" spans="1:28" ht="14.1">
      <c r="A657" s="65" t="s">
        <v>338</v>
      </c>
      <c r="F657" s="79"/>
      <c r="G657" s="79"/>
    </row>
    <row r="658" spans="1:28">
      <c r="A658" s="68" t="s">
        <v>361</v>
      </c>
      <c r="C658" s="60" t="s">
        <v>1000</v>
      </c>
      <c r="D658" s="60" t="s">
        <v>776</v>
      </c>
      <c r="E658" s="60" t="s">
        <v>1230</v>
      </c>
      <c r="F658" s="76">
        <f>VLOOKUP(C658,'Functional Assignment'!$C$2:$AP$780,'Functional Assignment'!$R$2,)</f>
        <v>2785975.5961625697</v>
      </c>
      <c r="G658" s="76">
        <f t="shared" ref="G658:Z658" si="300">IF(VLOOKUP($E658,$D$6:$AN$1150,3,)=0,0,(VLOOKUP($E658,$D$6:$AN$1150,G$2,)/VLOOKUP($E658,$D$6:$AN$1150,3,))*$F658)</f>
        <v>1389104.2668085489</v>
      </c>
      <c r="H658" s="76">
        <f t="shared" si="300"/>
        <v>5086.7373242766407</v>
      </c>
      <c r="I658" s="76">
        <f t="shared" si="300"/>
        <v>339595.93656358571</v>
      </c>
      <c r="J658" s="76">
        <f t="shared" si="300"/>
        <v>22292.143033462085</v>
      </c>
      <c r="K658" s="76">
        <f t="shared" si="300"/>
        <v>377865.56202943338</v>
      </c>
      <c r="L658" s="76">
        <f t="shared" si="300"/>
        <v>316887.17671486293</v>
      </c>
      <c r="M658" s="76">
        <f t="shared" si="300"/>
        <v>300009.63100430637</v>
      </c>
      <c r="N658" s="76">
        <f t="shared" si="300"/>
        <v>0</v>
      </c>
      <c r="O658" s="76">
        <f t="shared" si="300"/>
        <v>10053.570051296398</v>
      </c>
      <c r="P658" s="76">
        <f t="shared" si="300"/>
        <v>23824.252265486477</v>
      </c>
      <c r="Q658" s="76">
        <f t="shared" si="300"/>
        <v>829.79919244257314</v>
      </c>
      <c r="R658" s="76">
        <f t="shared" si="300"/>
        <v>380.91644001332139</v>
      </c>
      <c r="S658" s="76">
        <f t="shared" si="300"/>
        <v>41.454080845607528</v>
      </c>
      <c r="T658" s="76">
        <f t="shared" si="300"/>
        <v>4.1506540098779903</v>
      </c>
      <c r="U658" s="76">
        <f t="shared" si="300"/>
        <v>0</v>
      </c>
      <c r="V658" s="76">
        <f t="shared" si="300"/>
        <v>0</v>
      </c>
      <c r="W658" s="76">
        <f t="shared" si="300"/>
        <v>0</v>
      </c>
      <c r="X658" s="62">
        <f t="shared" si="300"/>
        <v>0</v>
      </c>
      <c r="Y658" s="62">
        <f t="shared" si="300"/>
        <v>0</v>
      </c>
      <c r="Z658" s="62">
        <f t="shared" si="300"/>
        <v>0</v>
      </c>
      <c r="AA658" s="64">
        <f>SUM(G658:Z658)</f>
        <v>2785975.5961625706</v>
      </c>
      <c r="AB658" s="58" t="str">
        <f>IF(ABS(F658-AA658)&lt;0.01,"ok","err")</f>
        <v>ok</v>
      </c>
    </row>
    <row r="659" spans="1:28">
      <c r="F659" s="79"/>
    </row>
    <row r="660" spans="1:28" ht="14.1">
      <c r="A660" s="65" t="s">
        <v>360</v>
      </c>
      <c r="F660" s="79"/>
    </row>
    <row r="661" spans="1:28">
      <c r="A661" s="68" t="s">
        <v>603</v>
      </c>
      <c r="C661" s="60" t="s">
        <v>1000</v>
      </c>
      <c r="D661" s="60" t="s">
        <v>777</v>
      </c>
      <c r="E661" s="60" t="s">
        <v>1230</v>
      </c>
      <c r="F661" s="76">
        <f>VLOOKUP(C661,'Functional Assignment'!$C$2:$AP$780,'Functional Assignment'!$S$2,)</f>
        <v>0</v>
      </c>
      <c r="G661" s="76">
        <f t="shared" ref="G661:P665" si="301">IF(VLOOKUP($E661,$D$6:$AN$1150,3,)=0,0,(VLOOKUP($E661,$D$6:$AN$1150,G$2,)/VLOOKUP($E661,$D$6:$AN$1150,3,))*$F661)</f>
        <v>0</v>
      </c>
      <c r="H661" s="76">
        <f t="shared" si="301"/>
        <v>0</v>
      </c>
      <c r="I661" s="76">
        <f t="shared" si="301"/>
        <v>0</v>
      </c>
      <c r="J661" s="76">
        <f t="shared" si="301"/>
        <v>0</v>
      </c>
      <c r="K661" s="76">
        <f t="shared" si="301"/>
        <v>0</v>
      </c>
      <c r="L661" s="76">
        <f t="shared" si="301"/>
        <v>0</v>
      </c>
      <c r="M661" s="76">
        <f t="shared" si="301"/>
        <v>0</v>
      </c>
      <c r="N661" s="76">
        <f t="shared" si="301"/>
        <v>0</v>
      </c>
      <c r="O661" s="76">
        <f t="shared" si="301"/>
        <v>0</v>
      </c>
      <c r="P661" s="76">
        <f t="shared" si="301"/>
        <v>0</v>
      </c>
      <c r="Q661" s="76">
        <f t="shared" ref="Q661:Z665" si="302">IF(VLOOKUP($E661,$D$6:$AN$1150,3,)=0,0,(VLOOKUP($E661,$D$6:$AN$1150,Q$2,)/VLOOKUP($E661,$D$6:$AN$1150,3,))*$F661)</f>
        <v>0</v>
      </c>
      <c r="R661" s="76">
        <f t="shared" si="302"/>
        <v>0</v>
      </c>
      <c r="S661" s="76">
        <f t="shared" si="302"/>
        <v>0</v>
      </c>
      <c r="T661" s="76">
        <f t="shared" si="302"/>
        <v>0</v>
      </c>
      <c r="U661" s="76">
        <f t="shared" si="302"/>
        <v>0</v>
      </c>
      <c r="V661" s="76">
        <f t="shared" si="302"/>
        <v>0</v>
      </c>
      <c r="W661" s="76">
        <f t="shared" si="302"/>
        <v>0</v>
      </c>
      <c r="X661" s="62">
        <f t="shared" si="302"/>
        <v>0</v>
      </c>
      <c r="Y661" s="62">
        <f t="shared" si="302"/>
        <v>0</v>
      </c>
      <c r="Z661" s="62">
        <f t="shared" si="302"/>
        <v>0</v>
      </c>
      <c r="AA661" s="64">
        <f t="shared" ref="AA661:AA666" si="303">SUM(G661:Z661)</f>
        <v>0</v>
      </c>
      <c r="AB661" s="58" t="str">
        <f t="shared" ref="AB661:AB666" si="304">IF(ABS(F661-AA661)&lt;0.01,"ok","err")</f>
        <v>ok</v>
      </c>
    </row>
    <row r="662" spans="1:28">
      <c r="A662" s="68" t="s">
        <v>604</v>
      </c>
      <c r="C662" s="60" t="s">
        <v>1000</v>
      </c>
      <c r="D662" s="60" t="s">
        <v>778</v>
      </c>
      <c r="E662" s="60" t="s">
        <v>1230</v>
      </c>
      <c r="F662" s="79">
        <f>VLOOKUP(C662,'Functional Assignment'!$C$2:$AP$780,'Functional Assignment'!$T$2,)</f>
        <v>4276970.3353962824</v>
      </c>
      <c r="G662" s="79">
        <f t="shared" si="301"/>
        <v>2132523.2532890723</v>
      </c>
      <c r="H662" s="79">
        <f t="shared" si="301"/>
        <v>7809.0506858175422</v>
      </c>
      <c r="I662" s="79">
        <f t="shared" si="301"/>
        <v>521340.44128174754</v>
      </c>
      <c r="J662" s="79">
        <f t="shared" si="301"/>
        <v>34222.422693814828</v>
      </c>
      <c r="K662" s="79">
        <f t="shared" si="301"/>
        <v>580091.15434958937</v>
      </c>
      <c r="L662" s="79">
        <f t="shared" si="301"/>
        <v>486478.43733583862</v>
      </c>
      <c r="M662" s="79">
        <f t="shared" si="301"/>
        <v>460568.38900742785</v>
      </c>
      <c r="N662" s="79">
        <f t="shared" si="301"/>
        <v>0</v>
      </c>
      <c r="O662" s="79">
        <f t="shared" si="301"/>
        <v>15434.02639041425</v>
      </c>
      <c r="P662" s="79">
        <f t="shared" si="301"/>
        <v>36574.484120692003</v>
      </c>
      <c r="Q662" s="79">
        <f t="shared" si="302"/>
        <v>1273.8900280753141</v>
      </c>
      <c r="R662" s="79">
        <f t="shared" si="302"/>
        <v>584.77479718263339</v>
      </c>
      <c r="S662" s="79">
        <f t="shared" si="302"/>
        <v>63.639421071022475</v>
      </c>
      <c r="T662" s="79">
        <f t="shared" si="302"/>
        <v>6.3719955398008086</v>
      </c>
      <c r="U662" s="79">
        <f t="shared" si="302"/>
        <v>0</v>
      </c>
      <c r="V662" s="79">
        <f t="shared" si="302"/>
        <v>0</v>
      </c>
      <c r="W662" s="79">
        <f t="shared" si="302"/>
        <v>0</v>
      </c>
      <c r="X662" s="63">
        <f t="shared" si="302"/>
        <v>0</v>
      </c>
      <c r="Y662" s="63">
        <f t="shared" si="302"/>
        <v>0</v>
      </c>
      <c r="Z662" s="63">
        <f t="shared" si="302"/>
        <v>0</v>
      </c>
      <c r="AA662" s="63">
        <f t="shared" si="303"/>
        <v>4276970.3353962824</v>
      </c>
      <c r="AB662" s="58" t="str">
        <f t="shared" si="304"/>
        <v>ok</v>
      </c>
    </row>
    <row r="663" spans="1:28">
      <c r="A663" s="68" t="s">
        <v>605</v>
      </c>
      <c r="C663" s="60" t="s">
        <v>1000</v>
      </c>
      <c r="D663" s="60" t="s">
        <v>779</v>
      </c>
      <c r="E663" s="60" t="s">
        <v>658</v>
      </c>
      <c r="F663" s="79">
        <f>VLOOKUP(C663,'Functional Assignment'!$C$2:$AP$780,'Functional Assignment'!$U$2,)</f>
        <v>6998957.5684978701</v>
      </c>
      <c r="G663" s="79">
        <f t="shared" si="301"/>
        <v>6036829.0946579911</v>
      </c>
      <c r="H663" s="79">
        <f t="shared" si="301"/>
        <v>14900.990166124973</v>
      </c>
      <c r="I663" s="79">
        <f t="shared" si="301"/>
        <v>726968.3573559263</v>
      </c>
      <c r="J663" s="79">
        <f t="shared" si="301"/>
        <v>1121.8814860217781</v>
      </c>
      <c r="K663" s="79">
        <f t="shared" si="301"/>
        <v>44593.142472272688</v>
      </c>
      <c r="L663" s="79">
        <f t="shared" si="301"/>
        <v>2109.0493752093166</v>
      </c>
      <c r="M663" s="79">
        <f t="shared" si="301"/>
        <v>8093.6613962401671</v>
      </c>
      <c r="N663" s="79">
        <f t="shared" si="301"/>
        <v>0</v>
      </c>
      <c r="O663" s="79">
        <f t="shared" si="301"/>
        <v>32.053756743479369</v>
      </c>
      <c r="P663" s="79">
        <f t="shared" si="301"/>
        <v>162065.57485929524</v>
      </c>
      <c r="Q663" s="79">
        <f t="shared" si="302"/>
        <v>286.70304642778774</v>
      </c>
      <c r="R663" s="79">
        <f t="shared" si="302"/>
        <v>1780.7642635266316</v>
      </c>
      <c r="S663" s="79">
        <f t="shared" si="302"/>
        <v>16.026878371739684</v>
      </c>
      <c r="T663" s="79">
        <f t="shared" si="302"/>
        <v>160.26878371739687</v>
      </c>
      <c r="U663" s="79">
        <f t="shared" si="302"/>
        <v>0</v>
      </c>
      <c r="V663" s="79">
        <f t="shared" si="302"/>
        <v>0</v>
      </c>
      <c r="W663" s="79">
        <f t="shared" si="302"/>
        <v>0</v>
      </c>
      <c r="X663" s="63">
        <f t="shared" si="302"/>
        <v>0</v>
      </c>
      <c r="Y663" s="63">
        <f t="shared" si="302"/>
        <v>0</v>
      </c>
      <c r="Z663" s="63">
        <f t="shared" si="302"/>
        <v>0</v>
      </c>
      <c r="AA663" s="63">
        <f t="shared" si="303"/>
        <v>6998957.5684978683</v>
      </c>
      <c r="AB663" s="58" t="str">
        <f t="shared" si="304"/>
        <v>ok</v>
      </c>
    </row>
    <row r="664" spans="1:28">
      <c r="A664" s="68" t="s">
        <v>606</v>
      </c>
      <c r="C664" s="60" t="s">
        <v>1000</v>
      </c>
      <c r="D664" s="60" t="s">
        <v>780</v>
      </c>
      <c r="E664" s="60" t="s">
        <v>646</v>
      </c>
      <c r="F664" s="79">
        <f>VLOOKUP(C664,'Functional Assignment'!$C$2:$AP$780,'Functional Assignment'!$V$2,)</f>
        <v>1193313.7526870731</v>
      </c>
      <c r="G664" s="79">
        <f t="shared" si="301"/>
        <v>902930.38510722865</v>
      </c>
      <c r="H664" s="79">
        <f t="shared" si="301"/>
        <v>1875.9007175628867</v>
      </c>
      <c r="I664" s="79">
        <f t="shared" si="301"/>
        <v>144424.80282748889</v>
      </c>
      <c r="J664" s="79">
        <f t="shared" si="301"/>
        <v>0</v>
      </c>
      <c r="K664" s="79">
        <f t="shared" si="301"/>
        <v>136790.4326032729</v>
      </c>
      <c r="L664" s="79">
        <f t="shared" si="301"/>
        <v>0</v>
      </c>
      <c r="M664" s="79">
        <f t="shared" si="301"/>
        <v>0</v>
      </c>
      <c r="N664" s="79">
        <f t="shared" si="301"/>
        <v>0</v>
      </c>
      <c r="O664" s="79">
        <f t="shared" si="301"/>
        <v>0</v>
      </c>
      <c r="P664" s="79">
        <f t="shared" si="301"/>
        <v>6926.9535327773274</v>
      </c>
      <c r="Q664" s="79">
        <f t="shared" si="302"/>
        <v>241.26593286257267</v>
      </c>
      <c r="R664" s="79">
        <f t="shared" si="302"/>
        <v>110.75228932434079</v>
      </c>
      <c r="S664" s="79">
        <f t="shared" si="302"/>
        <v>12.052864810263316</v>
      </c>
      <c r="T664" s="79">
        <f t="shared" si="302"/>
        <v>1.2068117453034213</v>
      </c>
      <c r="U664" s="79">
        <f t="shared" si="302"/>
        <v>0</v>
      </c>
      <c r="V664" s="79">
        <f t="shared" si="302"/>
        <v>0</v>
      </c>
      <c r="W664" s="79">
        <f t="shared" si="302"/>
        <v>0</v>
      </c>
      <c r="X664" s="63">
        <f t="shared" si="302"/>
        <v>0</v>
      </c>
      <c r="Y664" s="63">
        <f t="shared" si="302"/>
        <v>0</v>
      </c>
      <c r="Z664" s="63">
        <f t="shared" si="302"/>
        <v>0</v>
      </c>
      <c r="AA664" s="63">
        <f t="shared" si="303"/>
        <v>1193313.7526870731</v>
      </c>
      <c r="AB664" s="58" t="str">
        <f t="shared" si="304"/>
        <v>ok</v>
      </c>
    </row>
    <row r="665" spans="1:28">
      <c r="A665" s="68" t="s">
        <v>607</v>
      </c>
      <c r="C665" s="60" t="s">
        <v>1000</v>
      </c>
      <c r="D665" s="60" t="s">
        <v>781</v>
      </c>
      <c r="E665" s="60" t="s">
        <v>657</v>
      </c>
      <c r="F665" s="79">
        <f>VLOOKUP(C665,'Functional Assignment'!$C$2:$AP$780,'Functional Assignment'!$W$2,)</f>
        <v>2039081.1143982129</v>
      </c>
      <c r="G665" s="79">
        <f t="shared" si="301"/>
        <v>1772951.0037531152</v>
      </c>
      <c r="H665" s="79">
        <f t="shared" si="301"/>
        <v>4376.2586380529774</v>
      </c>
      <c r="I665" s="79">
        <f t="shared" si="301"/>
        <v>213502.69465330336</v>
      </c>
      <c r="J665" s="79">
        <f t="shared" si="301"/>
        <v>0</v>
      </c>
      <c r="K665" s="79">
        <f t="shared" si="301"/>
        <v>0</v>
      </c>
      <c r="L665" s="79">
        <f t="shared" si="301"/>
        <v>0</v>
      </c>
      <c r="M665" s="79">
        <f t="shared" si="301"/>
        <v>0</v>
      </c>
      <c r="N665" s="79">
        <f t="shared" si="301"/>
        <v>0</v>
      </c>
      <c r="O665" s="79">
        <f t="shared" si="301"/>
        <v>0</v>
      </c>
      <c r="P665" s="79">
        <f t="shared" si="301"/>
        <v>47596.895508417852</v>
      </c>
      <c r="Q665" s="79">
        <f t="shared" si="302"/>
        <v>84.201564426103715</v>
      </c>
      <c r="R665" s="79">
        <f t="shared" si="302"/>
        <v>522.99108339194845</v>
      </c>
      <c r="S665" s="79">
        <f t="shared" si="302"/>
        <v>0</v>
      </c>
      <c r="T665" s="79">
        <f t="shared" si="302"/>
        <v>47.069197505275369</v>
      </c>
      <c r="U665" s="79">
        <f t="shared" si="302"/>
        <v>0</v>
      </c>
      <c r="V665" s="79">
        <f t="shared" si="302"/>
        <v>0</v>
      </c>
      <c r="W665" s="79">
        <f t="shared" si="302"/>
        <v>0</v>
      </c>
      <c r="X665" s="63">
        <f t="shared" si="302"/>
        <v>0</v>
      </c>
      <c r="Y665" s="63">
        <f t="shared" si="302"/>
        <v>0</v>
      </c>
      <c r="Z665" s="63">
        <f t="shared" si="302"/>
        <v>0</v>
      </c>
      <c r="AA665" s="63">
        <f t="shared" si="303"/>
        <v>2039081.1143982126</v>
      </c>
      <c r="AB665" s="58" t="str">
        <f t="shared" si="304"/>
        <v>ok</v>
      </c>
    </row>
    <row r="666" spans="1:28">
      <c r="A666" s="60" t="s">
        <v>365</v>
      </c>
      <c r="D666" s="60" t="s">
        <v>782</v>
      </c>
      <c r="F666" s="76">
        <f>SUM(F661:F665)</f>
        <v>14508322.770979438</v>
      </c>
      <c r="G666" s="76">
        <f t="shared" ref="G666:W666" si="305">SUM(G661:G665)</f>
        <v>10845233.736807406</v>
      </c>
      <c r="H666" s="76">
        <f t="shared" si="305"/>
        <v>28962.20020755838</v>
      </c>
      <c r="I666" s="76">
        <f t="shared" si="305"/>
        <v>1606236.296118466</v>
      </c>
      <c r="J666" s="76">
        <f t="shared" si="305"/>
        <v>35344.304179836603</v>
      </c>
      <c r="K666" s="76">
        <f t="shared" si="305"/>
        <v>761474.72942513507</v>
      </c>
      <c r="L666" s="76">
        <f t="shared" si="305"/>
        <v>488587.48671104794</v>
      </c>
      <c r="M666" s="76">
        <f t="shared" si="305"/>
        <v>468662.05040366802</v>
      </c>
      <c r="N666" s="76">
        <f t="shared" si="305"/>
        <v>0</v>
      </c>
      <c r="O666" s="76">
        <f>SUM(O661:O665)</f>
        <v>15466.080147157729</v>
      </c>
      <c r="P666" s="76">
        <f t="shared" si="305"/>
        <v>253163.90802118243</v>
      </c>
      <c r="Q666" s="76">
        <f t="shared" si="305"/>
        <v>1886.0605717917783</v>
      </c>
      <c r="R666" s="76">
        <f t="shared" si="305"/>
        <v>2999.2824334255542</v>
      </c>
      <c r="S666" s="76">
        <f t="shared" si="305"/>
        <v>91.719164253025468</v>
      </c>
      <c r="T666" s="76">
        <f t="shared" si="305"/>
        <v>214.91678850777646</v>
      </c>
      <c r="U666" s="76">
        <f t="shared" si="305"/>
        <v>0</v>
      </c>
      <c r="V666" s="76">
        <f t="shared" si="305"/>
        <v>0</v>
      </c>
      <c r="W666" s="76">
        <f t="shared" si="305"/>
        <v>0</v>
      </c>
      <c r="X666" s="62">
        <f>SUM(X661:X665)</f>
        <v>0</v>
      </c>
      <c r="Y666" s="62">
        <f>SUM(Y661:Y665)</f>
        <v>0</v>
      </c>
      <c r="Z666" s="62">
        <f>SUM(Z661:Z665)</f>
        <v>0</v>
      </c>
      <c r="AA666" s="64">
        <f t="shared" si="303"/>
        <v>14508322.770979432</v>
      </c>
      <c r="AB666" s="58" t="str">
        <f t="shared" si="304"/>
        <v>ok</v>
      </c>
    </row>
    <row r="667" spans="1:28">
      <c r="F667" s="79"/>
    </row>
    <row r="668" spans="1:28" ht="14.1">
      <c r="A668" s="65" t="s">
        <v>613</v>
      </c>
      <c r="F668" s="79"/>
    </row>
    <row r="669" spans="1:28">
      <c r="A669" s="68" t="s">
        <v>1014</v>
      </c>
      <c r="C669" s="60" t="s">
        <v>1000</v>
      </c>
      <c r="D669" s="60" t="s">
        <v>783</v>
      </c>
      <c r="E669" s="60" t="s">
        <v>1207</v>
      </c>
      <c r="F669" s="76">
        <f>VLOOKUP(C669,'Functional Assignment'!$C$2:$AP$780,'Functional Assignment'!$X$2,)</f>
        <v>1461876.5573925725</v>
      </c>
      <c r="G669" s="76">
        <f t="shared" ref="G669:P670" si="306">IF(VLOOKUP($E669,$D$6:$AN$1150,3,)=0,0,(VLOOKUP($E669,$D$6:$AN$1150,G$2,)/VLOOKUP($E669,$D$6:$AN$1150,3,))*$F669)</f>
        <v>1009602.2330275151</v>
      </c>
      <c r="H669" s="76">
        <f t="shared" si="306"/>
        <v>2097.5189058063365</v>
      </c>
      <c r="I669" s="76">
        <f t="shared" si="306"/>
        <v>161487.09340629325</v>
      </c>
      <c r="J669" s="76">
        <f t="shared" si="306"/>
        <v>0</v>
      </c>
      <c r="K669" s="76">
        <f t="shared" si="306"/>
        <v>152950.80162427295</v>
      </c>
      <c r="L669" s="76">
        <f t="shared" si="306"/>
        <v>0</v>
      </c>
      <c r="M669" s="76">
        <f t="shared" si="306"/>
        <v>127585.1775845503</v>
      </c>
      <c r="N669" s="76">
        <f t="shared" si="306"/>
        <v>0</v>
      </c>
      <c r="O669" s="76">
        <f t="shared" si="306"/>
        <v>0</v>
      </c>
      <c r="P669" s="76">
        <f t="shared" si="306"/>
        <v>7745.3011551264899</v>
      </c>
      <c r="Q669" s="76">
        <f t="shared" ref="Q669:Z670" si="307">IF(VLOOKUP($E669,$D$6:$AN$1150,3,)=0,0,(VLOOKUP($E669,$D$6:$AN$1150,Q$2,)/VLOOKUP($E669,$D$6:$AN$1150,3,))*$F669)</f>
        <v>269.76899724400448</v>
      </c>
      <c r="R669" s="76">
        <f t="shared" si="307"/>
        <v>123.83652212732331</v>
      </c>
      <c r="S669" s="76">
        <f t="shared" si="307"/>
        <v>13.476785616618164</v>
      </c>
      <c r="T669" s="76">
        <f t="shared" si="307"/>
        <v>1.3493840200731249</v>
      </c>
      <c r="U669" s="76">
        <f t="shared" si="307"/>
        <v>0</v>
      </c>
      <c r="V669" s="76">
        <f t="shared" si="307"/>
        <v>0</v>
      </c>
      <c r="W669" s="76">
        <f t="shared" si="307"/>
        <v>0</v>
      </c>
      <c r="X669" s="62">
        <f t="shared" si="307"/>
        <v>0</v>
      </c>
      <c r="Y669" s="62">
        <f t="shared" si="307"/>
        <v>0</v>
      </c>
      <c r="Z669" s="62">
        <f t="shared" si="307"/>
        <v>0</v>
      </c>
      <c r="AA669" s="64">
        <f>SUM(G669:Z669)</f>
        <v>1461876.5573925725</v>
      </c>
      <c r="AB669" s="58" t="str">
        <f>IF(ABS(F669-AA669)&lt;0.01,"ok","err")</f>
        <v>ok</v>
      </c>
    </row>
    <row r="670" spans="1:28">
      <c r="A670" s="68" t="s">
        <v>1017</v>
      </c>
      <c r="C670" s="60" t="s">
        <v>1000</v>
      </c>
      <c r="D670" s="60" t="s">
        <v>784</v>
      </c>
      <c r="E670" s="60" t="s">
        <v>1205</v>
      </c>
      <c r="F670" s="79">
        <f>VLOOKUP(C670,'Functional Assignment'!$C$2:$AP$780,'Functional Assignment'!$Y$2,)</f>
        <v>814861.55074281059</v>
      </c>
      <c r="G670" s="79">
        <f t="shared" si="306"/>
        <v>703172.4811111025</v>
      </c>
      <c r="H670" s="79">
        <f t="shared" si="306"/>
        <v>1735.6738217747825</v>
      </c>
      <c r="I670" s="79">
        <f t="shared" si="306"/>
        <v>84677.590754321296</v>
      </c>
      <c r="J670" s="79">
        <f t="shared" si="306"/>
        <v>0</v>
      </c>
      <c r="K670" s="79">
        <f t="shared" si="306"/>
        <v>5194.2286490297511</v>
      </c>
      <c r="L670" s="79">
        <f t="shared" si="306"/>
        <v>0</v>
      </c>
      <c r="M670" s="79">
        <f t="shared" si="306"/>
        <v>942.75320305216928</v>
      </c>
      <c r="N670" s="79">
        <f t="shared" si="306"/>
        <v>0</v>
      </c>
      <c r="O670" s="79">
        <f t="shared" si="306"/>
        <v>0</v>
      </c>
      <c r="P670" s="79">
        <f t="shared" si="306"/>
        <v>18877.468715712253</v>
      </c>
      <c r="Q670" s="79">
        <f t="shared" si="307"/>
        <v>33.39529566558992</v>
      </c>
      <c r="R670" s="79">
        <f t="shared" si="307"/>
        <v>207.42419668068271</v>
      </c>
      <c r="S670" s="79">
        <f t="shared" si="307"/>
        <v>1.8668177701261441</v>
      </c>
      <c r="T670" s="79">
        <f t="shared" si="307"/>
        <v>18.668177701261445</v>
      </c>
      <c r="U670" s="79">
        <f t="shared" si="307"/>
        <v>0</v>
      </c>
      <c r="V670" s="79">
        <f t="shared" si="307"/>
        <v>0</v>
      </c>
      <c r="W670" s="79">
        <f t="shared" si="307"/>
        <v>0</v>
      </c>
      <c r="X670" s="63">
        <f t="shared" si="307"/>
        <v>0</v>
      </c>
      <c r="Y670" s="63">
        <f t="shared" si="307"/>
        <v>0</v>
      </c>
      <c r="Z670" s="63">
        <f t="shared" si="307"/>
        <v>0</v>
      </c>
      <c r="AA670" s="63">
        <f>SUM(G670:Z670)</f>
        <v>814861.55074281059</v>
      </c>
      <c r="AB670" s="58" t="str">
        <f>IF(ABS(F670-AA670)&lt;0.01,"ok","err")</f>
        <v>ok</v>
      </c>
    </row>
    <row r="671" spans="1:28">
      <c r="A671" s="60" t="s">
        <v>672</v>
      </c>
      <c r="D671" s="60" t="s">
        <v>785</v>
      </c>
      <c r="F671" s="76">
        <f>F669+F670</f>
        <v>2276738.1081353831</v>
      </c>
      <c r="G671" s="76">
        <f t="shared" ref="G671:W671" si="308">G669+G670</f>
        <v>1712774.7141386177</v>
      </c>
      <c r="H671" s="76">
        <f t="shared" si="308"/>
        <v>3833.192727581119</v>
      </c>
      <c r="I671" s="76">
        <f t="shared" si="308"/>
        <v>246164.68416061456</v>
      </c>
      <c r="J671" s="76">
        <f t="shared" si="308"/>
        <v>0</v>
      </c>
      <c r="K671" s="76">
        <f t="shared" si="308"/>
        <v>158145.03027330269</v>
      </c>
      <c r="L671" s="76">
        <f t="shared" si="308"/>
        <v>0</v>
      </c>
      <c r="M671" s="76">
        <f t="shared" si="308"/>
        <v>128527.93078760247</v>
      </c>
      <c r="N671" s="76">
        <f t="shared" si="308"/>
        <v>0</v>
      </c>
      <c r="O671" s="76">
        <f>O669+O670</f>
        <v>0</v>
      </c>
      <c r="P671" s="76">
        <f t="shared" si="308"/>
        <v>26622.769870838743</v>
      </c>
      <c r="Q671" s="76">
        <f t="shared" si="308"/>
        <v>303.16429290959439</v>
      </c>
      <c r="R671" s="76">
        <f t="shared" si="308"/>
        <v>331.260718808006</v>
      </c>
      <c r="S671" s="76">
        <f t="shared" si="308"/>
        <v>15.343603386744308</v>
      </c>
      <c r="T671" s="76">
        <f t="shared" si="308"/>
        <v>20.01756172133457</v>
      </c>
      <c r="U671" s="76">
        <f t="shared" si="308"/>
        <v>0</v>
      </c>
      <c r="V671" s="76">
        <f t="shared" si="308"/>
        <v>0</v>
      </c>
      <c r="W671" s="76">
        <f t="shared" si="308"/>
        <v>0</v>
      </c>
      <c r="X671" s="62">
        <f>X669+X670</f>
        <v>0</v>
      </c>
      <c r="Y671" s="62">
        <f>Y669+Y670</f>
        <v>0</v>
      </c>
      <c r="Z671" s="62">
        <f>Z669+Z670</f>
        <v>0</v>
      </c>
      <c r="AA671" s="64">
        <f>SUM(G671:Z671)</f>
        <v>2276738.1081353826</v>
      </c>
      <c r="AB671" s="58" t="str">
        <f>IF(ABS(F671-AA671)&lt;0.01,"ok","err")</f>
        <v>ok</v>
      </c>
    </row>
    <row r="672" spans="1:28">
      <c r="F672" s="79"/>
    </row>
    <row r="673" spans="1:28" ht="14.1">
      <c r="A673" s="65" t="s">
        <v>343</v>
      </c>
      <c r="F673" s="79"/>
    </row>
    <row r="674" spans="1:28">
      <c r="A674" s="68" t="s">
        <v>1017</v>
      </c>
      <c r="C674" s="60" t="s">
        <v>1000</v>
      </c>
      <c r="D674" s="60" t="s">
        <v>786</v>
      </c>
      <c r="E674" s="60" t="s">
        <v>1019</v>
      </c>
      <c r="F674" s="76">
        <f>VLOOKUP(C674,'Functional Assignment'!$C$2:$AP$780,'Functional Assignment'!$Z$2,)</f>
        <v>520998.82129490451</v>
      </c>
      <c r="G674" s="76">
        <f t="shared" ref="G674:Z674" si="309">IF(VLOOKUP($E674,$D$6:$AN$1150,3,)=0,0,(VLOOKUP($E674,$D$6:$AN$1150,G$2,)/VLOOKUP($E674,$D$6:$AN$1150,3,))*$F674)</f>
        <v>447642.66310066014</v>
      </c>
      <c r="H674" s="76">
        <f t="shared" si="309"/>
        <v>1104.9375120961297</v>
      </c>
      <c r="I674" s="76">
        <f t="shared" si="309"/>
        <v>63912.489644665598</v>
      </c>
      <c r="J674" s="76">
        <f t="shared" si="309"/>
        <v>0</v>
      </c>
      <c r="K674" s="76">
        <f t="shared" si="309"/>
        <v>6573.9644513368403</v>
      </c>
      <c r="L674" s="76">
        <f t="shared" si="309"/>
        <v>0</v>
      </c>
      <c r="M674" s="76">
        <f t="shared" si="309"/>
        <v>1762.4038881423946</v>
      </c>
      <c r="N674" s="76">
        <f t="shared" si="309"/>
        <v>0</v>
      </c>
      <c r="O674" s="76">
        <f t="shared" si="309"/>
        <v>0</v>
      </c>
      <c r="P674" s="76">
        <f t="shared" si="309"/>
        <v>0</v>
      </c>
      <c r="Q674" s="76">
        <f t="shared" si="309"/>
        <v>0</v>
      </c>
      <c r="R674" s="76">
        <f t="shared" si="309"/>
        <v>0</v>
      </c>
      <c r="S674" s="76">
        <f t="shared" si="309"/>
        <v>2.3626980033359883</v>
      </c>
      <c r="T674" s="76">
        <f t="shared" si="309"/>
        <v>0</v>
      </c>
      <c r="U674" s="76">
        <f t="shared" si="309"/>
        <v>0</v>
      </c>
      <c r="V674" s="76">
        <f t="shared" si="309"/>
        <v>0</v>
      </c>
      <c r="W674" s="76">
        <f t="shared" si="309"/>
        <v>0</v>
      </c>
      <c r="X674" s="62">
        <f t="shared" si="309"/>
        <v>0</v>
      </c>
      <c r="Y674" s="62">
        <f t="shared" si="309"/>
        <v>0</v>
      </c>
      <c r="Z674" s="62">
        <f t="shared" si="309"/>
        <v>0</v>
      </c>
      <c r="AA674" s="64">
        <f>SUM(G674:Z674)</f>
        <v>520998.82129490445</v>
      </c>
      <c r="AB674" s="58" t="str">
        <f>IF(ABS(F674-AA674)&lt;0.01,"ok","err")</f>
        <v>ok</v>
      </c>
    </row>
    <row r="675" spans="1:28">
      <c r="F675" s="79"/>
    </row>
    <row r="676" spans="1:28" ht="14.1">
      <c r="A676" s="65" t="s">
        <v>342</v>
      </c>
      <c r="F676" s="79"/>
    </row>
    <row r="677" spans="1:28">
      <c r="A677" s="68" t="s">
        <v>1017</v>
      </c>
      <c r="C677" s="60" t="s">
        <v>1000</v>
      </c>
      <c r="D677" s="60" t="s">
        <v>787</v>
      </c>
      <c r="E677" s="60" t="s">
        <v>1020</v>
      </c>
      <c r="F677" s="76">
        <f>VLOOKUP(C677,'Functional Assignment'!$C$2:$AP$780,'Functional Assignment'!$AA$2,)</f>
        <v>531328.91262204992</v>
      </c>
      <c r="G677" s="76">
        <f t="shared" ref="G677:Z677" si="310">IF(VLOOKUP($E677,$D$6:$AN$1150,3,)=0,0,(VLOOKUP($E677,$D$6:$AN$1150,G$2,)/VLOOKUP($E677,$D$6:$AN$1150,3,))*$F677)</f>
        <v>362293.61822710821</v>
      </c>
      <c r="H677" s="76">
        <f t="shared" si="310"/>
        <v>894.26643653522603</v>
      </c>
      <c r="I677" s="76">
        <f t="shared" si="310"/>
        <v>112843.85558207975</v>
      </c>
      <c r="J677" s="76">
        <f t="shared" si="310"/>
        <v>3688.4409952161836</v>
      </c>
      <c r="K677" s="76">
        <f t="shared" si="310"/>
        <v>31556.507010444955</v>
      </c>
      <c r="L677" s="76">
        <f t="shared" si="310"/>
        <v>7367.2805990914649</v>
      </c>
      <c r="M677" s="76">
        <f t="shared" si="310"/>
        <v>6238.5260338350954</v>
      </c>
      <c r="N677" s="76">
        <f t="shared" si="310"/>
        <v>5206.4159772527682</v>
      </c>
      <c r="O677" s="76">
        <f t="shared" si="310"/>
        <v>111.96941283595874</v>
      </c>
      <c r="P677" s="76">
        <f t="shared" si="310"/>
        <v>0</v>
      </c>
      <c r="Q677" s="76">
        <f t="shared" si="310"/>
        <v>154.8554947912572</v>
      </c>
      <c r="R677" s="76">
        <f t="shared" si="310"/>
        <v>961.83537137426833</v>
      </c>
      <c r="S677" s="76">
        <f t="shared" si="310"/>
        <v>11.341481484688385</v>
      </c>
      <c r="T677" s="76">
        <f t="shared" si="310"/>
        <v>0</v>
      </c>
      <c r="U677" s="76">
        <f t="shared" si="310"/>
        <v>0</v>
      </c>
      <c r="V677" s="76">
        <f t="shared" si="310"/>
        <v>0</v>
      </c>
      <c r="W677" s="76">
        <f t="shared" si="310"/>
        <v>0</v>
      </c>
      <c r="X677" s="62">
        <f t="shared" si="310"/>
        <v>0</v>
      </c>
      <c r="Y677" s="62">
        <f t="shared" si="310"/>
        <v>0</v>
      </c>
      <c r="Z677" s="62">
        <f t="shared" si="310"/>
        <v>0</v>
      </c>
      <c r="AA677" s="64">
        <f>SUM(G677:Z677)</f>
        <v>531328.91262204992</v>
      </c>
      <c r="AB677" s="58" t="str">
        <f>IF(ABS(F677-AA677)&lt;0.01,"ok","err")</f>
        <v>ok</v>
      </c>
    </row>
    <row r="678" spans="1:28"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62"/>
      <c r="Y678" s="62"/>
      <c r="Z678" s="62"/>
      <c r="AA678" s="64"/>
    </row>
    <row r="679" spans="1:28" ht="14.1">
      <c r="A679" s="65" t="s">
        <v>358</v>
      </c>
      <c r="F679" s="79"/>
    </row>
    <row r="680" spans="1:28">
      <c r="A680" s="68" t="s">
        <v>1017</v>
      </c>
      <c r="C680" s="60" t="s">
        <v>1000</v>
      </c>
      <c r="D680" s="60" t="s">
        <v>788</v>
      </c>
      <c r="E680" s="60" t="s">
        <v>1021</v>
      </c>
      <c r="F680" s="76">
        <f>VLOOKUP(C680,'Functional Assignment'!$C$2:$AP$780,'Functional Assignment'!$AB$2,)</f>
        <v>1717756.5029967262</v>
      </c>
      <c r="G680" s="76">
        <f t="shared" ref="G680:Z680" si="311">IF(VLOOKUP($E680,$D$6:$AN$1150,3,)=0,0,(VLOOKUP($E680,$D$6:$AN$1150,G$2,)/VLOOKUP($E680,$D$6:$AN$1150,3,))*$F680)</f>
        <v>0</v>
      </c>
      <c r="H680" s="76">
        <f t="shared" si="311"/>
        <v>0</v>
      </c>
      <c r="I680" s="76">
        <f t="shared" si="311"/>
        <v>0</v>
      </c>
      <c r="J680" s="76">
        <f t="shared" si="311"/>
        <v>0</v>
      </c>
      <c r="K680" s="76">
        <f t="shared" si="311"/>
        <v>0</v>
      </c>
      <c r="L680" s="76">
        <f t="shared" si="311"/>
        <v>0</v>
      </c>
      <c r="M680" s="76">
        <f t="shared" si="311"/>
        <v>0</v>
      </c>
      <c r="N680" s="76">
        <f t="shared" si="311"/>
        <v>0</v>
      </c>
      <c r="O680" s="76">
        <f t="shared" si="311"/>
        <v>0</v>
      </c>
      <c r="P680" s="76">
        <f t="shared" si="311"/>
        <v>1717756.5029967262</v>
      </c>
      <c r="Q680" s="76">
        <f t="shared" si="311"/>
        <v>0</v>
      </c>
      <c r="R680" s="76">
        <f t="shared" si="311"/>
        <v>0</v>
      </c>
      <c r="S680" s="76">
        <f t="shared" si="311"/>
        <v>0</v>
      </c>
      <c r="T680" s="76">
        <f t="shared" si="311"/>
        <v>0</v>
      </c>
      <c r="U680" s="76">
        <f t="shared" si="311"/>
        <v>0</v>
      </c>
      <c r="V680" s="76">
        <f t="shared" si="311"/>
        <v>0</v>
      </c>
      <c r="W680" s="76">
        <f t="shared" si="311"/>
        <v>0</v>
      </c>
      <c r="X680" s="62">
        <f t="shared" si="311"/>
        <v>0</v>
      </c>
      <c r="Y680" s="62">
        <f t="shared" si="311"/>
        <v>0</v>
      </c>
      <c r="Z680" s="62">
        <f t="shared" si="311"/>
        <v>0</v>
      </c>
      <c r="AA680" s="64">
        <f>SUM(G680:Z680)</f>
        <v>1717756.5029967262</v>
      </c>
      <c r="AB680" s="58" t="str">
        <f>IF(ABS(F680-AA680)&lt;0.01,"ok","err")</f>
        <v>ok</v>
      </c>
    </row>
    <row r="681" spans="1:28"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62"/>
      <c r="Y681" s="62"/>
      <c r="Z681" s="62"/>
      <c r="AA681" s="64"/>
    </row>
    <row r="682" spans="1:28" ht="14.1">
      <c r="A682" s="65" t="s">
        <v>949</v>
      </c>
      <c r="F682" s="79"/>
    </row>
    <row r="683" spans="1:28">
      <c r="A683" s="68" t="s">
        <v>1017</v>
      </c>
      <c r="C683" s="60" t="s">
        <v>1000</v>
      </c>
      <c r="D683" s="60" t="s">
        <v>789</v>
      </c>
      <c r="E683" s="60" t="s">
        <v>1022</v>
      </c>
      <c r="F683" s="76">
        <f>VLOOKUP(C683,'Functional Assignment'!$C$2:$AP$780,'Functional Assignment'!$AC$2,)</f>
        <v>0</v>
      </c>
      <c r="G683" s="76">
        <f t="shared" ref="G683:Z683" si="312">IF(VLOOKUP($E683,$D$6:$AN$1150,3,)=0,0,(VLOOKUP($E683,$D$6:$AN$1150,G$2,)/VLOOKUP($E683,$D$6:$AN$1150,3,))*$F683)</f>
        <v>0</v>
      </c>
      <c r="H683" s="76">
        <f t="shared" si="312"/>
        <v>0</v>
      </c>
      <c r="I683" s="76">
        <f t="shared" si="312"/>
        <v>0</v>
      </c>
      <c r="J683" s="76">
        <f t="shared" si="312"/>
        <v>0</v>
      </c>
      <c r="K683" s="76">
        <f t="shared" si="312"/>
        <v>0</v>
      </c>
      <c r="L683" s="76">
        <f t="shared" si="312"/>
        <v>0</v>
      </c>
      <c r="M683" s="76">
        <f t="shared" si="312"/>
        <v>0</v>
      </c>
      <c r="N683" s="76">
        <f t="shared" si="312"/>
        <v>0</v>
      </c>
      <c r="O683" s="76">
        <f t="shared" si="312"/>
        <v>0</v>
      </c>
      <c r="P683" s="76">
        <f t="shared" si="312"/>
        <v>0</v>
      </c>
      <c r="Q683" s="76">
        <f t="shared" si="312"/>
        <v>0</v>
      </c>
      <c r="R683" s="76">
        <f t="shared" si="312"/>
        <v>0</v>
      </c>
      <c r="S683" s="76">
        <f t="shared" si="312"/>
        <v>0</v>
      </c>
      <c r="T683" s="76">
        <f t="shared" si="312"/>
        <v>0</v>
      </c>
      <c r="U683" s="76">
        <f t="shared" si="312"/>
        <v>0</v>
      </c>
      <c r="V683" s="76">
        <f t="shared" si="312"/>
        <v>0</v>
      </c>
      <c r="W683" s="76">
        <f t="shared" si="312"/>
        <v>0</v>
      </c>
      <c r="X683" s="62">
        <f t="shared" si="312"/>
        <v>0</v>
      </c>
      <c r="Y683" s="62">
        <f t="shared" si="312"/>
        <v>0</v>
      </c>
      <c r="Z683" s="62">
        <f t="shared" si="312"/>
        <v>0</v>
      </c>
      <c r="AA683" s="64">
        <f>SUM(G683:Z683)</f>
        <v>0</v>
      </c>
      <c r="AB683" s="58" t="str">
        <f>IF(ABS(F683-AA683)&lt;0.01,"ok","err")</f>
        <v>ok</v>
      </c>
    </row>
    <row r="684" spans="1:28"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62"/>
      <c r="Y684" s="62"/>
      <c r="Z684" s="62"/>
      <c r="AA684" s="64"/>
    </row>
    <row r="685" spans="1:28" ht="14.1">
      <c r="A685" s="65" t="s">
        <v>340</v>
      </c>
      <c r="F685" s="79"/>
    </row>
    <row r="686" spans="1:28">
      <c r="A686" s="68" t="s">
        <v>1017</v>
      </c>
      <c r="C686" s="60" t="s">
        <v>1000</v>
      </c>
      <c r="D686" s="60" t="s">
        <v>790</v>
      </c>
      <c r="E686" s="60" t="s">
        <v>1022</v>
      </c>
      <c r="F686" s="76">
        <f>VLOOKUP(C686,'Functional Assignment'!$C$2:$AP$780,'Functional Assignment'!$AD$2,)</f>
        <v>0</v>
      </c>
      <c r="G686" s="76">
        <f t="shared" ref="G686:Z686" si="313">IF(VLOOKUP($E686,$D$6:$AN$1150,3,)=0,0,(VLOOKUP($E686,$D$6:$AN$1150,G$2,)/VLOOKUP($E686,$D$6:$AN$1150,3,))*$F686)</f>
        <v>0</v>
      </c>
      <c r="H686" s="76">
        <f t="shared" si="313"/>
        <v>0</v>
      </c>
      <c r="I686" s="76">
        <f t="shared" si="313"/>
        <v>0</v>
      </c>
      <c r="J686" s="76">
        <f t="shared" si="313"/>
        <v>0</v>
      </c>
      <c r="K686" s="76">
        <f t="shared" si="313"/>
        <v>0</v>
      </c>
      <c r="L686" s="76">
        <f t="shared" si="313"/>
        <v>0</v>
      </c>
      <c r="M686" s="76">
        <f t="shared" si="313"/>
        <v>0</v>
      </c>
      <c r="N686" s="76">
        <f t="shared" si="313"/>
        <v>0</v>
      </c>
      <c r="O686" s="76">
        <f t="shared" si="313"/>
        <v>0</v>
      </c>
      <c r="P686" s="76">
        <f t="shared" si="313"/>
        <v>0</v>
      </c>
      <c r="Q686" s="76">
        <f t="shared" si="313"/>
        <v>0</v>
      </c>
      <c r="R686" s="76">
        <f t="shared" si="313"/>
        <v>0</v>
      </c>
      <c r="S686" s="76">
        <f t="shared" si="313"/>
        <v>0</v>
      </c>
      <c r="T686" s="76">
        <f t="shared" si="313"/>
        <v>0</v>
      </c>
      <c r="U686" s="76">
        <f t="shared" si="313"/>
        <v>0</v>
      </c>
      <c r="V686" s="76">
        <f t="shared" si="313"/>
        <v>0</v>
      </c>
      <c r="W686" s="76">
        <f t="shared" si="313"/>
        <v>0</v>
      </c>
      <c r="X686" s="62">
        <f t="shared" si="313"/>
        <v>0</v>
      </c>
      <c r="Y686" s="62">
        <f t="shared" si="313"/>
        <v>0</v>
      </c>
      <c r="Z686" s="62">
        <f t="shared" si="313"/>
        <v>0</v>
      </c>
      <c r="AA686" s="64">
        <f>SUM(G686:Z686)</f>
        <v>0</v>
      </c>
      <c r="AB686" s="58" t="str">
        <f>IF(ABS(F686-AA686)&lt;0.01,"ok","err")</f>
        <v>ok</v>
      </c>
    </row>
    <row r="687" spans="1:28"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62"/>
      <c r="Y687" s="62"/>
      <c r="Z687" s="62"/>
      <c r="AA687" s="64"/>
    </row>
    <row r="688" spans="1:28" ht="14.1">
      <c r="A688" s="65" t="s">
        <v>339</v>
      </c>
      <c r="F688" s="79"/>
    </row>
    <row r="689" spans="1:29">
      <c r="A689" s="68" t="s">
        <v>1017</v>
      </c>
      <c r="C689" s="60" t="s">
        <v>1000</v>
      </c>
      <c r="D689" s="60" t="s">
        <v>791</v>
      </c>
      <c r="E689" s="60" t="s">
        <v>1023</v>
      </c>
      <c r="F689" s="76">
        <f>VLOOKUP(C689,'Functional Assignment'!$C$2:$AP$780,'Functional Assignment'!$AE$2,)</f>
        <v>0</v>
      </c>
      <c r="G689" s="76">
        <f t="shared" ref="G689:Z689" si="314">IF(VLOOKUP($E689,$D$6:$AN$1150,3,)=0,0,(VLOOKUP($E689,$D$6:$AN$1150,G$2,)/VLOOKUP($E689,$D$6:$AN$1150,3,))*$F689)</f>
        <v>0</v>
      </c>
      <c r="H689" s="76">
        <f t="shared" si="314"/>
        <v>0</v>
      </c>
      <c r="I689" s="76">
        <f t="shared" si="314"/>
        <v>0</v>
      </c>
      <c r="J689" s="76">
        <f t="shared" si="314"/>
        <v>0</v>
      </c>
      <c r="K689" s="76">
        <f t="shared" si="314"/>
        <v>0</v>
      </c>
      <c r="L689" s="76">
        <f t="shared" si="314"/>
        <v>0</v>
      </c>
      <c r="M689" s="76">
        <f t="shared" si="314"/>
        <v>0</v>
      </c>
      <c r="N689" s="76">
        <f t="shared" si="314"/>
        <v>0</v>
      </c>
      <c r="O689" s="76">
        <f t="shared" si="314"/>
        <v>0</v>
      </c>
      <c r="P689" s="76">
        <f t="shared" si="314"/>
        <v>0</v>
      </c>
      <c r="Q689" s="76">
        <f t="shared" si="314"/>
        <v>0</v>
      </c>
      <c r="R689" s="76">
        <f t="shared" si="314"/>
        <v>0</v>
      </c>
      <c r="S689" s="76">
        <f t="shared" si="314"/>
        <v>0</v>
      </c>
      <c r="T689" s="76">
        <f t="shared" si="314"/>
        <v>0</v>
      </c>
      <c r="U689" s="76">
        <f t="shared" si="314"/>
        <v>0</v>
      </c>
      <c r="V689" s="76">
        <f t="shared" si="314"/>
        <v>0</v>
      </c>
      <c r="W689" s="76">
        <f t="shared" si="314"/>
        <v>0</v>
      </c>
      <c r="X689" s="62">
        <f t="shared" si="314"/>
        <v>0</v>
      </c>
      <c r="Y689" s="62">
        <f t="shared" si="314"/>
        <v>0</v>
      </c>
      <c r="Z689" s="62">
        <f t="shared" si="314"/>
        <v>0</v>
      </c>
      <c r="AA689" s="64">
        <f>SUM(G689:Z689)</f>
        <v>0</v>
      </c>
      <c r="AB689" s="58" t="str">
        <f>IF(ABS(F689-AA689)&lt;0.01,"ok","err")</f>
        <v>ok</v>
      </c>
    </row>
    <row r="690" spans="1:29"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62"/>
      <c r="Y690" s="62"/>
      <c r="Z690" s="62"/>
      <c r="AA690" s="64"/>
    </row>
    <row r="691" spans="1:29">
      <c r="A691" s="60" t="s">
        <v>846</v>
      </c>
      <c r="D691" s="60" t="s">
        <v>792</v>
      </c>
      <c r="F691" s="76">
        <f>F646+F652+F655+F658+F666+F671+F674+F677+F680+F683+F686+F689</f>
        <v>75433705.043134436</v>
      </c>
      <c r="G691" s="76">
        <f t="shared" ref="G691:Z691" si="315">G646+G652+G655+G658+G666+G671+G674+G677+G680+G683+G686+G689</f>
        <v>38255752.853161</v>
      </c>
      <c r="H691" s="76">
        <f t="shared" si="315"/>
        <v>60079.38397597523</v>
      </c>
      <c r="I691" s="76">
        <f t="shared" si="315"/>
        <v>8814359.6230740286</v>
      </c>
      <c r="J691" s="76">
        <f t="shared" si="315"/>
        <v>496328.5260433607</v>
      </c>
      <c r="K691" s="76">
        <f t="shared" si="315"/>
        <v>8519752.6151262634</v>
      </c>
      <c r="L691" s="76">
        <f t="shared" si="315"/>
        <v>7238009.6830848549</v>
      </c>
      <c r="M691" s="76">
        <f t="shared" si="315"/>
        <v>6446698.4476342313</v>
      </c>
      <c r="N691" s="76">
        <f t="shared" si="315"/>
        <v>3119065.6699630455</v>
      </c>
      <c r="O691" s="76">
        <f>O646+O652+O655+O658+O666+O671+O674+O677+O680+O683+O686+O689</f>
        <v>212365.79270321684</v>
      </c>
      <c r="P691" s="76">
        <f t="shared" si="315"/>
        <v>2246122.8961462332</v>
      </c>
      <c r="Q691" s="76">
        <f t="shared" si="315"/>
        <v>11002.116913155463</v>
      </c>
      <c r="R691" s="76">
        <f t="shared" si="315"/>
        <v>13573.442253445251</v>
      </c>
      <c r="S691" s="76">
        <f t="shared" si="315"/>
        <v>272.38353768394046</v>
      </c>
      <c r="T691" s="76">
        <f t="shared" si="315"/>
        <v>321.60951793468462</v>
      </c>
      <c r="U691" s="76">
        <f t="shared" si="315"/>
        <v>0</v>
      </c>
      <c r="V691" s="76">
        <f t="shared" si="315"/>
        <v>0</v>
      </c>
      <c r="W691" s="76">
        <f t="shared" si="315"/>
        <v>0</v>
      </c>
      <c r="X691" s="62">
        <f t="shared" si="315"/>
        <v>0</v>
      </c>
      <c r="Y691" s="62">
        <f t="shared" si="315"/>
        <v>0</v>
      </c>
      <c r="Z691" s="62">
        <f t="shared" si="315"/>
        <v>0</v>
      </c>
      <c r="AA691" s="64">
        <f>SUM(G691:Z691)</f>
        <v>75433705.043134406</v>
      </c>
      <c r="AB691" s="58" t="str">
        <f>IF(ABS(F691-AA691)&lt;0.01,"ok","err")</f>
        <v>ok</v>
      </c>
    </row>
    <row r="692" spans="1:29"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62"/>
      <c r="Y692" s="62"/>
      <c r="Z692" s="62"/>
      <c r="AA692" s="64"/>
      <c r="AB692" s="58"/>
    </row>
    <row r="693" spans="1:29"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62"/>
      <c r="Y693" s="62"/>
      <c r="Z693" s="62"/>
      <c r="AA693" s="64"/>
      <c r="AB693" s="58"/>
    </row>
    <row r="694" spans="1:29" ht="14.1">
      <c r="A694" s="65" t="s">
        <v>821</v>
      </c>
    </row>
    <row r="695" spans="1:29">
      <c r="F695" s="80"/>
    </row>
    <row r="696" spans="1:29" ht="14.1">
      <c r="A696" s="65" t="s">
        <v>1036</v>
      </c>
    </row>
    <row r="697" spans="1:29" s="60" customFormat="1">
      <c r="A697" s="68" t="s">
        <v>182</v>
      </c>
      <c r="D697" s="60" t="s">
        <v>1037</v>
      </c>
      <c r="E697" s="60" t="s">
        <v>129</v>
      </c>
      <c r="F697" s="76">
        <f>'Billing Det'!D39</f>
        <v>1066653012.4400001</v>
      </c>
      <c r="G697" s="76">
        <f t="shared" ref="G697:P700" si="316">IF(VLOOKUP($E697,$D$6:$AN$1150,3,)=0,0,(VLOOKUP($E697,$D$6:$AN$1150,G$2,)/VLOOKUP($E697,$D$6:$AN$1150,3,))*$F697)</f>
        <v>431190869.32348835</v>
      </c>
      <c r="H697" s="76">
        <f t="shared" si="316"/>
        <v>633867.12651165912</v>
      </c>
      <c r="I697" s="76">
        <f t="shared" si="316"/>
        <v>148100588.18000001</v>
      </c>
      <c r="J697" s="76">
        <f t="shared" si="316"/>
        <v>10054861.74</v>
      </c>
      <c r="K697" s="76">
        <f t="shared" si="316"/>
        <v>147448878.13999999</v>
      </c>
      <c r="L697" s="76">
        <f t="shared" si="316"/>
        <v>136688084.54999998</v>
      </c>
      <c r="M697" s="76">
        <f t="shared" si="316"/>
        <v>101626163.23</v>
      </c>
      <c r="N697" s="76">
        <f t="shared" si="316"/>
        <v>64286866.589999996</v>
      </c>
      <c r="O697" s="76">
        <f t="shared" si="316"/>
        <v>3635159.88</v>
      </c>
      <c r="P697" s="76">
        <f t="shared" si="316"/>
        <v>22160939.829999998</v>
      </c>
      <c r="Q697" s="76">
        <f t="shared" ref="Q697:Z700" si="317">IF(VLOOKUP($E697,$D$6:$AN$1150,3,)=0,0,(VLOOKUP($E697,$D$6:$AN$1150,Q$2,)/VLOOKUP($E697,$D$6:$AN$1150,3,))*$F697)</f>
        <v>243958.97</v>
      </c>
      <c r="R697" s="76">
        <f t="shared" si="317"/>
        <v>318741.55000000005</v>
      </c>
      <c r="S697" s="76">
        <f t="shared" si="317"/>
        <v>15468.33</v>
      </c>
      <c r="T697" s="76">
        <f t="shared" si="317"/>
        <v>1533</v>
      </c>
      <c r="U697" s="76">
        <f t="shared" si="317"/>
        <v>237096</v>
      </c>
      <c r="V697" s="76">
        <f t="shared" si="317"/>
        <v>9936</v>
      </c>
      <c r="W697" s="76">
        <f t="shared" si="317"/>
        <v>0</v>
      </c>
      <c r="X697" s="76">
        <f t="shared" si="317"/>
        <v>0</v>
      </c>
      <c r="Y697" s="76">
        <f t="shared" si="317"/>
        <v>0</v>
      </c>
      <c r="Z697" s="76">
        <f t="shared" si="317"/>
        <v>0</v>
      </c>
      <c r="AA697" s="80">
        <f t="shared" ref="AA697:AA706" si="318">SUM(G697:Z697)</f>
        <v>1066653012.4400001</v>
      </c>
      <c r="AB697" s="93" t="str">
        <f t="shared" ref="AB697:AB705" si="319">IF(ABS(F697-AA697)&lt;0.01,"ok","err")</f>
        <v>ok</v>
      </c>
    </row>
    <row r="698" spans="1:29" s="60" customFormat="1">
      <c r="A698" s="60" t="s">
        <v>1222</v>
      </c>
      <c r="E698" s="60" t="s">
        <v>854</v>
      </c>
      <c r="F698" s="79">
        <f>42910931-6102286-2402925</f>
        <v>34405720</v>
      </c>
      <c r="G698" s="79">
        <f t="shared" si="316"/>
        <v>12351105.593367064</v>
      </c>
      <c r="H698" s="79">
        <f t="shared" si="316"/>
        <v>15861.398023572528</v>
      </c>
      <c r="I698" s="79">
        <f t="shared" si="316"/>
        <v>3656201.1682057143</v>
      </c>
      <c r="J698" s="79">
        <f t="shared" si="316"/>
        <v>309759.26197993307</v>
      </c>
      <c r="K698" s="79">
        <f t="shared" si="316"/>
        <v>4608468.4725286756</v>
      </c>
      <c r="L698" s="79">
        <f t="shared" si="316"/>
        <v>5957247.5283633946</v>
      </c>
      <c r="M698" s="79">
        <f t="shared" si="316"/>
        <v>3934269.0712397015</v>
      </c>
      <c r="N698" s="79">
        <f t="shared" si="316"/>
        <v>3081523.8158901553</v>
      </c>
      <c r="O698" s="79">
        <f t="shared" si="316"/>
        <v>168464.88353543528</v>
      </c>
      <c r="P698" s="79">
        <f t="shared" si="316"/>
        <v>302374.50892361323</v>
      </c>
      <c r="Q698" s="79">
        <f t="shared" si="317"/>
        <v>10531.710314302347</v>
      </c>
      <c r="R698" s="79">
        <f t="shared" si="317"/>
        <v>9821.5711662230988</v>
      </c>
      <c r="S698" s="79">
        <f t="shared" si="317"/>
        <v>35.276514716915592</v>
      </c>
      <c r="T698" s="79">
        <f t="shared" si="317"/>
        <v>55.739947496425074</v>
      </c>
      <c r="U698" s="79">
        <f t="shared" si="317"/>
        <v>0</v>
      </c>
      <c r="V698" s="79">
        <f t="shared" si="317"/>
        <v>0</v>
      </c>
      <c r="W698" s="79">
        <f t="shared" si="317"/>
        <v>0</v>
      </c>
      <c r="X698" s="79">
        <f t="shared" si="317"/>
        <v>0</v>
      </c>
      <c r="Y698" s="79">
        <f t="shared" si="317"/>
        <v>0</v>
      </c>
      <c r="Z698" s="79">
        <f t="shared" si="317"/>
        <v>0</v>
      </c>
      <c r="AA698" s="79">
        <f>SUM(G698:Z698)</f>
        <v>34405720</v>
      </c>
      <c r="AB698" s="93" t="str">
        <f t="shared" ref="AB698" si="320">IF(ABS(F698-AA698)&lt;0.01,"ok","err")</f>
        <v>ok</v>
      </c>
    </row>
    <row r="699" spans="1:29" s="60" customFormat="1">
      <c r="A699" s="60" t="s">
        <v>1318</v>
      </c>
      <c r="E699" s="60" t="s">
        <v>351</v>
      </c>
      <c r="F699" s="79">
        <v>12094529.038746925</v>
      </c>
      <c r="G699" s="79">
        <f t="shared" si="316"/>
        <v>5709766.5792411594</v>
      </c>
      <c r="H699" s="79">
        <f t="shared" si="316"/>
        <v>20908.497270879321</v>
      </c>
      <c r="I699" s="79">
        <f t="shared" si="316"/>
        <v>1395873.2799026843</v>
      </c>
      <c r="J699" s="79">
        <f t="shared" si="316"/>
        <v>91629.502776315348</v>
      </c>
      <c r="K699" s="79">
        <f t="shared" si="316"/>
        <v>1553176.5390647913</v>
      </c>
      <c r="L699" s="79">
        <f t="shared" si="316"/>
        <v>1302531.3176480099</v>
      </c>
      <c r="M699" s="79">
        <f t="shared" si="316"/>
        <v>1233157.9460873907</v>
      </c>
      <c r="N699" s="79">
        <f t="shared" si="316"/>
        <v>643070.1888671543</v>
      </c>
      <c r="O699" s="79">
        <f t="shared" si="316"/>
        <v>41324.139341128059</v>
      </c>
      <c r="P699" s="79">
        <f t="shared" si="316"/>
        <v>97927.076182275821</v>
      </c>
      <c r="Q699" s="79">
        <f t="shared" si="317"/>
        <v>3410.8020612270639</v>
      </c>
      <c r="R699" s="79">
        <f t="shared" si="317"/>
        <v>1565.7168512400381</v>
      </c>
      <c r="S699" s="79">
        <f t="shared" si="317"/>
        <v>170.39262713461443</v>
      </c>
      <c r="T699" s="79">
        <f t="shared" si="317"/>
        <v>17.060825536187753</v>
      </c>
      <c r="U699" s="79">
        <f t="shared" si="317"/>
        <v>0</v>
      </c>
      <c r="V699" s="79">
        <f t="shared" si="317"/>
        <v>0</v>
      </c>
      <c r="W699" s="79">
        <f t="shared" si="317"/>
        <v>0</v>
      </c>
      <c r="X699" s="79">
        <f t="shared" si="317"/>
        <v>0</v>
      </c>
      <c r="Y699" s="79">
        <f t="shared" si="317"/>
        <v>0</v>
      </c>
      <c r="Z699" s="79">
        <f t="shared" si="317"/>
        <v>0</v>
      </c>
      <c r="AA699" s="79">
        <f>SUM(G699:Z699)</f>
        <v>12094529.038746927</v>
      </c>
      <c r="AB699" s="93" t="str">
        <f t="shared" si="319"/>
        <v>ok</v>
      </c>
    </row>
    <row r="700" spans="1:29" s="60" customFormat="1">
      <c r="A700" s="60" t="s">
        <v>1319</v>
      </c>
      <c r="E700" s="60" t="s">
        <v>1410</v>
      </c>
      <c r="F700" s="79">
        <v>665559.62476718472</v>
      </c>
      <c r="G700" s="79">
        <f t="shared" si="316"/>
        <v>291464.68957580475</v>
      </c>
      <c r="H700" s="79">
        <f t="shared" si="316"/>
        <v>110.98730219005427</v>
      </c>
      <c r="I700" s="79">
        <f t="shared" si="316"/>
        <v>81432.760721969215</v>
      </c>
      <c r="J700" s="79">
        <f t="shared" si="316"/>
        <v>5518.2288157883859</v>
      </c>
      <c r="K700" s="79">
        <f t="shared" si="316"/>
        <v>90786.210068454224</v>
      </c>
      <c r="L700" s="79">
        <f t="shared" si="316"/>
        <v>81949.9518745901</v>
      </c>
      <c r="M700" s="79">
        <f t="shared" si="316"/>
        <v>69721.915873396429</v>
      </c>
      <c r="N700" s="79">
        <f t="shared" si="316"/>
        <v>39612.726309090365</v>
      </c>
      <c r="O700" s="79">
        <f t="shared" si="316"/>
        <v>2351.4552026793936</v>
      </c>
      <c r="P700" s="79">
        <f t="shared" si="316"/>
        <v>2409.9977319712202</v>
      </c>
      <c r="Q700" s="79">
        <f t="shared" si="317"/>
        <v>83.94027017062885</v>
      </c>
      <c r="R700" s="79">
        <f t="shared" si="317"/>
        <v>115.59746928543245</v>
      </c>
      <c r="S700" s="79">
        <f t="shared" si="317"/>
        <v>0.1138791081371311</v>
      </c>
      <c r="T700" s="79">
        <f t="shared" si="317"/>
        <v>1.0496726863170402</v>
      </c>
      <c r="U700" s="79">
        <f t="shared" si="317"/>
        <v>0</v>
      </c>
      <c r="V700" s="79">
        <f t="shared" si="317"/>
        <v>0</v>
      </c>
      <c r="W700" s="79">
        <f t="shared" si="317"/>
        <v>0</v>
      </c>
      <c r="X700" s="79">
        <f t="shared" si="317"/>
        <v>0</v>
      </c>
      <c r="Y700" s="79">
        <f t="shared" si="317"/>
        <v>0</v>
      </c>
      <c r="Z700" s="79">
        <f t="shared" si="317"/>
        <v>0</v>
      </c>
      <c r="AA700" s="79">
        <f>SUM(G700:Z700)</f>
        <v>665559.62476718461</v>
      </c>
      <c r="AB700" s="93" t="str">
        <f t="shared" ref="AB700" si="321">IF(ABS(F700-AA700)&lt;0.01,"ok","err")</f>
        <v>ok</v>
      </c>
    </row>
    <row r="701" spans="1:29" s="60" customFormat="1">
      <c r="A701" s="60" t="s">
        <v>1220</v>
      </c>
      <c r="F701" s="79">
        <v>-2468360</v>
      </c>
      <c r="G701" s="79"/>
      <c r="H701" s="79"/>
      <c r="I701" s="79"/>
      <c r="J701" s="79"/>
      <c r="K701" s="79">
        <f>-K1121</f>
        <v>0</v>
      </c>
      <c r="L701" s="79">
        <f>-L1121</f>
        <v>-142467</v>
      </c>
      <c r="M701" s="79">
        <f>-M1121</f>
        <v>0</v>
      </c>
      <c r="N701" s="79">
        <f>-N1121</f>
        <v>-2325893</v>
      </c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>
        <f>SUM(G701:Z701)</f>
        <v>-2468360</v>
      </c>
      <c r="AB701" s="93" t="str">
        <f t="shared" ref="AB701" si="322">IF(ABS(F701-AA701)&lt;0.01,"ok","err")</f>
        <v>ok</v>
      </c>
    </row>
    <row r="702" spans="1:29" s="60" customFormat="1">
      <c r="A702" s="60" t="s">
        <v>647</v>
      </c>
      <c r="D702" s="60" t="s">
        <v>648</v>
      </c>
      <c r="E702" s="60" t="s">
        <v>684</v>
      </c>
      <c r="F702" s="79">
        <v>2706692.92</v>
      </c>
      <c r="G702" s="79">
        <f t="shared" ref="G702:P705" si="323">IF(VLOOKUP($E702,$D$6:$AN$1150,3,)=0,0,(VLOOKUP($E702,$D$6:$AN$1150,G$2,)/VLOOKUP($E702,$D$6:$AN$1150,3,))*$F702)</f>
        <v>2141952.810637082</v>
      </c>
      <c r="H702" s="79">
        <f t="shared" si="323"/>
        <v>5287.0832132469277</v>
      </c>
      <c r="I702" s="79">
        <f t="shared" si="323"/>
        <v>209025.46765031613</v>
      </c>
      <c r="J702" s="79">
        <f t="shared" si="323"/>
        <v>7004.5440583936861</v>
      </c>
      <c r="K702" s="79">
        <f t="shared" si="323"/>
        <v>278420.34567918465</v>
      </c>
      <c r="L702" s="79">
        <f t="shared" si="323"/>
        <v>13167.994528875361</v>
      </c>
      <c r="M702" s="79">
        <f t="shared" si="323"/>
        <v>50533.330436459211</v>
      </c>
      <c r="N702" s="79">
        <f t="shared" si="323"/>
        <v>1300.8438965588275</v>
      </c>
      <c r="O702" s="79">
        <f t="shared" si="323"/>
        <v>0</v>
      </c>
      <c r="P702" s="79">
        <f t="shared" si="323"/>
        <v>0.49989988309105043</v>
      </c>
      <c r="Q702" s="79">
        <f t="shared" ref="Q702:Z705" si="324">IF(VLOOKUP($E702,$D$6:$AN$1150,3,)=0,0,(VLOOKUP($E702,$D$6:$AN$1150,Q$2,)/VLOOKUP($E702,$D$6:$AN$1150,3,))*$F702)</f>
        <v>0</v>
      </c>
      <c r="R702" s="79">
        <f t="shared" si="324"/>
        <v>0</v>
      </c>
      <c r="S702" s="79">
        <f t="shared" si="324"/>
        <v>0</v>
      </c>
      <c r="T702" s="79">
        <f t="shared" si="324"/>
        <v>0</v>
      </c>
      <c r="U702" s="79">
        <f t="shared" si="324"/>
        <v>0</v>
      </c>
      <c r="V702" s="79">
        <f t="shared" si="324"/>
        <v>0</v>
      </c>
      <c r="W702" s="79">
        <f t="shared" si="324"/>
        <v>0</v>
      </c>
      <c r="X702" s="79">
        <f t="shared" si="324"/>
        <v>0</v>
      </c>
      <c r="Y702" s="79">
        <f t="shared" si="324"/>
        <v>0</v>
      </c>
      <c r="Z702" s="79">
        <f t="shared" si="324"/>
        <v>0</v>
      </c>
      <c r="AA702" s="79">
        <f t="shared" si="318"/>
        <v>2706692.92</v>
      </c>
      <c r="AB702" s="93" t="str">
        <f t="shared" si="319"/>
        <v>ok</v>
      </c>
    </row>
    <row r="703" spans="1:29" s="60" customFormat="1">
      <c r="A703" s="60" t="s">
        <v>649</v>
      </c>
      <c r="D703" s="60" t="s">
        <v>42</v>
      </c>
      <c r="E703" s="60" t="s">
        <v>179</v>
      </c>
      <c r="F703" s="79">
        <v>1545789.287142857</v>
      </c>
      <c r="G703" s="79">
        <f t="shared" si="323"/>
        <v>1471342.7535702854</v>
      </c>
      <c r="H703" s="79">
        <f t="shared" si="323"/>
        <v>3631.7847595438957</v>
      </c>
      <c r="I703" s="79">
        <f t="shared" si="323"/>
        <v>58584.563643341877</v>
      </c>
      <c r="J703" s="79">
        <f t="shared" si="323"/>
        <v>244.46420092602602</v>
      </c>
      <c r="K703" s="79">
        <f t="shared" si="323"/>
        <v>9717.0931841662969</v>
      </c>
      <c r="L703" s="79">
        <f t="shared" si="323"/>
        <v>459.57356159995618</v>
      </c>
      <c r="M703" s="79">
        <f t="shared" si="323"/>
        <v>1763.6537285358747</v>
      </c>
      <c r="N703" s="79">
        <f t="shared" si="323"/>
        <v>45.400494457690549</v>
      </c>
      <c r="O703" s="79">
        <f t="shared" si="323"/>
        <v>0</v>
      </c>
      <c r="P703" s="79">
        <f t="shared" si="323"/>
        <v>0</v>
      </c>
      <c r="Q703" s="79">
        <f t="shared" si="324"/>
        <v>0</v>
      </c>
      <c r="R703" s="79">
        <f t="shared" si="324"/>
        <v>0</v>
      </c>
      <c r="S703" s="79">
        <f t="shared" si="324"/>
        <v>0</v>
      </c>
      <c r="T703" s="79">
        <f t="shared" si="324"/>
        <v>0</v>
      </c>
      <c r="U703" s="79">
        <f t="shared" si="324"/>
        <v>0</v>
      </c>
      <c r="V703" s="79">
        <f t="shared" si="324"/>
        <v>0</v>
      </c>
      <c r="W703" s="79">
        <f t="shared" si="324"/>
        <v>0</v>
      </c>
      <c r="X703" s="79">
        <f t="shared" si="324"/>
        <v>0</v>
      </c>
      <c r="Y703" s="79">
        <f t="shared" si="324"/>
        <v>0</v>
      </c>
      <c r="Z703" s="79">
        <f t="shared" si="324"/>
        <v>0</v>
      </c>
      <c r="AA703" s="79">
        <f t="shared" si="318"/>
        <v>1545789.287142857</v>
      </c>
      <c r="AB703" s="93" t="str">
        <f t="shared" si="319"/>
        <v>ok</v>
      </c>
      <c r="AC703" s="159"/>
    </row>
    <row r="704" spans="1:29" s="60" customFormat="1">
      <c r="A704" s="68" t="s">
        <v>650</v>
      </c>
      <c r="E704" s="60" t="s">
        <v>1323</v>
      </c>
      <c r="F704" s="79">
        <f>3799536.76</f>
        <v>3799536.76</v>
      </c>
      <c r="G704" s="79">
        <f t="shared" si="323"/>
        <v>1922832.981258177</v>
      </c>
      <c r="H704" s="79">
        <f t="shared" si="323"/>
        <v>3081.3690813816743</v>
      </c>
      <c r="I704" s="79">
        <f t="shared" si="323"/>
        <v>443271.48817379546</v>
      </c>
      <c r="J704" s="79">
        <f t="shared" si="323"/>
        <v>25063.419087436087</v>
      </c>
      <c r="K704" s="79">
        <f t="shared" si="323"/>
        <v>428538.36773130851</v>
      </c>
      <c r="L704" s="79">
        <f t="shared" si="323"/>
        <v>368385.6000671903</v>
      </c>
      <c r="M704" s="79">
        <f t="shared" si="323"/>
        <v>325243.25107606937</v>
      </c>
      <c r="N704" s="79">
        <f t="shared" si="323"/>
        <v>159562.39180077275</v>
      </c>
      <c r="O704" s="79">
        <f t="shared" si="323"/>
        <v>10802.059530298413</v>
      </c>
      <c r="P704" s="79">
        <f t="shared" si="323"/>
        <v>111486.81731776327</v>
      </c>
      <c r="Q704" s="79">
        <f t="shared" si="324"/>
        <v>569.98531243777552</v>
      </c>
      <c r="R704" s="79">
        <f t="shared" si="324"/>
        <v>684.95905618154222</v>
      </c>
      <c r="S704" s="79">
        <f t="shared" si="324"/>
        <v>14.070507188110593</v>
      </c>
      <c r="T704" s="79">
        <f t="shared" si="324"/>
        <v>0</v>
      </c>
      <c r="U704" s="79">
        <f t="shared" si="324"/>
        <v>0</v>
      </c>
      <c r="V704" s="79">
        <f t="shared" si="324"/>
        <v>0</v>
      </c>
      <c r="W704" s="79">
        <f t="shared" si="324"/>
        <v>0</v>
      </c>
      <c r="X704" s="79">
        <f t="shared" si="324"/>
        <v>0</v>
      </c>
      <c r="Y704" s="79">
        <f t="shared" si="324"/>
        <v>0</v>
      </c>
      <c r="Z704" s="79">
        <f t="shared" si="324"/>
        <v>0</v>
      </c>
      <c r="AA704" s="79">
        <f t="shared" si="318"/>
        <v>3799536.7600000002</v>
      </c>
      <c r="AB704" s="93" t="str">
        <f t="shared" si="319"/>
        <v>ok</v>
      </c>
    </row>
    <row r="705" spans="1:28" s="60" customFormat="1">
      <c r="A705" s="68" t="s">
        <v>651</v>
      </c>
      <c r="E705" s="60" t="s">
        <v>1324</v>
      </c>
      <c r="F705" s="79">
        <f>452568.176666668-F706+220887</f>
        <v>662366.82506666798</v>
      </c>
      <c r="G705" s="79">
        <f t="shared" si="323"/>
        <v>335204.22550917882</v>
      </c>
      <c r="H705" s="79">
        <f t="shared" si="323"/>
        <v>537.16986680591424</v>
      </c>
      <c r="I705" s="79">
        <f t="shared" si="323"/>
        <v>77274.769744365884</v>
      </c>
      <c r="J705" s="79">
        <f t="shared" si="323"/>
        <v>4369.263511549857</v>
      </c>
      <c r="K705" s="79">
        <f t="shared" si="323"/>
        <v>74706.36974530523</v>
      </c>
      <c r="L705" s="79">
        <f t="shared" si="323"/>
        <v>64220.039370479513</v>
      </c>
      <c r="M705" s="79">
        <f t="shared" si="323"/>
        <v>56699.106548351236</v>
      </c>
      <c r="N705" s="79">
        <f t="shared" si="323"/>
        <v>27816.242224518333</v>
      </c>
      <c r="O705" s="79">
        <f t="shared" si="323"/>
        <v>1883.1047907179354</v>
      </c>
      <c r="P705" s="79">
        <f t="shared" si="323"/>
        <v>19435.308535758046</v>
      </c>
      <c r="Q705" s="79">
        <f t="shared" si="324"/>
        <v>99.364576679090263</v>
      </c>
      <c r="R705" s="79">
        <f t="shared" si="324"/>
        <v>119.40775520846115</v>
      </c>
      <c r="S705" s="79">
        <f t="shared" si="324"/>
        <v>2.4528877497336135</v>
      </c>
      <c r="T705" s="79">
        <f t="shared" si="324"/>
        <v>0</v>
      </c>
      <c r="U705" s="79">
        <f t="shared" si="324"/>
        <v>0</v>
      </c>
      <c r="V705" s="79">
        <f t="shared" si="324"/>
        <v>0</v>
      </c>
      <c r="W705" s="79">
        <f t="shared" si="324"/>
        <v>0</v>
      </c>
      <c r="X705" s="79">
        <f t="shared" si="324"/>
        <v>0</v>
      </c>
      <c r="Y705" s="79">
        <f t="shared" si="324"/>
        <v>0</v>
      </c>
      <c r="Z705" s="79">
        <f t="shared" si="324"/>
        <v>0</v>
      </c>
      <c r="AA705" s="79">
        <f t="shared" si="318"/>
        <v>662366.82506666798</v>
      </c>
      <c r="AB705" s="93" t="str">
        <f t="shared" si="319"/>
        <v>ok</v>
      </c>
    </row>
    <row r="706" spans="1:28" s="60" customFormat="1">
      <c r="A706" s="68" t="s">
        <v>1320</v>
      </c>
      <c r="F706" s="79">
        <v>11088.351600000002</v>
      </c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>
        <f>F706</f>
        <v>11088.351600000002</v>
      </c>
      <c r="U706" s="79">
        <v>0</v>
      </c>
      <c r="V706" s="79"/>
      <c r="W706" s="79"/>
      <c r="X706" s="79"/>
      <c r="Y706" s="79"/>
      <c r="Z706" s="79"/>
      <c r="AA706" s="79">
        <f t="shared" si="318"/>
        <v>11088.351600000002</v>
      </c>
      <c r="AB706" s="93" t="str">
        <f t="shared" ref="AB706" si="325">IF(ABS(F706-AA706)&lt;0.01,"ok","err")</f>
        <v>ok</v>
      </c>
    </row>
    <row r="707" spans="1:28" s="60" customFormat="1" hidden="1">
      <c r="A707" s="68" t="s">
        <v>1408</v>
      </c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>
        <f t="shared" ref="AA707" si="326">SUM(G707:Z707)</f>
        <v>0</v>
      </c>
      <c r="AB707" s="144" t="str">
        <f t="shared" ref="AB707" si="327">IF(ABS(F707-AA707)&lt;0.01,"ok","err")</f>
        <v>ok</v>
      </c>
    </row>
    <row r="708" spans="1:28" s="60" customFormat="1">
      <c r="AA708" s="80"/>
    </row>
    <row r="709" spans="1:28" s="60" customFormat="1">
      <c r="A709" s="60" t="s">
        <v>1038</v>
      </c>
      <c r="D709" s="60" t="s">
        <v>1039</v>
      </c>
      <c r="F709" s="80">
        <f t="shared" ref="F709:Z709" si="328">SUM(F697:F708)</f>
        <v>1120075935.2473235</v>
      </c>
      <c r="G709" s="80">
        <f t="shared" si="328"/>
        <v>455414538.95664698</v>
      </c>
      <c r="H709" s="80">
        <f t="shared" si="328"/>
        <v>683285.41602927947</v>
      </c>
      <c r="I709" s="80">
        <f t="shared" si="328"/>
        <v>154022251.6780422</v>
      </c>
      <c r="J709" s="80">
        <f t="shared" si="328"/>
        <v>10498450.424430344</v>
      </c>
      <c r="K709" s="80">
        <f t="shared" si="328"/>
        <v>154492691.53800189</v>
      </c>
      <c r="L709" s="80">
        <f t="shared" si="328"/>
        <v>144333579.55541417</v>
      </c>
      <c r="M709" s="80">
        <f t="shared" si="328"/>
        <v>107297551.50498989</v>
      </c>
      <c r="N709" s="80">
        <f t="shared" si="328"/>
        <v>65913905.199482709</v>
      </c>
      <c r="O709" s="80">
        <f t="shared" si="328"/>
        <v>3859985.522400259</v>
      </c>
      <c r="P709" s="80">
        <f t="shared" si="328"/>
        <v>22694574.038591262</v>
      </c>
      <c r="Q709" s="80">
        <f t="shared" si="328"/>
        <v>258654.77253481693</v>
      </c>
      <c r="R709" s="80">
        <f t="shared" si="328"/>
        <v>331048.80229813856</v>
      </c>
      <c r="S709" s="80">
        <f t="shared" si="328"/>
        <v>15690.636415897512</v>
      </c>
      <c r="T709" s="80">
        <f t="shared" si="328"/>
        <v>12695.202045718932</v>
      </c>
      <c r="U709" s="80">
        <f t="shared" si="328"/>
        <v>237096</v>
      </c>
      <c r="V709" s="80">
        <f t="shared" si="328"/>
        <v>9936</v>
      </c>
      <c r="W709" s="80">
        <f t="shared" si="328"/>
        <v>0</v>
      </c>
      <c r="X709" s="80">
        <f t="shared" si="328"/>
        <v>0</v>
      </c>
      <c r="Y709" s="80">
        <f t="shared" si="328"/>
        <v>0</v>
      </c>
      <c r="Z709" s="80">
        <f t="shared" si="328"/>
        <v>0</v>
      </c>
      <c r="AA709" s="80">
        <f>SUM(G709:Z709)</f>
        <v>1120075935.2473233</v>
      </c>
      <c r="AB709" s="93" t="str">
        <f>IF(ABS(F709-AA709)&lt;0.01,"ok","err")</f>
        <v>ok</v>
      </c>
    </row>
    <row r="710" spans="1:28" s="60" customFormat="1">
      <c r="C710" s="80"/>
      <c r="D710" s="80"/>
      <c r="E710" s="80"/>
      <c r="F710" s="80"/>
      <c r="G710" s="80"/>
      <c r="H710" s="80"/>
      <c r="I710" s="80"/>
    </row>
    <row r="711" spans="1:28" s="60" customFormat="1" ht="14.1">
      <c r="A711" s="65" t="s">
        <v>1040</v>
      </c>
      <c r="F711" s="80"/>
      <c r="G711" s="80"/>
    </row>
    <row r="712" spans="1:28" s="60" customFormat="1">
      <c r="A712" s="68" t="s">
        <v>1041</v>
      </c>
      <c r="F712" s="80">
        <f t="shared" ref="F712:Z712" si="329">F233</f>
        <v>643436661.24131227</v>
      </c>
      <c r="G712" s="80">
        <f t="shared" si="329"/>
        <v>278762508.12792587</v>
      </c>
      <c r="H712" s="80">
        <f t="shared" si="329"/>
        <v>447373.81769263884</v>
      </c>
      <c r="I712" s="80">
        <f t="shared" si="329"/>
        <v>73702756.869020075</v>
      </c>
      <c r="J712" s="80">
        <f t="shared" si="329"/>
        <v>5053917.4220187729</v>
      </c>
      <c r="K712" s="80">
        <f t="shared" si="329"/>
        <v>78024032.461141974</v>
      </c>
      <c r="L712" s="80">
        <f t="shared" si="329"/>
        <v>89077922.490978703</v>
      </c>
      <c r="M712" s="80">
        <f t="shared" si="329"/>
        <v>63823823.941072196</v>
      </c>
      <c r="N712" s="80">
        <f t="shared" si="329"/>
        <v>44243907.921961434</v>
      </c>
      <c r="O712" s="80">
        <f t="shared" si="329"/>
        <v>2539631.6668843967</v>
      </c>
      <c r="P712" s="80">
        <f t="shared" si="329"/>
        <v>7311625.9569701934</v>
      </c>
      <c r="Q712" s="80">
        <f t="shared" si="329"/>
        <v>159155.65324751954</v>
      </c>
      <c r="R712" s="80">
        <f t="shared" si="329"/>
        <v>179664.53677309287</v>
      </c>
      <c r="S712" s="80">
        <f t="shared" si="329"/>
        <v>1861.0365143014963</v>
      </c>
      <c r="T712" s="80">
        <f t="shared" si="329"/>
        <v>26576.339111232573</v>
      </c>
      <c r="U712" s="80">
        <f t="shared" si="329"/>
        <v>71903</v>
      </c>
      <c r="V712" s="80">
        <f t="shared" si="329"/>
        <v>10000</v>
      </c>
      <c r="W712" s="80">
        <f t="shared" si="329"/>
        <v>0</v>
      </c>
      <c r="X712" s="80">
        <f t="shared" si="329"/>
        <v>0</v>
      </c>
      <c r="Y712" s="80">
        <f t="shared" si="329"/>
        <v>0</v>
      </c>
      <c r="Z712" s="80">
        <f t="shared" si="329"/>
        <v>0</v>
      </c>
      <c r="AA712" s="80">
        <f t="shared" ref="AA712:AA718" si="330">SUM(G712:Z712)</f>
        <v>643436661.24131238</v>
      </c>
      <c r="AB712" s="93" t="str">
        <f t="shared" ref="AB712:AB721" si="331">IF(ABS(F712-AA712)&lt;0.01,"ok","err")</f>
        <v>ok</v>
      </c>
    </row>
    <row r="713" spans="1:28" s="60" customFormat="1">
      <c r="A713" s="68" t="s">
        <v>1177</v>
      </c>
      <c r="F713" s="79">
        <f t="shared" ref="F713:Z713" si="332">F347</f>
        <v>277122835.61762834</v>
      </c>
      <c r="G713" s="79">
        <f t="shared" si="332"/>
        <v>132895663.60879765</v>
      </c>
      <c r="H713" s="79">
        <f t="shared" si="332"/>
        <v>149551.01077824508</v>
      </c>
      <c r="I713" s="79">
        <f t="shared" si="332"/>
        <v>32977673.946411591</v>
      </c>
      <c r="J713" s="79">
        <f t="shared" si="332"/>
        <v>2010098.9249021292</v>
      </c>
      <c r="K713" s="79">
        <f t="shared" si="332"/>
        <v>33854774.261061154</v>
      </c>
      <c r="L713" s="79">
        <f t="shared" si="332"/>
        <v>29564727.853097949</v>
      </c>
      <c r="M713" s="79">
        <f t="shared" si="332"/>
        <v>25780259.789164845</v>
      </c>
      <c r="N713" s="79">
        <f t="shared" si="332"/>
        <v>13442574.156425172</v>
      </c>
      <c r="O713" s="79">
        <f t="shared" si="332"/>
        <v>858233.47007347806</v>
      </c>
      <c r="P713" s="79">
        <f t="shared" si="332"/>
        <v>5395215.9463536981</v>
      </c>
      <c r="Q713" s="79">
        <f t="shared" si="332"/>
        <v>38000.603804269449</v>
      </c>
      <c r="R713" s="79">
        <f t="shared" si="332"/>
        <v>49207.282498507964</v>
      </c>
      <c r="S713" s="79">
        <f t="shared" si="332"/>
        <v>603.03295431232027</v>
      </c>
      <c r="T713" s="79">
        <f t="shared" si="332"/>
        <v>19227.797097051607</v>
      </c>
      <c r="U713" s="79">
        <f t="shared" si="332"/>
        <v>83869.534208333309</v>
      </c>
      <c r="V713" s="79">
        <f t="shared" si="332"/>
        <v>3154.4</v>
      </c>
      <c r="W713" s="79">
        <f t="shared" si="332"/>
        <v>0</v>
      </c>
      <c r="X713" s="79">
        <f t="shared" si="332"/>
        <v>0</v>
      </c>
      <c r="Y713" s="79">
        <f t="shared" si="332"/>
        <v>0</v>
      </c>
      <c r="Z713" s="79">
        <f t="shared" si="332"/>
        <v>0</v>
      </c>
      <c r="AA713" s="79">
        <f t="shared" si="330"/>
        <v>277122835.61762834</v>
      </c>
      <c r="AB713" s="93" t="str">
        <f t="shared" si="331"/>
        <v>ok</v>
      </c>
    </row>
    <row r="714" spans="1:28" s="60" customFormat="1">
      <c r="A714" s="111" t="s">
        <v>270</v>
      </c>
      <c r="F714" s="79">
        <f t="shared" ref="F714:Z714" si="333">F405</f>
        <v>0</v>
      </c>
      <c r="G714" s="79">
        <f t="shared" si="333"/>
        <v>0</v>
      </c>
      <c r="H714" s="79">
        <f t="shared" si="333"/>
        <v>0</v>
      </c>
      <c r="I714" s="79">
        <f t="shared" si="333"/>
        <v>0</v>
      </c>
      <c r="J714" s="79">
        <f t="shared" si="333"/>
        <v>0</v>
      </c>
      <c r="K714" s="79">
        <f t="shared" si="333"/>
        <v>0</v>
      </c>
      <c r="L714" s="79">
        <f t="shared" si="333"/>
        <v>0</v>
      </c>
      <c r="M714" s="79">
        <f t="shared" si="333"/>
        <v>0</v>
      </c>
      <c r="N714" s="79">
        <f t="shared" si="333"/>
        <v>0</v>
      </c>
      <c r="O714" s="79">
        <f t="shared" si="333"/>
        <v>0</v>
      </c>
      <c r="P714" s="79">
        <f t="shared" si="333"/>
        <v>0</v>
      </c>
      <c r="Q714" s="79">
        <f t="shared" si="333"/>
        <v>0</v>
      </c>
      <c r="R714" s="79">
        <f t="shared" si="333"/>
        <v>0</v>
      </c>
      <c r="S714" s="79">
        <f t="shared" si="333"/>
        <v>0</v>
      </c>
      <c r="T714" s="79">
        <f t="shared" si="333"/>
        <v>0</v>
      </c>
      <c r="U714" s="79">
        <f t="shared" si="333"/>
        <v>0</v>
      </c>
      <c r="V714" s="79">
        <f t="shared" si="333"/>
        <v>0</v>
      </c>
      <c r="W714" s="79">
        <f t="shared" si="333"/>
        <v>0</v>
      </c>
      <c r="X714" s="79">
        <f t="shared" si="333"/>
        <v>0</v>
      </c>
      <c r="Y714" s="79">
        <f t="shared" si="333"/>
        <v>0</v>
      </c>
      <c r="Z714" s="79">
        <f t="shared" si="333"/>
        <v>0</v>
      </c>
      <c r="AA714" s="79">
        <f>SUM(G714:Z714)</f>
        <v>0</v>
      </c>
      <c r="AB714" s="93" t="str">
        <f t="shared" si="331"/>
        <v>ok</v>
      </c>
    </row>
    <row r="715" spans="1:28" s="60" customFormat="1">
      <c r="A715" s="68" t="s">
        <v>762</v>
      </c>
      <c r="F715" s="79">
        <f t="shared" ref="F715:Z715" si="334">F462</f>
        <v>0</v>
      </c>
      <c r="G715" s="79">
        <f t="shared" si="334"/>
        <v>0</v>
      </c>
      <c r="H715" s="79">
        <f t="shared" si="334"/>
        <v>0</v>
      </c>
      <c r="I715" s="79">
        <f t="shared" si="334"/>
        <v>0</v>
      </c>
      <c r="J715" s="79">
        <f t="shared" si="334"/>
        <v>0</v>
      </c>
      <c r="K715" s="79">
        <f t="shared" si="334"/>
        <v>0</v>
      </c>
      <c r="L715" s="79">
        <f t="shared" si="334"/>
        <v>0</v>
      </c>
      <c r="M715" s="79">
        <f t="shared" si="334"/>
        <v>0</v>
      </c>
      <c r="N715" s="79">
        <f t="shared" si="334"/>
        <v>0</v>
      </c>
      <c r="O715" s="79">
        <f t="shared" si="334"/>
        <v>0</v>
      </c>
      <c r="P715" s="79">
        <f t="shared" si="334"/>
        <v>0</v>
      </c>
      <c r="Q715" s="79">
        <f t="shared" si="334"/>
        <v>0</v>
      </c>
      <c r="R715" s="79">
        <f t="shared" si="334"/>
        <v>0</v>
      </c>
      <c r="S715" s="79">
        <f t="shared" si="334"/>
        <v>0</v>
      </c>
      <c r="T715" s="79">
        <f t="shared" si="334"/>
        <v>0</v>
      </c>
      <c r="U715" s="79">
        <f t="shared" si="334"/>
        <v>0</v>
      </c>
      <c r="V715" s="79">
        <f t="shared" si="334"/>
        <v>0</v>
      </c>
      <c r="W715" s="79">
        <f t="shared" si="334"/>
        <v>0</v>
      </c>
      <c r="X715" s="79">
        <f t="shared" si="334"/>
        <v>0</v>
      </c>
      <c r="Y715" s="79">
        <f t="shared" si="334"/>
        <v>0</v>
      </c>
      <c r="Z715" s="79">
        <f t="shared" si="334"/>
        <v>0</v>
      </c>
      <c r="AA715" s="79">
        <f>SUM(G715:Z715)</f>
        <v>0</v>
      </c>
      <c r="AB715" s="93" t="str">
        <f t="shared" si="331"/>
        <v>ok</v>
      </c>
    </row>
    <row r="716" spans="1:28" s="60" customFormat="1">
      <c r="A716" s="60" t="s">
        <v>1092</v>
      </c>
      <c r="E716" s="60" t="s">
        <v>514</v>
      </c>
      <c r="F716" s="79">
        <v>0</v>
      </c>
      <c r="G716" s="79">
        <f t="shared" ref="G716:P717" si="335">IF(VLOOKUP($E716,$D$6:$AN$1150,3,)=0,0,(VLOOKUP($E716,$D$6:$AN$1150,G$2,)/VLOOKUP($E716,$D$6:$AN$1150,3,))*$F716)</f>
        <v>0</v>
      </c>
      <c r="H716" s="79">
        <f t="shared" si="335"/>
        <v>0</v>
      </c>
      <c r="I716" s="79">
        <f t="shared" si="335"/>
        <v>0</v>
      </c>
      <c r="J716" s="79">
        <f t="shared" si="335"/>
        <v>0</v>
      </c>
      <c r="K716" s="79">
        <f t="shared" si="335"/>
        <v>0</v>
      </c>
      <c r="L716" s="79">
        <f t="shared" si="335"/>
        <v>0</v>
      </c>
      <c r="M716" s="79">
        <f t="shared" si="335"/>
        <v>0</v>
      </c>
      <c r="N716" s="79">
        <f t="shared" si="335"/>
        <v>0</v>
      </c>
      <c r="O716" s="79">
        <f t="shared" si="335"/>
        <v>0</v>
      </c>
      <c r="P716" s="79">
        <f t="shared" si="335"/>
        <v>0</v>
      </c>
      <c r="Q716" s="79">
        <f t="shared" ref="Q716:Z717" si="336">IF(VLOOKUP($E716,$D$6:$AN$1150,3,)=0,0,(VLOOKUP($E716,$D$6:$AN$1150,Q$2,)/VLOOKUP($E716,$D$6:$AN$1150,3,))*$F716)</f>
        <v>0</v>
      </c>
      <c r="R716" s="79">
        <f t="shared" si="336"/>
        <v>0</v>
      </c>
      <c r="S716" s="79">
        <f t="shared" si="336"/>
        <v>0</v>
      </c>
      <c r="T716" s="79">
        <f t="shared" si="336"/>
        <v>0</v>
      </c>
      <c r="U716" s="79">
        <f t="shared" si="336"/>
        <v>0</v>
      </c>
      <c r="V716" s="79">
        <f t="shared" si="336"/>
        <v>0</v>
      </c>
      <c r="W716" s="79">
        <f t="shared" si="336"/>
        <v>0</v>
      </c>
      <c r="X716" s="79">
        <f t="shared" si="336"/>
        <v>0</v>
      </c>
      <c r="Y716" s="79">
        <f t="shared" si="336"/>
        <v>0</v>
      </c>
      <c r="Z716" s="79">
        <f t="shared" si="336"/>
        <v>0</v>
      </c>
      <c r="AA716" s="79">
        <f>SUM(G716:Z716)</f>
        <v>0</v>
      </c>
      <c r="AB716" s="93" t="str">
        <f t="shared" si="331"/>
        <v>ok</v>
      </c>
    </row>
    <row r="717" spans="1:28" s="60" customFormat="1">
      <c r="A717" s="60" t="s">
        <v>1093</v>
      </c>
      <c r="E717" s="60" t="s">
        <v>514</v>
      </c>
      <c r="F717" s="79">
        <v>0</v>
      </c>
      <c r="G717" s="79">
        <f t="shared" si="335"/>
        <v>0</v>
      </c>
      <c r="H717" s="79">
        <f t="shared" si="335"/>
        <v>0</v>
      </c>
      <c r="I717" s="79">
        <f t="shared" si="335"/>
        <v>0</v>
      </c>
      <c r="J717" s="79">
        <f t="shared" si="335"/>
        <v>0</v>
      </c>
      <c r="K717" s="79">
        <f t="shared" si="335"/>
        <v>0</v>
      </c>
      <c r="L717" s="79">
        <f t="shared" si="335"/>
        <v>0</v>
      </c>
      <c r="M717" s="79">
        <f t="shared" si="335"/>
        <v>0</v>
      </c>
      <c r="N717" s="79">
        <f t="shared" si="335"/>
        <v>0</v>
      </c>
      <c r="O717" s="79">
        <f t="shared" si="335"/>
        <v>0</v>
      </c>
      <c r="P717" s="79">
        <f t="shared" si="335"/>
        <v>0</v>
      </c>
      <c r="Q717" s="79">
        <f t="shared" si="336"/>
        <v>0</v>
      </c>
      <c r="R717" s="79">
        <f t="shared" si="336"/>
        <v>0</v>
      </c>
      <c r="S717" s="79">
        <f t="shared" si="336"/>
        <v>0</v>
      </c>
      <c r="T717" s="79">
        <f t="shared" si="336"/>
        <v>0</v>
      </c>
      <c r="U717" s="79">
        <f t="shared" si="336"/>
        <v>0</v>
      </c>
      <c r="V717" s="79">
        <f t="shared" si="336"/>
        <v>0</v>
      </c>
      <c r="W717" s="79">
        <f t="shared" si="336"/>
        <v>0</v>
      </c>
      <c r="X717" s="79">
        <f t="shared" si="336"/>
        <v>0</v>
      </c>
      <c r="Y717" s="79">
        <f t="shared" si="336"/>
        <v>0</v>
      </c>
      <c r="Z717" s="79">
        <f t="shared" si="336"/>
        <v>0</v>
      </c>
      <c r="AA717" s="79">
        <f>SUM(G717:Z717)</f>
        <v>0</v>
      </c>
      <c r="AB717" s="93" t="str">
        <f t="shared" si="331"/>
        <v>ok</v>
      </c>
    </row>
    <row r="718" spans="1:28" s="60" customFormat="1">
      <c r="A718" s="68" t="s">
        <v>686</v>
      </c>
      <c r="E718" s="60" t="s">
        <v>1025</v>
      </c>
      <c r="F718" s="79">
        <f t="shared" ref="F718:Z718" si="337">F519</f>
        <v>42336722.113755003</v>
      </c>
      <c r="G718" s="79">
        <f t="shared" si="337"/>
        <v>21467536.085323267</v>
      </c>
      <c r="H718" s="79">
        <f t="shared" si="337"/>
        <v>33714.122860954667</v>
      </c>
      <c r="I718" s="79">
        <f t="shared" si="337"/>
        <v>4946032.2370691411</v>
      </c>
      <c r="J718" s="79">
        <f t="shared" si="337"/>
        <v>278515.41610546689</v>
      </c>
      <c r="K718" s="79">
        <f t="shared" si="337"/>
        <v>4781050.8525651461</v>
      </c>
      <c r="L718" s="79">
        <f t="shared" si="337"/>
        <v>4061846.4614503561</v>
      </c>
      <c r="M718" s="79">
        <f t="shared" si="337"/>
        <v>3617794.0655234382</v>
      </c>
      <c r="N718" s="79">
        <f t="shared" si="337"/>
        <v>1750334.3681439769</v>
      </c>
      <c r="O718" s="79">
        <f t="shared" si="337"/>
        <v>119176.81806527023</v>
      </c>
      <c r="P718" s="79">
        <f t="shared" si="337"/>
        <v>1260611.2754334728</v>
      </c>
      <c r="Q718" s="79">
        <f t="shared" si="337"/>
        <v>6173.6730235238601</v>
      </c>
      <c r="R718" s="79">
        <f t="shared" si="337"/>
        <v>7612.5724343224174</v>
      </c>
      <c r="S718" s="79">
        <f t="shared" si="337"/>
        <v>152.81568144715962</v>
      </c>
      <c r="T718" s="79">
        <f t="shared" si="337"/>
        <v>2869.9587024969537</v>
      </c>
      <c r="U718" s="79">
        <f t="shared" si="337"/>
        <v>3190.2719496980626</v>
      </c>
      <c r="V718" s="79">
        <f t="shared" si="337"/>
        <v>111.11942302474998</v>
      </c>
      <c r="W718" s="79">
        <f t="shared" si="337"/>
        <v>0</v>
      </c>
      <c r="X718" s="79">
        <f t="shared" si="337"/>
        <v>0</v>
      </c>
      <c r="Y718" s="79">
        <f t="shared" si="337"/>
        <v>0</v>
      </c>
      <c r="Z718" s="79">
        <f t="shared" si="337"/>
        <v>0</v>
      </c>
      <c r="AA718" s="79">
        <f t="shared" si="330"/>
        <v>42336722.113755003</v>
      </c>
      <c r="AB718" s="93" t="str">
        <f t="shared" si="331"/>
        <v>ok</v>
      </c>
    </row>
    <row r="719" spans="1:28" s="60" customFormat="1">
      <c r="A719" s="68" t="s">
        <v>687</v>
      </c>
      <c r="F719" s="79">
        <f t="shared" ref="F719:Z719" si="338">F576</f>
        <v>-916996.00000000012</v>
      </c>
      <c r="G719" s="79">
        <f t="shared" si="338"/>
        <v>-458862.48737190949</v>
      </c>
      <c r="H719" s="79">
        <f t="shared" si="338"/>
        <v>-727.98822373383473</v>
      </c>
      <c r="I719" s="79">
        <f t="shared" si="338"/>
        <v>-105421.67495801237</v>
      </c>
      <c r="J719" s="79">
        <f t="shared" si="338"/>
        <v>-5916.3981678281643</v>
      </c>
      <c r="K719" s="79">
        <f t="shared" si="338"/>
        <v>-101641.80495353245</v>
      </c>
      <c r="L719" s="79">
        <f t="shared" si="338"/>
        <v>-86248.088263757658</v>
      </c>
      <c r="M719" s="79">
        <f t="shared" si="338"/>
        <v>-76888.20755966939</v>
      </c>
      <c r="N719" s="79">
        <f t="shared" si="338"/>
        <v>-37075.540052353863</v>
      </c>
      <c r="O719" s="79">
        <f t="shared" si="338"/>
        <v>-2531.6744163383464</v>
      </c>
      <c r="P719" s="79">
        <f t="shared" si="338"/>
        <v>-27253.427022410709</v>
      </c>
      <c r="Q719" s="79">
        <f t="shared" si="338"/>
        <v>-131.96352143618196</v>
      </c>
      <c r="R719" s="79">
        <f t="shared" si="338"/>
        <v>-162.54941863734248</v>
      </c>
      <c r="S719" s="79">
        <f t="shared" si="338"/>
        <v>-3.3087633486676418</v>
      </c>
      <c r="T719" s="79">
        <f t="shared" si="338"/>
        <v>-3.8873070315677523</v>
      </c>
      <c r="U719" s="79">
        <f t="shared" si="338"/>
        <v>-13727.717595343111</v>
      </c>
      <c r="V719" s="79">
        <f t="shared" si="338"/>
        <v>-399.28240465688896</v>
      </c>
      <c r="W719" s="79">
        <f t="shared" si="338"/>
        <v>0</v>
      </c>
      <c r="X719" s="79">
        <f t="shared" si="338"/>
        <v>0</v>
      </c>
      <c r="Y719" s="79">
        <f t="shared" si="338"/>
        <v>0</v>
      </c>
      <c r="Z719" s="79">
        <f t="shared" si="338"/>
        <v>0</v>
      </c>
      <c r="AA719" s="79">
        <f>SUM(G719:Z719)</f>
        <v>-916995.99999999988</v>
      </c>
      <c r="AB719" s="93" t="str">
        <f t="shared" si="331"/>
        <v>ok</v>
      </c>
    </row>
    <row r="720" spans="1:28" s="60" customFormat="1">
      <c r="A720" s="68" t="s">
        <v>652</v>
      </c>
      <c r="F720" s="79">
        <f t="shared" ref="F720:Z720" si="339">F634</f>
        <v>0</v>
      </c>
      <c r="G720" s="79">
        <f t="shared" si="339"/>
        <v>0</v>
      </c>
      <c r="H720" s="79">
        <f t="shared" si="339"/>
        <v>0</v>
      </c>
      <c r="I720" s="79">
        <f t="shared" si="339"/>
        <v>0</v>
      </c>
      <c r="J720" s="79">
        <f t="shared" si="339"/>
        <v>0</v>
      </c>
      <c r="K720" s="79">
        <f t="shared" si="339"/>
        <v>0</v>
      </c>
      <c r="L720" s="79">
        <f t="shared" si="339"/>
        <v>0</v>
      </c>
      <c r="M720" s="79">
        <f t="shared" si="339"/>
        <v>0</v>
      </c>
      <c r="N720" s="79">
        <f t="shared" si="339"/>
        <v>0</v>
      </c>
      <c r="O720" s="79">
        <f t="shared" si="339"/>
        <v>0</v>
      </c>
      <c r="P720" s="79">
        <f t="shared" si="339"/>
        <v>0</v>
      </c>
      <c r="Q720" s="79">
        <f t="shared" si="339"/>
        <v>0</v>
      </c>
      <c r="R720" s="79">
        <f t="shared" si="339"/>
        <v>0</v>
      </c>
      <c r="S720" s="79">
        <f t="shared" si="339"/>
        <v>0</v>
      </c>
      <c r="T720" s="79">
        <f t="shared" si="339"/>
        <v>0</v>
      </c>
      <c r="U720" s="79">
        <f t="shared" si="339"/>
        <v>0</v>
      </c>
      <c r="V720" s="79">
        <f t="shared" si="339"/>
        <v>0</v>
      </c>
      <c r="W720" s="79">
        <f t="shared" si="339"/>
        <v>0</v>
      </c>
      <c r="X720" s="79">
        <f t="shared" si="339"/>
        <v>0</v>
      </c>
      <c r="Y720" s="79">
        <f t="shared" si="339"/>
        <v>0</v>
      </c>
      <c r="Z720" s="79">
        <f t="shared" si="339"/>
        <v>0</v>
      </c>
      <c r="AA720" s="79">
        <f>SUM(G720:Z720)</f>
        <v>0</v>
      </c>
      <c r="AB720" s="93" t="str">
        <f t="shared" si="331"/>
        <v>ok</v>
      </c>
    </row>
    <row r="721" spans="1:28" s="60" customFormat="1" ht="15.75" customHeight="1">
      <c r="A721" s="68" t="s">
        <v>196</v>
      </c>
      <c r="E721" s="60" t="s">
        <v>796</v>
      </c>
      <c r="F721" s="143">
        <v>7757584.4088109927</v>
      </c>
      <c r="G721" s="143">
        <f t="shared" ref="G721:Z721" si="340">IF(VLOOKUP($E721,$D$6:$AN$1150,3,)=0,0,(VLOOKUP($E721,$D$6:$AN$1150,G$2,)/VLOOKUP($E721,$D$6:$AN$1150,3,))*$F721)</f>
        <v>-1455367.7942768324</v>
      </c>
      <c r="H721" s="143">
        <f t="shared" si="340"/>
        <v>-629.23029726234881</v>
      </c>
      <c r="I721" s="143">
        <f t="shared" si="340"/>
        <v>3161372.8601150671</v>
      </c>
      <c r="J721" s="143">
        <f t="shared" si="340"/>
        <v>250146.86276990522</v>
      </c>
      <c r="K721" s="143">
        <f t="shared" si="340"/>
        <v>2760451.2025875174</v>
      </c>
      <c r="L721" s="143">
        <f t="shared" si="340"/>
        <v>1358637.2506310409</v>
      </c>
      <c r="M721" s="143">
        <f t="shared" si="340"/>
        <v>723163.70171888603</v>
      </c>
      <c r="N721" s="143">
        <f t="shared" si="340"/>
        <v>318616.08991219464</v>
      </c>
      <c r="O721" s="143">
        <f t="shared" si="340"/>
        <v>12491.7762069322</v>
      </c>
      <c r="P721" s="143">
        <f t="shared" si="340"/>
        <v>610772.7169398159</v>
      </c>
      <c r="Q721" s="143">
        <f t="shared" si="340"/>
        <v>4171.8903577391329</v>
      </c>
      <c r="R721" s="143">
        <f t="shared" si="340"/>
        <v>7615.9250087768132</v>
      </c>
      <c r="S721" s="143">
        <f t="shared" si="340"/>
        <v>1201.6664048062139</v>
      </c>
      <c r="T721" s="143">
        <f t="shared" si="340"/>
        <v>-3406.2885519926581</v>
      </c>
      <c r="U721" s="143">
        <f t="shared" si="340"/>
        <v>8620.7700180759803</v>
      </c>
      <c r="V721" s="143">
        <f t="shared" si="340"/>
        <v>-274.99073369243331</v>
      </c>
      <c r="W721" s="143">
        <f t="shared" si="340"/>
        <v>0</v>
      </c>
      <c r="X721" s="143">
        <f t="shared" si="340"/>
        <v>0</v>
      </c>
      <c r="Y721" s="143">
        <f t="shared" si="340"/>
        <v>0</v>
      </c>
      <c r="Z721" s="143">
        <f t="shared" si="340"/>
        <v>0</v>
      </c>
      <c r="AA721" s="143">
        <f>SUM(G721:Z721)</f>
        <v>7757584.4088109778</v>
      </c>
      <c r="AB721" s="144" t="str">
        <f t="shared" si="331"/>
        <v>ok</v>
      </c>
    </row>
    <row r="722" spans="1:28" s="60" customFormat="1">
      <c r="A722" s="68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93"/>
    </row>
    <row r="723" spans="1:28" s="70" customFormat="1">
      <c r="A723" s="283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1"/>
    </row>
    <row r="724" spans="1:28" s="60" customFormat="1">
      <c r="A724" s="68"/>
      <c r="AA724" s="80"/>
      <c r="AB724" s="93"/>
    </row>
    <row r="725" spans="1:28" s="60" customFormat="1">
      <c r="A725" s="60" t="s">
        <v>1043</v>
      </c>
      <c r="D725" s="60" t="s">
        <v>1004</v>
      </c>
      <c r="F725" s="80">
        <f>SUM(F712:F721)</f>
        <v>969736807.38150656</v>
      </c>
      <c r="G725" s="80">
        <f t="shared" ref="G725:U725" si="341">SUM(G712:G721)</f>
        <v>431211477.54039806</v>
      </c>
      <c r="H725" s="80">
        <f t="shared" si="341"/>
        <v>629281.73281084234</v>
      </c>
      <c r="I725" s="80">
        <f t="shared" si="341"/>
        <v>114682414.23765787</v>
      </c>
      <c r="J725" s="80">
        <f t="shared" si="341"/>
        <v>7586762.2276284462</v>
      </c>
      <c r="K725" s="80">
        <f t="shared" si="341"/>
        <v>119318666.97240226</v>
      </c>
      <c r="L725" s="80">
        <f t="shared" si="341"/>
        <v>123976885.96789427</v>
      </c>
      <c r="M725" s="80">
        <f t="shared" si="341"/>
        <v>93868153.289919689</v>
      </c>
      <c r="N725" s="80">
        <f t="shared" si="341"/>
        <v>59718356.996390417</v>
      </c>
      <c r="O725" s="80">
        <f t="shared" si="341"/>
        <v>3527002.0568137383</v>
      </c>
      <c r="P725" s="80">
        <f t="shared" si="341"/>
        <v>14550972.468674771</v>
      </c>
      <c r="Q725" s="80">
        <f t="shared" si="341"/>
        <v>207369.85691161582</v>
      </c>
      <c r="R725" s="80">
        <f t="shared" si="341"/>
        <v>243937.7672960627</v>
      </c>
      <c r="S725" s="80">
        <f t="shared" si="341"/>
        <v>3815.2427915185226</v>
      </c>
      <c r="T725" s="80">
        <f t="shared" si="341"/>
        <v>45263.919051756908</v>
      </c>
      <c r="U725" s="80">
        <f t="shared" si="341"/>
        <v>153855.85858076424</v>
      </c>
      <c r="V725" s="80">
        <f>SUM(V712:V724)</f>
        <v>12591.246284675426</v>
      </c>
      <c r="W725" s="80">
        <f>SUM(W712:W724)</f>
        <v>0</v>
      </c>
      <c r="X725" s="80">
        <f>SUM(X712:X724)</f>
        <v>0</v>
      </c>
      <c r="Y725" s="80">
        <f>SUM(Y712:Y724)</f>
        <v>0</v>
      </c>
      <c r="Z725" s="80">
        <f>SUM(Z712:Z724)</f>
        <v>0</v>
      </c>
      <c r="AA725" s="80">
        <f>SUM(G725:Z725)</f>
        <v>969736807.38150692</v>
      </c>
      <c r="AB725" s="93" t="str">
        <f>IF(ABS(F725-AA725)&lt;0.01,"ok","err")</f>
        <v>ok</v>
      </c>
    </row>
    <row r="726" spans="1:28" s="60" customFormat="1">
      <c r="A726" s="68"/>
    </row>
    <row r="727" spans="1:28" s="60" customFormat="1">
      <c r="A727" s="60" t="s">
        <v>664</v>
      </c>
      <c r="D727" s="60" t="s">
        <v>992</v>
      </c>
      <c r="F727" s="80">
        <f t="shared" ref="F727:Z727" si="342">F709-F725</f>
        <v>150339127.86581695</v>
      </c>
      <c r="G727" s="80">
        <f t="shared" si="342"/>
        <v>24203061.416248918</v>
      </c>
      <c r="H727" s="80">
        <f t="shared" si="342"/>
        <v>54003.683218437131</v>
      </c>
      <c r="I727" s="80">
        <f t="shared" si="342"/>
        <v>39339837.440384328</v>
      </c>
      <c r="J727" s="80">
        <f t="shared" si="342"/>
        <v>2911688.1968018981</v>
      </c>
      <c r="K727" s="80">
        <f t="shared" si="342"/>
        <v>35174024.565599635</v>
      </c>
      <c r="L727" s="80">
        <f t="shared" si="342"/>
        <v>20356693.587519899</v>
      </c>
      <c r="M727" s="80">
        <f t="shared" si="342"/>
        <v>13429398.215070203</v>
      </c>
      <c r="N727" s="80">
        <f t="shared" si="342"/>
        <v>6195548.203092292</v>
      </c>
      <c r="O727" s="80">
        <f t="shared" si="342"/>
        <v>332983.46558652073</v>
      </c>
      <c r="P727" s="80">
        <f t="shared" si="342"/>
        <v>8143601.5699164905</v>
      </c>
      <c r="Q727" s="80">
        <f t="shared" si="342"/>
        <v>51284.915623201116</v>
      </c>
      <c r="R727" s="80">
        <f t="shared" si="342"/>
        <v>87111.035002075863</v>
      </c>
      <c r="S727" s="80">
        <f t="shared" si="342"/>
        <v>11875.39362437899</v>
      </c>
      <c r="T727" s="80">
        <f t="shared" si="342"/>
        <v>-32568.717006037976</v>
      </c>
      <c r="U727" s="80">
        <f t="shared" si="342"/>
        <v>83240.141419235762</v>
      </c>
      <c r="V727" s="80">
        <f t="shared" si="342"/>
        <v>-2655.2462846754261</v>
      </c>
      <c r="W727" s="80">
        <f t="shared" si="342"/>
        <v>0</v>
      </c>
      <c r="X727" s="80">
        <f t="shared" si="342"/>
        <v>0</v>
      </c>
      <c r="Y727" s="80">
        <f t="shared" si="342"/>
        <v>0</v>
      </c>
      <c r="Z727" s="80">
        <f t="shared" si="342"/>
        <v>0</v>
      </c>
      <c r="AA727" s="80">
        <f>SUM(G727:Z727)</f>
        <v>150339127.86581677</v>
      </c>
      <c r="AB727" s="93" t="str">
        <f>IF(ABS(F727-AA727)&lt;0.01,"ok","err")</f>
        <v>ok</v>
      </c>
    </row>
    <row r="728" spans="1:28" s="60" customFormat="1"/>
    <row r="729" spans="1:28" s="60" customFormat="1">
      <c r="A729" s="60" t="s">
        <v>1026</v>
      </c>
      <c r="F729" s="80">
        <f t="shared" ref="F729:Z729" si="343">F176</f>
        <v>3460077816.1601419</v>
      </c>
      <c r="G729" s="80">
        <f t="shared" si="343"/>
        <v>1749779989.101094</v>
      </c>
      <c r="H729" s="80">
        <f t="shared" si="343"/>
        <v>2804049.0308775981</v>
      </c>
      <c r="I729" s="80">
        <f t="shared" si="343"/>
        <v>403377509.80225503</v>
      </c>
      <c r="J729" s="80">
        <f t="shared" si="343"/>
        <v>22807737.128033813</v>
      </c>
      <c r="K729" s="80">
        <f t="shared" si="343"/>
        <v>389970355.05789894</v>
      </c>
      <c r="L729" s="80">
        <f t="shared" si="343"/>
        <v>335231274.66265321</v>
      </c>
      <c r="M729" s="80">
        <f t="shared" si="343"/>
        <v>295971692.74197924</v>
      </c>
      <c r="N729" s="80">
        <f t="shared" si="343"/>
        <v>145201940.52601016</v>
      </c>
      <c r="O729" s="80">
        <f t="shared" si="343"/>
        <v>9829885.2741891239</v>
      </c>
      <c r="P729" s="80">
        <f t="shared" si="343"/>
        <v>101453118.33768603</v>
      </c>
      <c r="Q729" s="80">
        <f t="shared" si="343"/>
        <v>518687.22011027404</v>
      </c>
      <c r="R729" s="80">
        <f t="shared" si="343"/>
        <v>623313.44507924758</v>
      </c>
      <c r="S729" s="80">
        <f t="shared" si="343"/>
        <v>12804.176001885042</v>
      </c>
      <c r="T729" s="80">
        <f t="shared" si="343"/>
        <v>120161.0262732144</v>
      </c>
      <c r="U729" s="80">
        <f t="shared" si="343"/>
        <v>2314621.8400000003</v>
      </c>
      <c r="V729" s="80">
        <f t="shared" si="343"/>
        <v>60676.790000000008</v>
      </c>
      <c r="W729" s="80">
        <f t="shared" si="343"/>
        <v>0</v>
      </c>
      <c r="X729" s="80">
        <f t="shared" si="343"/>
        <v>0</v>
      </c>
      <c r="Y729" s="80">
        <f t="shared" si="343"/>
        <v>0</v>
      </c>
      <c r="Z729" s="80">
        <f t="shared" si="343"/>
        <v>0</v>
      </c>
      <c r="AA729" s="80">
        <f>SUM(G729:Z729)</f>
        <v>3460077816.1601415</v>
      </c>
      <c r="AB729" s="93" t="str">
        <f>IF(ABS(F729-AA729)&lt;0.01,"ok","err")</f>
        <v>ok</v>
      </c>
    </row>
    <row r="730" spans="1:28" s="60" customFormat="1"/>
    <row r="731" spans="1:28" s="60" customFormat="1"/>
    <row r="732" spans="1:28" s="60" customFormat="1" ht="14.1">
      <c r="A732" s="65" t="s">
        <v>797</v>
      </c>
    </row>
    <row r="733" spans="1:28" s="60" customFormat="1"/>
    <row r="734" spans="1:28" s="60" customFormat="1">
      <c r="A734" s="60" t="s">
        <v>794</v>
      </c>
      <c r="F734" s="80">
        <f t="shared" ref="F734:Z734" si="344">F709</f>
        <v>1120075935.2473235</v>
      </c>
      <c r="G734" s="80">
        <f t="shared" si="344"/>
        <v>455414538.95664698</v>
      </c>
      <c r="H734" s="80">
        <f t="shared" si="344"/>
        <v>683285.41602927947</v>
      </c>
      <c r="I734" s="80">
        <f t="shared" si="344"/>
        <v>154022251.6780422</v>
      </c>
      <c r="J734" s="80">
        <f t="shared" si="344"/>
        <v>10498450.424430344</v>
      </c>
      <c r="K734" s="80">
        <f t="shared" si="344"/>
        <v>154492691.53800189</v>
      </c>
      <c r="L734" s="80">
        <f t="shared" si="344"/>
        <v>144333579.55541417</v>
      </c>
      <c r="M734" s="80">
        <f t="shared" si="344"/>
        <v>107297551.50498989</v>
      </c>
      <c r="N734" s="80">
        <f t="shared" si="344"/>
        <v>65913905.199482709</v>
      </c>
      <c r="O734" s="80">
        <f t="shared" si="344"/>
        <v>3859985.522400259</v>
      </c>
      <c r="P734" s="80">
        <f t="shared" si="344"/>
        <v>22694574.038591262</v>
      </c>
      <c r="Q734" s="80">
        <f t="shared" si="344"/>
        <v>258654.77253481693</v>
      </c>
      <c r="R734" s="80">
        <f t="shared" si="344"/>
        <v>331048.80229813856</v>
      </c>
      <c r="S734" s="80">
        <f t="shared" si="344"/>
        <v>15690.636415897512</v>
      </c>
      <c r="T734" s="80">
        <f t="shared" si="344"/>
        <v>12695.202045718932</v>
      </c>
      <c r="U734" s="80">
        <f t="shared" si="344"/>
        <v>237096</v>
      </c>
      <c r="V734" s="80">
        <f t="shared" si="344"/>
        <v>9936</v>
      </c>
      <c r="W734" s="80">
        <f t="shared" si="344"/>
        <v>0</v>
      </c>
      <c r="X734" s="80">
        <f t="shared" si="344"/>
        <v>0</v>
      </c>
      <c r="Y734" s="80">
        <f t="shared" si="344"/>
        <v>0</v>
      </c>
      <c r="Z734" s="80">
        <f t="shared" si="344"/>
        <v>0</v>
      </c>
      <c r="AA734" s="80">
        <f>SUM(G734:Z734)</f>
        <v>1120075935.2473233</v>
      </c>
      <c r="AB734" s="93" t="str">
        <f>IF(ABS(F734-AA734)&lt;0.01,"ok","err")</f>
        <v>ok</v>
      </c>
    </row>
    <row r="735" spans="1:28" s="60" customFormat="1"/>
    <row r="736" spans="1:28" s="60" customFormat="1">
      <c r="A736" s="60" t="s">
        <v>1040</v>
      </c>
      <c r="F736" s="80">
        <f t="shared" ref="F736:U736" si="345">F712+F713+F714+F715+F718+F719+F720+F722+F723+F717+F716</f>
        <v>961979222.97269559</v>
      </c>
      <c r="G736" s="80">
        <f t="shared" si="345"/>
        <v>432666845.33467489</v>
      </c>
      <c r="H736" s="80">
        <f t="shared" si="345"/>
        <v>629910.96310810465</v>
      </c>
      <c r="I736" s="80">
        <f t="shared" si="345"/>
        <v>111521041.37754281</v>
      </c>
      <c r="J736" s="80">
        <f t="shared" si="345"/>
        <v>7336615.3648585407</v>
      </c>
      <c r="K736" s="80">
        <f t="shared" si="345"/>
        <v>116558215.76981474</v>
      </c>
      <c r="L736" s="80">
        <f t="shared" si="345"/>
        <v>122618248.71726324</v>
      </c>
      <c r="M736" s="80">
        <f t="shared" si="345"/>
        <v>93144989.588200808</v>
      </c>
      <c r="N736" s="80">
        <f t="shared" si="345"/>
        <v>59399740.906478226</v>
      </c>
      <c r="O736" s="80">
        <f t="shared" si="345"/>
        <v>3514510.2806068063</v>
      </c>
      <c r="P736" s="80">
        <f t="shared" si="345"/>
        <v>13940199.751734955</v>
      </c>
      <c r="Q736" s="80">
        <f t="shared" si="345"/>
        <v>203197.96655387667</v>
      </c>
      <c r="R736" s="80">
        <f t="shared" si="345"/>
        <v>236321.84228728589</v>
      </c>
      <c r="S736" s="80">
        <f t="shared" si="345"/>
        <v>2613.5763867123087</v>
      </c>
      <c r="T736" s="80">
        <f t="shared" si="345"/>
        <v>48670.207603749564</v>
      </c>
      <c r="U736" s="80">
        <f t="shared" si="345"/>
        <v>145235.08856268827</v>
      </c>
      <c r="V736" s="80">
        <f>V712+V713+V715+V718+V719+V720+V722+V723+V717+V716</f>
        <v>12866.237018367859</v>
      </c>
      <c r="W736" s="80">
        <f>W712+W713+W715+W718+W719+W720+W722+W723+W717+W716</f>
        <v>0</v>
      </c>
      <c r="X736" s="80">
        <f>X712+X713+X715+X718+X719+X720+X722+X723+X717+X716</f>
        <v>0</v>
      </c>
      <c r="Y736" s="80">
        <f>Y712+Y713+Y715+Y718+Y719+Y720+Y722+Y723+Y717+Y716</f>
        <v>0</v>
      </c>
      <c r="Z736" s="80">
        <f>Z712+Z713+Z715+Z718+Z719+Z720+Z722+Z723+Z717+Z716</f>
        <v>0</v>
      </c>
      <c r="AA736" s="80">
        <f>SUM(G736:Z736)</f>
        <v>961979222.97269583</v>
      </c>
      <c r="AB736" s="93" t="str">
        <f>IF(ABS(F736-AA736)&lt;0.01,"ok","err")</f>
        <v>ok</v>
      </c>
    </row>
    <row r="737" spans="1:28" s="60" customFormat="1"/>
    <row r="738" spans="1:28" s="60" customFormat="1">
      <c r="A738" s="60" t="s">
        <v>795</v>
      </c>
      <c r="D738" s="60" t="s">
        <v>799</v>
      </c>
      <c r="F738" s="134">
        <f t="shared" ref="F738:Z738" si="346">F691</f>
        <v>75433705.043134436</v>
      </c>
      <c r="G738" s="134">
        <f t="shared" si="346"/>
        <v>38255752.853161</v>
      </c>
      <c r="H738" s="134">
        <f t="shared" si="346"/>
        <v>60079.38397597523</v>
      </c>
      <c r="I738" s="134">
        <f t="shared" si="346"/>
        <v>8814359.6230740286</v>
      </c>
      <c r="J738" s="134">
        <f t="shared" si="346"/>
        <v>496328.5260433607</v>
      </c>
      <c r="K738" s="134">
        <f t="shared" si="346"/>
        <v>8519752.6151262634</v>
      </c>
      <c r="L738" s="134">
        <f t="shared" si="346"/>
        <v>7238009.6830848549</v>
      </c>
      <c r="M738" s="134">
        <f t="shared" si="346"/>
        <v>6446698.4476342313</v>
      </c>
      <c r="N738" s="134">
        <f t="shared" si="346"/>
        <v>3119065.6699630455</v>
      </c>
      <c r="O738" s="134">
        <f t="shared" si="346"/>
        <v>212365.79270321684</v>
      </c>
      <c r="P738" s="134">
        <f t="shared" si="346"/>
        <v>2246122.8961462332</v>
      </c>
      <c r="Q738" s="134">
        <f t="shared" si="346"/>
        <v>11002.116913155463</v>
      </c>
      <c r="R738" s="134">
        <f t="shared" si="346"/>
        <v>13573.442253445251</v>
      </c>
      <c r="S738" s="134">
        <f t="shared" si="346"/>
        <v>272.38353768394046</v>
      </c>
      <c r="T738" s="134">
        <f t="shared" si="346"/>
        <v>321.60951793468462</v>
      </c>
      <c r="U738" s="134">
        <f t="shared" si="346"/>
        <v>0</v>
      </c>
      <c r="V738" s="134">
        <f t="shared" si="346"/>
        <v>0</v>
      </c>
      <c r="W738" s="134">
        <f t="shared" si="346"/>
        <v>0</v>
      </c>
      <c r="X738" s="134">
        <f t="shared" si="346"/>
        <v>0</v>
      </c>
      <c r="Y738" s="134">
        <f t="shared" si="346"/>
        <v>0</v>
      </c>
      <c r="Z738" s="134">
        <f t="shared" si="346"/>
        <v>0</v>
      </c>
      <c r="AA738" s="134">
        <f>SUM(G738:Z738)</f>
        <v>75433705.043134406</v>
      </c>
      <c r="AB738" s="93" t="str">
        <f>IF(ABS(F738-AA738)&lt;0.01,"ok","err")</f>
        <v>ok</v>
      </c>
    </row>
    <row r="739" spans="1:28" s="60" customFormat="1"/>
    <row r="740" spans="1:28" s="60" customFormat="1">
      <c r="A740" s="60" t="s">
        <v>793</v>
      </c>
      <c r="D740" s="60" t="s">
        <v>796</v>
      </c>
      <c r="F740" s="80">
        <f>F734-F736-F738</f>
        <v>82663007.231493488</v>
      </c>
      <c r="G740" s="80">
        <f t="shared" ref="G740:Z740" si="347">G734-G736-G738</f>
        <v>-15508059.231188916</v>
      </c>
      <c r="H740" s="80">
        <f t="shared" si="347"/>
        <v>-6704.9310548004141</v>
      </c>
      <c r="I740" s="80">
        <f t="shared" si="347"/>
        <v>33686850.67742537</v>
      </c>
      <c r="J740" s="80">
        <f t="shared" si="347"/>
        <v>2665506.533528443</v>
      </c>
      <c r="K740" s="80">
        <f t="shared" si="347"/>
        <v>29414723.153060887</v>
      </c>
      <c r="L740" s="80">
        <f t="shared" si="347"/>
        <v>14477321.155066079</v>
      </c>
      <c r="M740" s="80">
        <f t="shared" si="347"/>
        <v>7705863.4691548534</v>
      </c>
      <c r="N740" s="80">
        <f t="shared" si="347"/>
        <v>3395098.6230414375</v>
      </c>
      <c r="O740" s="80">
        <f>O734-O736-O738</f>
        <v>133109.44909023592</v>
      </c>
      <c r="P740" s="80">
        <f t="shared" si="347"/>
        <v>6508251.3907100735</v>
      </c>
      <c r="Q740" s="80">
        <f t="shared" si="347"/>
        <v>44454.689067784799</v>
      </c>
      <c r="R740" s="80">
        <f t="shared" si="347"/>
        <v>81153.517757407419</v>
      </c>
      <c r="S740" s="80">
        <f t="shared" si="347"/>
        <v>12804.676491501263</v>
      </c>
      <c r="T740" s="80">
        <f t="shared" si="347"/>
        <v>-36296.615075965317</v>
      </c>
      <c r="U740" s="80">
        <f t="shared" si="347"/>
        <v>91860.911437311734</v>
      </c>
      <c r="V740" s="80">
        <f t="shared" si="347"/>
        <v>-2930.2370183678595</v>
      </c>
      <c r="W740" s="80">
        <f t="shared" si="347"/>
        <v>0</v>
      </c>
      <c r="X740" s="80">
        <f t="shared" si="347"/>
        <v>0</v>
      </c>
      <c r="Y740" s="80">
        <f t="shared" si="347"/>
        <v>0</v>
      </c>
      <c r="Z740" s="80">
        <f t="shared" si="347"/>
        <v>0</v>
      </c>
      <c r="AA740" s="80">
        <f>SUM(G740:Z740)</f>
        <v>82663007.231493339</v>
      </c>
      <c r="AB740" s="93" t="str">
        <f>IF(ABS(F740-AA740)&lt;0.01,"ok","err")</f>
        <v>ok</v>
      </c>
    </row>
    <row r="741" spans="1:28" s="60" customFormat="1"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93"/>
    </row>
    <row r="744" spans="1:28" ht="14.1">
      <c r="A744" s="65" t="s">
        <v>198</v>
      </c>
    </row>
    <row r="745" spans="1:28">
      <c r="F745" s="80"/>
    </row>
    <row r="746" spans="1:28" ht="14.1">
      <c r="A746" s="65" t="s">
        <v>1036</v>
      </c>
    </row>
    <row r="747" spans="1:28" s="60" customFormat="1"/>
    <row r="748" spans="1:28" s="60" customFormat="1" hidden="1">
      <c r="A748" s="60" t="s">
        <v>133</v>
      </c>
      <c r="F748" s="80">
        <f t="shared" ref="F748:Z748" si="348">F709</f>
        <v>1120075935.2473235</v>
      </c>
      <c r="G748" s="80">
        <f t="shared" si="348"/>
        <v>455414538.95664698</v>
      </c>
      <c r="H748" s="80">
        <f t="shared" si="348"/>
        <v>683285.41602927947</v>
      </c>
      <c r="I748" s="80">
        <f t="shared" si="348"/>
        <v>154022251.6780422</v>
      </c>
      <c r="J748" s="80">
        <f t="shared" si="348"/>
        <v>10498450.424430344</v>
      </c>
      <c r="K748" s="80">
        <f t="shared" si="348"/>
        <v>154492691.53800189</v>
      </c>
      <c r="L748" s="80">
        <f t="shared" si="348"/>
        <v>144333579.55541417</v>
      </c>
      <c r="M748" s="80">
        <f t="shared" si="348"/>
        <v>107297551.50498989</v>
      </c>
      <c r="N748" s="80">
        <f t="shared" si="348"/>
        <v>65913905.199482709</v>
      </c>
      <c r="O748" s="80">
        <f t="shared" si="348"/>
        <v>3859985.522400259</v>
      </c>
      <c r="P748" s="80">
        <f t="shared" si="348"/>
        <v>22694574.038591262</v>
      </c>
      <c r="Q748" s="80">
        <f t="shared" si="348"/>
        <v>258654.77253481693</v>
      </c>
      <c r="R748" s="80">
        <f t="shared" si="348"/>
        <v>331048.80229813856</v>
      </c>
      <c r="S748" s="80">
        <f t="shared" si="348"/>
        <v>15690.636415897512</v>
      </c>
      <c r="T748" s="80">
        <f t="shared" si="348"/>
        <v>12695.202045718932</v>
      </c>
      <c r="U748" s="80">
        <f t="shared" si="348"/>
        <v>237096</v>
      </c>
      <c r="V748" s="80">
        <f t="shared" si="348"/>
        <v>9936</v>
      </c>
      <c r="W748" s="80">
        <f t="shared" si="348"/>
        <v>0</v>
      </c>
      <c r="X748" s="80">
        <f t="shared" si="348"/>
        <v>0</v>
      </c>
      <c r="Y748" s="80">
        <f t="shared" si="348"/>
        <v>0</v>
      </c>
      <c r="Z748" s="80">
        <f t="shared" si="348"/>
        <v>0</v>
      </c>
      <c r="AA748" s="80">
        <f>SUM(G748:Z748)</f>
        <v>1120075935.2473233</v>
      </c>
      <c r="AB748" s="93" t="str">
        <f>IF(ABS(F748-AA748)&lt;0.01,"ok","err")</f>
        <v>ok</v>
      </c>
    </row>
    <row r="749" spans="1:28" s="60" customFormat="1" hidden="1"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93"/>
    </row>
    <row r="750" spans="1:28" s="60" customFormat="1" hidden="1">
      <c r="A750" s="60" t="s">
        <v>134</v>
      </c>
      <c r="F750" s="80"/>
      <c r="G750" s="80"/>
      <c r="H750" s="80"/>
      <c r="I750" s="80"/>
      <c r="J750" s="80"/>
      <c r="K750" s="80"/>
      <c r="L750" s="80"/>
      <c r="M750" s="80"/>
      <c r="N750" s="80"/>
      <c r="O750" s="217"/>
      <c r="P750" s="217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93"/>
    </row>
    <row r="751" spans="1:28" s="60" customFormat="1" ht="14.1" hidden="1" customHeight="1">
      <c r="B751" s="60" t="s">
        <v>1163</v>
      </c>
      <c r="E751" s="60" t="s">
        <v>129</v>
      </c>
      <c r="F751" s="76"/>
      <c r="G751" s="76">
        <f t="shared" ref="G751:Z751" si="349">IF(VLOOKUP($E751,$D$6:$AN$1150,3,)=0,0,(VLOOKUP($E751,$D$6:$AN$1150,G$2,)/VLOOKUP($E751,$D$6:$AN$1150,3,))*$F751)</f>
        <v>0</v>
      </c>
      <c r="H751" s="76">
        <f t="shared" si="349"/>
        <v>0</v>
      </c>
      <c r="I751" s="76">
        <f t="shared" si="349"/>
        <v>0</v>
      </c>
      <c r="J751" s="76">
        <f t="shared" si="349"/>
        <v>0</v>
      </c>
      <c r="K751" s="76">
        <f t="shared" si="349"/>
        <v>0</v>
      </c>
      <c r="L751" s="76">
        <f t="shared" si="349"/>
        <v>0</v>
      </c>
      <c r="M751" s="76">
        <f t="shared" si="349"/>
        <v>0</v>
      </c>
      <c r="N751" s="76">
        <f t="shared" si="349"/>
        <v>0</v>
      </c>
      <c r="O751" s="76">
        <f t="shared" si="349"/>
        <v>0</v>
      </c>
      <c r="P751" s="76">
        <f t="shared" si="349"/>
        <v>0</v>
      </c>
      <c r="Q751" s="76">
        <f t="shared" si="349"/>
        <v>0</v>
      </c>
      <c r="R751" s="76">
        <f t="shared" si="349"/>
        <v>0</v>
      </c>
      <c r="S751" s="76">
        <f t="shared" si="349"/>
        <v>0</v>
      </c>
      <c r="T751" s="76">
        <f t="shared" si="349"/>
        <v>0</v>
      </c>
      <c r="U751" s="76">
        <f t="shared" si="349"/>
        <v>0</v>
      </c>
      <c r="V751" s="76">
        <f t="shared" si="349"/>
        <v>0</v>
      </c>
      <c r="W751" s="76">
        <f t="shared" si="349"/>
        <v>0</v>
      </c>
      <c r="X751" s="76">
        <f t="shared" si="349"/>
        <v>0</v>
      </c>
      <c r="Y751" s="76">
        <f t="shared" si="349"/>
        <v>0</v>
      </c>
      <c r="Z751" s="76">
        <f t="shared" si="349"/>
        <v>0</v>
      </c>
      <c r="AA751" s="80">
        <f t="shared" ref="AA751:AA752" si="350">SUM(G751:Z751)</f>
        <v>0</v>
      </c>
      <c r="AB751" s="93" t="str">
        <f t="shared" ref="AB751:AB752" si="351">IF(ABS(F751-AA751)&lt;0.01,"ok","err")</f>
        <v>ok</v>
      </c>
    </row>
    <row r="752" spans="1:28" s="60" customFormat="1" hidden="1">
      <c r="B752" s="60" t="s">
        <v>1201</v>
      </c>
      <c r="F752" s="79">
        <v>0</v>
      </c>
      <c r="G752" s="79"/>
      <c r="H752" s="79"/>
      <c r="I752" s="79"/>
      <c r="J752" s="79"/>
      <c r="K752" s="79"/>
      <c r="L752" s="79"/>
      <c r="M752" s="79"/>
      <c r="N752" s="79"/>
      <c r="O752" s="79">
        <v>0</v>
      </c>
      <c r="P752" s="79"/>
      <c r="Q752" s="79">
        <v>0</v>
      </c>
      <c r="R752" s="79"/>
      <c r="S752" s="79"/>
      <c r="T752" s="79"/>
      <c r="U752" s="79"/>
      <c r="V752" s="79"/>
      <c r="W752" s="79"/>
      <c r="X752" s="79"/>
      <c r="Y752" s="79"/>
      <c r="Z752" s="79"/>
      <c r="AA752" s="79">
        <f t="shared" si="350"/>
        <v>0</v>
      </c>
      <c r="AB752" s="93" t="str">
        <f t="shared" si="351"/>
        <v>ok</v>
      </c>
    </row>
    <row r="753" spans="1:28" s="60" customFormat="1">
      <c r="E753" s="112"/>
      <c r="F753" s="80"/>
      <c r="G753" s="80"/>
    </row>
    <row r="754" spans="1:28" s="60" customFormat="1">
      <c r="A754" s="60" t="s">
        <v>135</v>
      </c>
      <c r="E754" s="112"/>
      <c r="F754" s="80">
        <f t="shared" ref="F754:Z754" si="352">SUM(F748:F752)</f>
        <v>1120075935.2473235</v>
      </c>
      <c r="G754" s="80">
        <f t="shared" si="352"/>
        <v>455414538.95664698</v>
      </c>
      <c r="H754" s="80">
        <f t="shared" si="352"/>
        <v>683285.41602927947</v>
      </c>
      <c r="I754" s="80">
        <f t="shared" si="352"/>
        <v>154022251.6780422</v>
      </c>
      <c r="J754" s="80">
        <f t="shared" si="352"/>
        <v>10498450.424430344</v>
      </c>
      <c r="K754" s="80">
        <f t="shared" si="352"/>
        <v>154492691.53800189</v>
      </c>
      <c r="L754" s="80">
        <f t="shared" si="352"/>
        <v>144333579.55541417</v>
      </c>
      <c r="M754" s="80">
        <f t="shared" si="352"/>
        <v>107297551.50498989</v>
      </c>
      <c r="N754" s="80">
        <f t="shared" si="352"/>
        <v>65913905.199482709</v>
      </c>
      <c r="O754" s="80">
        <f t="shared" si="352"/>
        <v>3859985.522400259</v>
      </c>
      <c r="P754" s="80">
        <f t="shared" si="352"/>
        <v>22694574.038591262</v>
      </c>
      <c r="Q754" s="80">
        <f t="shared" si="352"/>
        <v>258654.77253481693</v>
      </c>
      <c r="R754" s="80">
        <f t="shared" si="352"/>
        <v>331048.80229813856</v>
      </c>
      <c r="S754" s="80">
        <f t="shared" si="352"/>
        <v>15690.636415897512</v>
      </c>
      <c r="T754" s="80">
        <f t="shared" si="352"/>
        <v>12695.202045718932</v>
      </c>
      <c r="U754" s="80">
        <f t="shared" si="352"/>
        <v>237096</v>
      </c>
      <c r="V754" s="80">
        <f t="shared" si="352"/>
        <v>9936</v>
      </c>
      <c r="W754" s="80">
        <f t="shared" si="352"/>
        <v>0</v>
      </c>
      <c r="X754" s="80">
        <f t="shared" si="352"/>
        <v>0</v>
      </c>
      <c r="Y754" s="80">
        <f t="shared" si="352"/>
        <v>0</v>
      </c>
      <c r="Z754" s="80">
        <f t="shared" si="352"/>
        <v>0</v>
      </c>
      <c r="AA754" s="80">
        <f>SUM(G754:Z754)</f>
        <v>1120075935.2473233</v>
      </c>
      <c r="AB754" s="93" t="str">
        <f>IF(ABS(F754-AA754)&lt;0.01,"ok","err")</f>
        <v>ok</v>
      </c>
    </row>
    <row r="755" spans="1:28" s="60" customFormat="1" ht="16.5" customHeight="1">
      <c r="E755" s="80"/>
    </row>
    <row r="756" spans="1:28" s="60" customFormat="1" ht="14.1">
      <c r="A756" s="65" t="s">
        <v>1040</v>
      </c>
      <c r="F756" s="80"/>
    </row>
    <row r="757" spans="1:28" s="60" customFormat="1"/>
    <row r="758" spans="1:28">
      <c r="A758" s="68" t="s">
        <v>1041</v>
      </c>
      <c r="F758" s="80">
        <f t="shared" ref="F758:AA758" si="353">F233</f>
        <v>643436661.24131227</v>
      </c>
      <c r="G758" s="80">
        <f t="shared" si="353"/>
        <v>278762508.12792587</v>
      </c>
      <c r="H758" s="80">
        <f t="shared" si="353"/>
        <v>447373.81769263884</v>
      </c>
      <c r="I758" s="80">
        <f t="shared" si="353"/>
        <v>73702756.869020075</v>
      </c>
      <c r="J758" s="80">
        <f t="shared" si="353"/>
        <v>5053917.4220187729</v>
      </c>
      <c r="K758" s="80">
        <f t="shared" si="353"/>
        <v>78024032.461141974</v>
      </c>
      <c r="L758" s="80">
        <f t="shared" si="353"/>
        <v>89077922.490978703</v>
      </c>
      <c r="M758" s="80">
        <f t="shared" si="353"/>
        <v>63823823.941072196</v>
      </c>
      <c r="N758" s="80">
        <f t="shared" si="353"/>
        <v>44243907.921961434</v>
      </c>
      <c r="O758" s="80">
        <f t="shared" si="353"/>
        <v>2539631.6668843967</v>
      </c>
      <c r="P758" s="80">
        <f t="shared" si="353"/>
        <v>7311625.9569701934</v>
      </c>
      <c r="Q758" s="80">
        <f t="shared" si="353"/>
        <v>159155.65324751954</v>
      </c>
      <c r="R758" s="80">
        <f t="shared" si="353"/>
        <v>179664.53677309287</v>
      </c>
      <c r="S758" s="80">
        <f t="shared" si="353"/>
        <v>1861.0365143014963</v>
      </c>
      <c r="T758" s="80">
        <f t="shared" si="353"/>
        <v>26576.339111232573</v>
      </c>
      <c r="U758" s="80">
        <f t="shared" si="353"/>
        <v>71903</v>
      </c>
      <c r="V758" s="80">
        <f t="shared" si="353"/>
        <v>10000</v>
      </c>
      <c r="W758" s="80">
        <f t="shared" si="353"/>
        <v>0</v>
      </c>
      <c r="X758" s="64">
        <f t="shared" si="353"/>
        <v>0</v>
      </c>
      <c r="Y758" s="64">
        <f t="shared" si="353"/>
        <v>0</v>
      </c>
      <c r="Z758" s="64">
        <f t="shared" si="353"/>
        <v>0</v>
      </c>
      <c r="AA758" s="64">
        <f t="shared" si="353"/>
        <v>643436661.24131238</v>
      </c>
      <c r="AB758" s="58" t="str">
        <f t="shared" ref="AB758:AB771" si="354">IF(ABS(F758-AA758)&lt;0.01,"ok","err")</f>
        <v>ok</v>
      </c>
    </row>
    <row r="759" spans="1:28">
      <c r="A759" s="68" t="s">
        <v>1042</v>
      </c>
      <c r="F759" s="79">
        <f t="shared" ref="F759:AA759" si="355">F347</f>
        <v>277122835.61762834</v>
      </c>
      <c r="G759" s="79">
        <f t="shared" si="355"/>
        <v>132895663.60879765</v>
      </c>
      <c r="H759" s="79">
        <f t="shared" si="355"/>
        <v>149551.01077824508</v>
      </c>
      <c r="I759" s="79">
        <f t="shared" si="355"/>
        <v>32977673.946411591</v>
      </c>
      <c r="J759" s="79">
        <f t="shared" si="355"/>
        <v>2010098.9249021292</v>
      </c>
      <c r="K759" s="79">
        <f t="shared" si="355"/>
        <v>33854774.261061154</v>
      </c>
      <c r="L759" s="79">
        <f t="shared" si="355"/>
        <v>29564727.853097949</v>
      </c>
      <c r="M759" s="79">
        <f t="shared" si="355"/>
        <v>25780259.789164845</v>
      </c>
      <c r="N759" s="79">
        <f t="shared" si="355"/>
        <v>13442574.156425172</v>
      </c>
      <c r="O759" s="79">
        <f t="shared" si="355"/>
        <v>858233.47007347806</v>
      </c>
      <c r="P759" s="79">
        <f t="shared" si="355"/>
        <v>5395215.9463536981</v>
      </c>
      <c r="Q759" s="79">
        <f t="shared" si="355"/>
        <v>38000.603804269449</v>
      </c>
      <c r="R759" s="79">
        <f t="shared" si="355"/>
        <v>49207.282498507964</v>
      </c>
      <c r="S759" s="79">
        <f t="shared" si="355"/>
        <v>603.03295431232027</v>
      </c>
      <c r="T759" s="79">
        <f t="shared" si="355"/>
        <v>19227.797097051607</v>
      </c>
      <c r="U759" s="79">
        <f t="shared" si="355"/>
        <v>83869.534208333309</v>
      </c>
      <c r="V759" s="79">
        <f t="shared" si="355"/>
        <v>3154.4</v>
      </c>
      <c r="W759" s="79">
        <f t="shared" si="355"/>
        <v>0</v>
      </c>
      <c r="X759" s="63">
        <f t="shared" si="355"/>
        <v>0</v>
      </c>
      <c r="Y759" s="63">
        <f t="shared" si="355"/>
        <v>0</v>
      </c>
      <c r="Z759" s="63">
        <f t="shared" si="355"/>
        <v>0</v>
      </c>
      <c r="AA759" s="63">
        <f t="shared" si="355"/>
        <v>277122835.61762834</v>
      </c>
      <c r="AB759" s="58" t="str">
        <f t="shared" si="354"/>
        <v>ok</v>
      </c>
    </row>
    <row r="760" spans="1:28" hidden="1">
      <c r="A760" s="111" t="s">
        <v>270</v>
      </c>
      <c r="F760" s="79">
        <f t="shared" ref="F760:Z760" si="356">F714</f>
        <v>0</v>
      </c>
      <c r="G760" s="79">
        <f t="shared" si="356"/>
        <v>0</v>
      </c>
      <c r="H760" s="79">
        <f t="shared" si="356"/>
        <v>0</v>
      </c>
      <c r="I760" s="79">
        <f t="shared" si="356"/>
        <v>0</v>
      </c>
      <c r="J760" s="79">
        <f t="shared" si="356"/>
        <v>0</v>
      </c>
      <c r="K760" s="79">
        <f t="shared" si="356"/>
        <v>0</v>
      </c>
      <c r="L760" s="79">
        <f t="shared" si="356"/>
        <v>0</v>
      </c>
      <c r="M760" s="79">
        <f t="shared" si="356"/>
        <v>0</v>
      </c>
      <c r="N760" s="79">
        <f t="shared" si="356"/>
        <v>0</v>
      </c>
      <c r="O760" s="79">
        <f t="shared" si="356"/>
        <v>0</v>
      </c>
      <c r="P760" s="79">
        <f t="shared" si="356"/>
        <v>0</v>
      </c>
      <c r="Q760" s="79">
        <f t="shared" si="356"/>
        <v>0</v>
      </c>
      <c r="R760" s="79">
        <f t="shared" si="356"/>
        <v>0</v>
      </c>
      <c r="S760" s="79">
        <f t="shared" si="356"/>
        <v>0</v>
      </c>
      <c r="T760" s="79">
        <f t="shared" si="356"/>
        <v>0</v>
      </c>
      <c r="U760" s="79">
        <f t="shared" si="356"/>
        <v>0</v>
      </c>
      <c r="V760" s="79">
        <f t="shared" si="356"/>
        <v>0</v>
      </c>
      <c r="W760" s="79">
        <f t="shared" si="356"/>
        <v>0</v>
      </c>
      <c r="X760" s="63">
        <f t="shared" si="356"/>
        <v>0</v>
      </c>
      <c r="Y760" s="63">
        <f t="shared" si="356"/>
        <v>0</v>
      </c>
      <c r="Z760" s="63">
        <f t="shared" si="356"/>
        <v>0</v>
      </c>
      <c r="AA760" s="63">
        <f t="shared" ref="AA760:AA765" si="357">SUM(G760:Z760)</f>
        <v>0</v>
      </c>
      <c r="AB760" s="58" t="str">
        <f t="shared" si="354"/>
        <v>ok</v>
      </c>
    </row>
    <row r="761" spans="1:28" hidden="1">
      <c r="A761" s="68" t="s">
        <v>762</v>
      </c>
      <c r="F761" s="79">
        <f t="shared" ref="F761:Z761" si="358">F715</f>
        <v>0</v>
      </c>
      <c r="G761" s="79">
        <f t="shared" si="358"/>
        <v>0</v>
      </c>
      <c r="H761" s="79">
        <f t="shared" si="358"/>
        <v>0</v>
      </c>
      <c r="I761" s="79">
        <f t="shared" si="358"/>
        <v>0</v>
      </c>
      <c r="J761" s="79">
        <f t="shared" si="358"/>
        <v>0</v>
      </c>
      <c r="K761" s="79">
        <f t="shared" si="358"/>
        <v>0</v>
      </c>
      <c r="L761" s="79">
        <f t="shared" si="358"/>
        <v>0</v>
      </c>
      <c r="M761" s="79">
        <f t="shared" si="358"/>
        <v>0</v>
      </c>
      <c r="N761" s="79">
        <f t="shared" si="358"/>
        <v>0</v>
      </c>
      <c r="O761" s="79">
        <f t="shared" si="358"/>
        <v>0</v>
      </c>
      <c r="P761" s="79">
        <f t="shared" si="358"/>
        <v>0</v>
      </c>
      <c r="Q761" s="79">
        <f t="shared" si="358"/>
        <v>0</v>
      </c>
      <c r="R761" s="79">
        <f t="shared" si="358"/>
        <v>0</v>
      </c>
      <c r="S761" s="79">
        <f t="shared" si="358"/>
        <v>0</v>
      </c>
      <c r="T761" s="79">
        <f t="shared" si="358"/>
        <v>0</v>
      </c>
      <c r="U761" s="79">
        <f t="shared" si="358"/>
        <v>0</v>
      </c>
      <c r="V761" s="79">
        <f t="shared" si="358"/>
        <v>0</v>
      </c>
      <c r="W761" s="79">
        <f t="shared" si="358"/>
        <v>0</v>
      </c>
      <c r="X761" s="63">
        <f t="shared" si="358"/>
        <v>0</v>
      </c>
      <c r="Y761" s="63">
        <f t="shared" si="358"/>
        <v>0</v>
      </c>
      <c r="Z761" s="63">
        <f t="shared" si="358"/>
        <v>0</v>
      </c>
      <c r="AA761" s="63">
        <f t="shared" si="357"/>
        <v>0</v>
      </c>
      <c r="AB761" s="58" t="str">
        <f t="shared" si="354"/>
        <v>ok</v>
      </c>
    </row>
    <row r="762" spans="1:28" hidden="1">
      <c r="A762" s="60" t="s">
        <v>1092</v>
      </c>
      <c r="F762" s="79">
        <f t="shared" ref="F762:Z762" si="359">F716</f>
        <v>0</v>
      </c>
      <c r="G762" s="79">
        <f t="shared" si="359"/>
        <v>0</v>
      </c>
      <c r="H762" s="79">
        <f t="shared" si="359"/>
        <v>0</v>
      </c>
      <c r="I762" s="79">
        <f t="shared" si="359"/>
        <v>0</v>
      </c>
      <c r="J762" s="79">
        <f t="shared" si="359"/>
        <v>0</v>
      </c>
      <c r="K762" s="79">
        <f t="shared" si="359"/>
        <v>0</v>
      </c>
      <c r="L762" s="79">
        <f t="shared" si="359"/>
        <v>0</v>
      </c>
      <c r="M762" s="79">
        <f t="shared" si="359"/>
        <v>0</v>
      </c>
      <c r="N762" s="79">
        <f t="shared" si="359"/>
        <v>0</v>
      </c>
      <c r="O762" s="79">
        <f t="shared" si="359"/>
        <v>0</v>
      </c>
      <c r="P762" s="79">
        <f t="shared" si="359"/>
        <v>0</v>
      </c>
      <c r="Q762" s="79">
        <f t="shared" si="359"/>
        <v>0</v>
      </c>
      <c r="R762" s="79">
        <f t="shared" si="359"/>
        <v>0</v>
      </c>
      <c r="S762" s="79">
        <f t="shared" si="359"/>
        <v>0</v>
      </c>
      <c r="T762" s="79">
        <f t="shared" si="359"/>
        <v>0</v>
      </c>
      <c r="U762" s="79">
        <f t="shared" si="359"/>
        <v>0</v>
      </c>
      <c r="V762" s="79">
        <f t="shared" si="359"/>
        <v>0</v>
      </c>
      <c r="W762" s="79">
        <f t="shared" si="359"/>
        <v>0</v>
      </c>
      <c r="X762" s="63">
        <f t="shared" si="359"/>
        <v>0</v>
      </c>
      <c r="Y762" s="63">
        <f t="shared" si="359"/>
        <v>0</v>
      </c>
      <c r="Z762" s="63">
        <f t="shared" si="359"/>
        <v>0</v>
      </c>
      <c r="AA762" s="63">
        <f t="shared" si="357"/>
        <v>0</v>
      </c>
      <c r="AB762" s="58" t="str">
        <f t="shared" si="354"/>
        <v>ok</v>
      </c>
    </row>
    <row r="763" spans="1:28" hidden="1">
      <c r="A763" s="60" t="s">
        <v>1093</v>
      </c>
      <c r="F763" s="79">
        <f t="shared" ref="F763:W763" si="360">F717</f>
        <v>0</v>
      </c>
      <c r="G763" s="79">
        <f t="shared" si="360"/>
        <v>0</v>
      </c>
      <c r="H763" s="79">
        <f t="shared" si="360"/>
        <v>0</v>
      </c>
      <c r="I763" s="79">
        <f t="shared" si="360"/>
        <v>0</v>
      </c>
      <c r="J763" s="79">
        <f t="shared" si="360"/>
        <v>0</v>
      </c>
      <c r="K763" s="79">
        <f t="shared" si="360"/>
        <v>0</v>
      </c>
      <c r="L763" s="79">
        <f t="shared" si="360"/>
        <v>0</v>
      </c>
      <c r="M763" s="79">
        <f t="shared" si="360"/>
        <v>0</v>
      </c>
      <c r="N763" s="79">
        <f t="shared" si="360"/>
        <v>0</v>
      </c>
      <c r="O763" s="79">
        <f t="shared" si="360"/>
        <v>0</v>
      </c>
      <c r="P763" s="79">
        <f t="shared" si="360"/>
        <v>0</v>
      </c>
      <c r="Q763" s="79">
        <f t="shared" si="360"/>
        <v>0</v>
      </c>
      <c r="R763" s="79">
        <f t="shared" si="360"/>
        <v>0</v>
      </c>
      <c r="S763" s="79">
        <f t="shared" si="360"/>
        <v>0</v>
      </c>
      <c r="T763" s="79">
        <f t="shared" si="360"/>
        <v>0</v>
      </c>
      <c r="U763" s="79">
        <f t="shared" si="360"/>
        <v>0</v>
      </c>
      <c r="V763" s="79">
        <f t="shared" si="360"/>
        <v>0</v>
      </c>
      <c r="W763" s="79">
        <f t="shared" si="360"/>
        <v>0</v>
      </c>
      <c r="X763" s="63"/>
      <c r="Y763" s="63"/>
      <c r="Z763" s="63"/>
      <c r="AA763" s="63">
        <f t="shared" si="357"/>
        <v>0</v>
      </c>
      <c r="AB763" s="58" t="str">
        <f t="shared" si="354"/>
        <v>ok</v>
      </c>
    </row>
    <row r="764" spans="1:28">
      <c r="A764" s="68" t="s">
        <v>686</v>
      </c>
      <c r="E764" s="60" t="s">
        <v>1025</v>
      </c>
      <c r="F764" s="79">
        <f t="shared" ref="F764:W764" si="361">F718</f>
        <v>42336722.113755003</v>
      </c>
      <c r="G764" s="79">
        <f t="shared" si="361"/>
        <v>21467536.085323267</v>
      </c>
      <c r="H764" s="79">
        <f t="shared" si="361"/>
        <v>33714.122860954667</v>
      </c>
      <c r="I764" s="79">
        <f t="shared" si="361"/>
        <v>4946032.2370691411</v>
      </c>
      <c r="J764" s="79">
        <f t="shared" si="361"/>
        <v>278515.41610546689</v>
      </c>
      <c r="K764" s="79">
        <f t="shared" si="361"/>
        <v>4781050.8525651461</v>
      </c>
      <c r="L764" s="79">
        <f t="shared" si="361"/>
        <v>4061846.4614503561</v>
      </c>
      <c r="M764" s="79">
        <f t="shared" si="361"/>
        <v>3617794.0655234382</v>
      </c>
      <c r="N764" s="79">
        <f t="shared" si="361"/>
        <v>1750334.3681439769</v>
      </c>
      <c r="O764" s="79">
        <f t="shared" si="361"/>
        <v>119176.81806527023</v>
      </c>
      <c r="P764" s="79">
        <f t="shared" si="361"/>
        <v>1260611.2754334728</v>
      </c>
      <c r="Q764" s="79">
        <f t="shared" si="361"/>
        <v>6173.6730235238601</v>
      </c>
      <c r="R764" s="79">
        <f t="shared" si="361"/>
        <v>7612.5724343224174</v>
      </c>
      <c r="S764" s="79">
        <f t="shared" si="361"/>
        <v>152.81568144715962</v>
      </c>
      <c r="T764" s="79">
        <f t="shared" si="361"/>
        <v>2869.9587024969537</v>
      </c>
      <c r="U764" s="79">
        <f t="shared" si="361"/>
        <v>3190.2719496980626</v>
      </c>
      <c r="V764" s="79">
        <f t="shared" si="361"/>
        <v>111.11942302474998</v>
      </c>
      <c r="W764" s="79">
        <f t="shared" si="361"/>
        <v>0</v>
      </c>
      <c r="X764" s="63">
        <f>X718</f>
        <v>0</v>
      </c>
      <c r="Y764" s="63">
        <f>Y718</f>
        <v>0</v>
      </c>
      <c r="Z764" s="63">
        <f>Z718</f>
        <v>0</v>
      </c>
      <c r="AA764" s="63">
        <f t="shared" si="357"/>
        <v>42336722.113755003</v>
      </c>
      <c r="AB764" s="58" t="str">
        <f t="shared" si="354"/>
        <v>ok</v>
      </c>
    </row>
    <row r="765" spans="1:28">
      <c r="A765" s="68" t="s">
        <v>687</v>
      </c>
      <c r="F765" s="79">
        <f t="shared" ref="F765:Z765" si="362">F576</f>
        <v>-916996.00000000012</v>
      </c>
      <c r="G765" s="79">
        <f t="shared" si="362"/>
        <v>-458862.48737190949</v>
      </c>
      <c r="H765" s="79">
        <f t="shared" si="362"/>
        <v>-727.98822373383473</v>
      </c>
      <c r="I765" s="79">
        <f t="shared" si="362"/>
        <v>-105421.67495801237</v>
      </c>
      <c r="J765" s="79">
        <f t="shared" si="362"/>
        <v>-5916.3981678281643</v>
      </c>
      <c r="K765" s="79">
        <f t="shared" si="362"/>
        <v>-101641.80495353245</v>
      </c>
      <c r="L765" s="79">
        <f t="shared" si="362"/>
        <v>-86248.088263757658</v>
      </c>
      <c r="M765" s="79">
        <f t="shared" si="362"/>
        <v>-76888.20755966939</v>
      </c>
      <c r="N765" s="79">
        <f t="shared" si="362"/>
        <v>-37075.540052353863</v>
      </c>
      <c r="O765" s="79">
        <f t="shared" si="362"/>
        <v>-2531.6744163383464</v>
      </c>
      <c r="P765" s="79">
        <f t="shared" si="362"/>
        <v>-27253.427022410709</v>
      </c>
      <c r="Q765" s="79">
        <f t="shared" si="362"/>
        <v>-131.96352143618196</v>
      </c>
      <c r="R765" s="79">
        <f t="shared" si="362"/>
        <v>-162.54941863734248</v>
      </c>
      <c r="S765" s="79">
        <f t="shared" si="362"/>
        <v>-3.3087633486676418</v>
      </c>
      <c r="T765" s="79">
        <f t="shared" si="362"/>
        <v>-3.8873070315677523</v>
      </c>
      <c r="U765" s="79">
        <f t="shared" si="362"/>
        <v>-13727.717595343111</v>
      </c>
      <c r="V765" s="79">
        <f t="shared" si="362"/>
        <v>-399.28240465688896</v>
      </c>
      <c r="W765" s="79">
        <f t="shared" si="362"/>
        <v>0</v>
      </c>
      <c r="X765" s="63">
        <f t="shared" si="362"/>
        <v>0</v>
      </c>
      <c r="Y765" s="63">
        <f t="shared" si="362"/>
        <v>0</v>
      </c>
      <c r="Z765" s="63">
        <f t="shared" si="362"/>
        <v>0</v>
      </c>
      <c r="AA765" s="63">
        <f t="shared" si="357"/>
        <v>-916995.99999999988</v>
      </c>
      <c r="AB765" s="58" t="str">
        <f t="shared" si="354"/>
        <v>ok</v>
      </c>
    </row>
    <row r="766" spans="1:28" hidden="1">
      <c r="A766" s="68" t="s">
        <v>652</v>
      </c>
      <c r="F766" s="79">
        <f t="shared" ref="F766:AA766" si="363">F720</f>
        <v>0</v>
      </c>
      <c r="G766" s="79">
        <f t="shared" si="363"/>
        <v>0</v>
      </c>
      <c r="H766" s="79">
        <f t="shared" si="363"/>
        <v>0</v>
      </c>
      <c r="I766" s="79">
        <f t="shared" si="363"/>
        <v>0</v>
      </c>
      <c r="J766" s="79">
        <f t="shared" si="363"/>
        <v>0</v>
      </c>
      <c r="K766" s="79">
        <f t="shared" si="363"/>
        <v>0</v>
      </c>
      <c r="L766" s="79">
        <f t="shared" si="363"/>
        <v>0</v>
      </c>
      <c r="M766" s="79">
        <f t="shared" si="363"/>
        <v>0</v>
      </c>
      <c r="N766" s="79">
        <f t="shared" si="363"/>
        <v>0</v>
      </c>
      <c r="O766" s="79">
        <f t="shared" si="363"/>
        <v>0</v>
      </c>
      <c r="P766" s="79">
        <f t="shared" si="363"/>
        <v>0</v>
      </c>
      <c r="Q766" s="79">
        <f t="shared" si="363"/>
        <v>0</v>
      </c>
      <c r="R766" s="79">
        <f t="shared" si="363"/>
        <v>0</v>
      </c>
      <c r="S766" s="79">
        <f t="shared" si="363"/>
        <v>0</v>
      </c>
      <c r="T766" s="79">
        <f t="shared" si="363"/>
        <v>0</v>
      </c>
      <c r="U766" s="79">
        <f t="shared" si="363"/>
        <v>0</v>
      </c>
      <c r="V766" s="79">
        <f t="shared" si="363"/>
        <v>0</v>
      </c>
      <c r="W766" s="79">
        <f t="shared" si="363"/>
        <v>0</v>
      </c>
      <c r="X766" s="63">
        <f t="shared" si="363"/>
        <v>0</v>
      </c>
      <c r="Y766" s="63">
        <f t="shared" si="363"/>
        <v>0</v>
      </c>
      <c r="Z766" s="63">
        <f t="shared" si="363"/>
        <v>0</v>
      </c>
      <c r="AA766" s="63">
        <f t="shared" si="363"/>
        <v>0</v>
      </c>
      <c r="AB766" s="58" t="str">
        <f t="shared" si="354"/>
        <v>ok</v>
      </c>
    </row>
    <row r="767" spans="1:28">
      <c r="A767" s="68" t="s">
        <v>196</v>
      </c>
      <c r="E767" s="60" t="s">
        <v>796</v>
      </c>
      <c r="F767" s="79">
        <f>F721</f>
        <v>7757584.4088109927</v>
      </c>
      <c r="G767" s="79">
        <f t="shared" ref="G767:Z767" si="364">IF(VLOOKUP($E767,$D$6:$AN$1150,3,)=0,0,(VLOOKUP($E767,$D$6:$AN$1150,G$2,)/VLOOKUP($E767,$D$6:$AN$1150,3,))*$F767)</f>
        <v>-1455367.7942768324</v>
      </c>
      <c r="H767" s="79">
        <f t="shared" si="364"/>
        <v>-629.23029726234881</v>
      </c>
      <c r="I767" s="79">
        <f t="shared" si="364"/>
        <v>3161372.8601150671</v>
      </c>
      <c r="J767" s="79">
        <f t="shared" si="364"/>
        <v>250146.86276990522</v>
      </c>
      <c r="K767" s="79">
        <f t="shared" si="364"/>
        <v>2760451.2025875174</v>
      </c>
      <c r="L767" s="79">
        <f t="shared" si="364"/>
        <v>1358637.2506310409</v>
      </c>
      <c r="M767" s="79">
        <f t="shared" si="364"/>
        <v>723163.70171888603</v>
      </c>
      <c r="N767" s="79">
        <f t="shared" si="364"/>
        <v>318616.08991219464</v>
      </c>
      <c r="O767" s="79">
        <f t="shared" si="364"/>
        <v>12491.7762069322</v>
      </c>
      <c r="P767" s="79">
        <f t="shared" si="364"/>
        <v>610772.7169398159</v>
      </c>
      <c r="Q767" s="79">
        <f t="shared" si="364"/>
        <v>4171.8903577391329</v>
      </c>
      <c r="R767" s="79">
        <f t="shared" si="364"/>
        <v>7615.9250087768132</v>
      </c>
      <c r="S767" s="79">
        <f t="shared" si="364"/>
        <v>1201.6664048062139</v>
      </c>
      <c r="T767" s="79">
        <f t="shared" si="364"/>
        <v>-3406.2885519926581</v>
      </c>
      <c r="U767" s="79">
        <f t="shared" si="364"/>
        <v>8620.7700180759803</v>
      </c>
      <c r="V767" s="79">
        <f t="shared" si="364"/>
        <v>-274.99073369243331</v>
      </c>
      <c r="W767" s="79">
        <f t="shared" si="364"/>
        <v>0</v>
      </c>
      <c r="X767" s="63">
        <f t="shared" si="364"/>
        <v>0</v>
      </c>
      <c r="Y767" s="63">
        <f t="shared" si="364"/>
        <v>0</v>
      </c>
      <c r="Z767" s="63">
        <f t="shared" si="364"/>
        <v>0</v>
      </c>
      <c r="AA767" s="63">
        <f>SUM(G767:Z767)</f>
        <v>7757584.4088109778</v>
      </c>
      <c r="AB767" s="58" t="str">
        <f t="shared" si="354"/>
        <v>ok</v>
      </c>
    </row>
    <row r="768" spans="1:28">
      <c r="A768" s="68" t="s">
        <v>659</v>
      </c>
      <c r="F768" s="79">
        <f>-F1121</f>
        <v>-2468360</v>
      </c>
      <c r="G768" s="79">
        <f t="shared" ref="G768:J770" si="365">G1119</f>
        <v>0</v>
      </c>
      <c r="H768" s="79">
        <f t="shared" si="365"/>
        <v>0</v>
      </c>
      <c r="I768" s="79">
        <f t="shared" si="365"/>
        <v>0</v>
      </c>
      <c r="J768" s="79">
        <f t="shared" si="365"/>
        <v>0</v>
      </c>
      <c r="K768" s="79">
        <f>-K1119</f>
        <v>0</v>
      </c>
      <c r="L768" s="79">
        <f>-L1121</f>
        <v>-142467</v>
      </c>
      <c r="M768" s="79">
        <f>-M1119</f>
        <v>0</v>
      </c>
      <c r="N768" s="79">
        <f>-N1121</f>
        <v>-2325893</v>
      </c>
      <c r="O768" s="79">
        <f>-O1119</f>
        <v>0</v>
      </c>
      <c r="P768" s="79">
        <v>0</v>
      </c>
      <c r="Q768" s="79">
        <f t="shared" ref="Q768:Z770" si="366">Q1119</f>
        <v>0</v>
      </c>
      <c r="R768" s="79">
        <f t="shared" si="366"/>
        <v>0</v>
      </c>
      <c r="S768" s="79">
        <f t="shared" si="366"/>
        <v>0</v>
      </c>
      <c r="T768" s="79">
        <f t="shared" si="366"/>
        <v>0</v>
      </c>
      <c r="U768" s="79">
        <f t="shared" si="366"/>
        <v>0</v>
      </c>
      <c r="V768" s="79">
        <f t="shared" si="366"/>
        <v>0</v>
      </c>
      <c r="W768" s="79">
        <f t="shared" si="366"/>
        <v>0</v>
      </c>
      <c r="X768" s="63">
        <f t="shared" si="366"/>
        <v>0</v>
      </c>
      <c r="Y768" s="63">
        <f t="shared" si="366"/>
        <v>0</v>
      </c>
      <c r="Z768" s="63">
        <f t="shared" si="366"/>
        <v>0</v>
      </c>
      <c r="AA768" s="63">
        <f>SUM(G768:Z768)</f>
        <v>-2468360</v>
      </c>
      <c r="AB768" s="58" t="str">
        <f t="shared" ref="AB768:AB769" si="367">IF(ABS(F768-AA768)&lt;0.01,"ok","err")</f>
        <v>ok</v>
      </c>
    </row>
    <row r="769" spans="1:54">
      <c r="A769" s="68" t="s">
        <v>660</v>
      </c>
      <c r="E769" s="60" t="s">
        <v>661</v>
      </c>
      <c r="F769" s="79">
        <f>-F768</f>
        <v>2468360</v>
      </c>
      <c r="G769" s="79">
        <f t="shared" ref="G769:Z769" si="368">IF(VLOOKUP($E769,$D$6:$AN$1150,3,)=0,0,(VLOOKUP($E769,$D$6:$AN$1150,G$2,)/VLOOKUP($E769,$D$6:$AN$1150,3,))*$F769)</f>
        <v>1080956.3697067306</v>
      </c>
      <c r="H769" s="79">
        <f t="shared" si="368"/>
        <v>411.61909332314582</v>
      </c>
      <c r="I769" s="79">
        <f t="shared" si="368"/>
        <v>302010.03604700073</v>
      </c>
      <c r="J769" s="79">
        <f t="shared" si="368"/>
        <v>20465.479357403608</v>
      </c>
      <c r="K769" s="79">
        <f t="shared" si="368"/>
        <v>336699.21456988534</v>
      </c>
      <c r="L769" s="79">
        <f t="shared" si="368"/>
        <v>303928.14513800305</v>
      </c>
      <c r="M769" s="79">
        <f t="shared" si="368"/>
        <v>258577.97450933841</v>
      </c>
      <c r="N769" s="79">
        <f t="shared" si="368"/>
        <v>146911.89141154609</v>
      </c>
      <c r="O769" s="79">
        <f t="shared" si="368"/>
        <v>8720.8522003665876</v>
      </c>
      <c r="P769" s="79">
        <f t="shared" si="368"/>
        <v>8937.9691349388104</v>
      </c>
      <c r="Q769" s="79">
        <f t="shared" si="368"/>
        <v>311.30964731234235</v>
      </c>
      <c r="R769" s="79">
        <f t="shared" si="368"/>
        <v>428.71684020430052</v>
      </c>
      <c r="S769" s="79">
        <f t="shared" si="368"/>
        <v>0.42234394669388503</v>
      </c>
      <c r="T769" s="79">
        <f t="shared" si="368"/>
        <v>0</v>
      </c>
      <c r="U769" s="79">
        <f t="shared" si="368"/>
        <v>0</v>
      </c>
      <c r="V769" s="79">
        <f t="shared" si="368"/>
        <v>0</v>
      </c>
      <c r="W769" s="79">
        <f t="shared" si="368"/>
        <v>0</v>
      </c>
      <c r="X769" s="63">
        <f t="shared" si="368"/>
        <v>0</v>
      </c>
      <c r="Y769" s="63">
        <f t="shared" si="368"/>
        <v>0</v>
      </c>
      <c r="Z769" s="63">
        <f t="shared" si="368"/>
        <v>0</v>
      </c>
      <c r="AA769" s="63">
        <f>SUM(G769:Z769)</f>
        <v>2468359.9999999995</v>
      </c>
      <c r="AB769" s="58" t="str">
        <f t="shared" si="367"/>
        <v>ok</v>
      </c>
    </row>
    <row r="770" spans="1:54">
      <c r="A770" s="68" t="s">
        <v>659</v>
      </c>
      <c r="F770" s="142">
        <f>H770</f>
        <v>407423.64915000001</v>
      </c>
      <c r="G770" s="142"/>
      <c r="H770" s="142">
        <f>(5734323*(0.09278-0.02173))</f>
        <v>407423.64915000001</v>
      </c>
      <c r="I770" s="142">
        <f t="shared" si="365"/>
        <v>0</v>
      </c>
      <c r="J770" s="142">
        <f t="shared" si="365"/>
        <v>0</v>
      </c>
      <c r="K770" s="142">
        <f>-K1121</f>
        <v>0</v>
      </c>
      <c r="L770" s="142">
        <f>-L1123</f>
        <v>0</v>
      </c>
      <c r="M770" s="142">
        <f>-M1121</f>
        <v>0</v>
      </c>
      <c r="N770" s="142">
        <f>-N1123</f>
        <v>0</v>
      </c>
      <c r="O770" s="142">
        <f>-O1121</f>
        <v>0</v>
      </c>
      <c r="P770" s="142">
        <v>0</v>
      </c>
      <c r="Q770" s="142">
        <f t="shared" si="366"/>
        <v>0</v>
      </c>
      <c r="R770" s="142">
        <f t="shared" si="366"/>
        <v>0</v>
      </c>
      <c r="S770" s="142">
        <f t="shared" si="366"/>
        <v>0</v>
      </c>
      <c r="T770" s="142">
        <f t="shared" si="366"/>
        <v>0</v>
      </c>
      <c r="U770" s="142">
        <f t="shared" si="366"/>
        <v>0</v>
      </c>
      <c r="V770" s="142">
        <f t="shared" si="366"/>
        <v>0</v>
      </c>
      <c r="W770" s="142">
        <f t="shared" si="366"/>
        <v>0</v>
      </c>
      <c r="X770" s="349">
        <f t="shared" si="366"/>
        <v>0</v>
      </c>
      <c r="Y770" s="349">
        <f t="shared" si="366"/>
        <v>0</v>
      </c>
      <c r="Z770" s="349">
        <f t="shared" si="366"/>
        <v>0</v>
      </c>
      <c r="AA770" s="349">
        <f>SUM(G770:Z770)</f>
        <v>407423.64915000001</v>
      </c>
      <c r="AB770" s="268" t="str">
        <f t="shared" ref="AB770" si="369">IF(ABS(F770-AA770)&lt;0.01,"ok","err")</f>
        <v>ok</v>
      </c>
      <c r="AC770" s="69"/>
      <c r="AD770" s="69"/>
      <c r="AE770" s="69"/>
      <c r="AF770" s="69"/>
      <c r="AG770" s="69"/>
      <c r="AH770" s="69"/>
      <c r="AI770" s="69"/>
    </row>
    <row r="771" spans="1:54">
      <c r="A771" s="68" t="s">
        <v>1407</v>
      </c>
      <c r="E771" s="60" t="s">
        <v>854</v>
      </c>
      <c r="F771" s="79">
        <f>-F770</f>
        <v>-407423.64915000001</v>
      </c>
      <c r="G771" s="79">
        <f t="shared" ref="G771:Z771" si="370">IF(VLOOKUP($E771,$D$6:$AN$1150,3,)=0,0,(VLOOKUP($E771,$D$6:$AN$1150,G$2,)/VLOOKUP($E771,$D$6:$AN$1150,3,))*$F771)</f>
        <v>-146258.60211286336</v>
      </c>
      <c r="H771" s="79">
        <f t="shared" si="370"/>
        <v>-187.82657835338188</v>
      </c>
      <c r="I771" s="79">
        <f t="shared" si="370"/>
        <v>-43295.789827298053</v>
      </c>
      <c r="J771" s="79">
        <f t="shared" si="370"/>
        <v>-3668.0891687159919</v>
      </c>
      <c r="K771" s="79">
        <f t="shared" si="370"/>
        <v>-54572.293271885013</v>
      </c>
      <c r="L771" s="79">
        <f t="shared" si="370"/>
        <v>-70544.186457822492</v>
      </c>
      <c r="M771" s="79">
        <f t="shared" si="370"/>
        <v>-46588.598109339393</v>
      </c>
      <c r="N771" s="79">
        <f t="shared" si="370"/>
        <v>-36490.609061882729</v>
      </c>
      <c r="O771" s="79">
        <f t="shared" si="370"/>
        <v>-1994.9176358941711</v>
      </c>
      <c r="P771" s="79">
        <f t="shared" si="370"/>
        <v>-3580.6408305246264</v>
      </c>
      <c r="Q771" s="79">
        <f t="shared" si="370"/>
        <v>-124.7137931728723</v>
      </c>
      <c r="R771" s="79">
        <f t="shared" si="370"/>
        <v>-116.30450881216949</v>
      </c>
      <c r="S771" s="79">
        <f t="shared" si="370"/>
        <v>-0.41773537525909737</v>
      </c>
      <c r="T771" s="79">
        <f t="shared" si="370"/>
        <v>-0.66005806047433124</v>
      </c>
      <c r="U771" s="79">
        <f t="shared" si="370"/>
        <v>0</v>
      </c>
      <c r="V771" s="79">
        <f t="shared" si="370"/>
        <v>0</v>
      </c>
      <c r="W771" s="79">
        <f t="shared" si="370"/>
        <v>0</v>
      </c>
      <c r="X771" s="63">
        <f t="shared" si="370"/>
        <v>0</v>
      </c>
      <c r="Y771" s="63">
        <f t="shared" si="370"/>
        <v>0</v>
      </c>
      <c r="Z771" s="63">
        <f t="shared" si="370"/>
        <v>0</v>
      </c>
      <c r="AA771" s="63">
        <f>SUM(G771:Z771)</f>
        <v>-407423.6491499999</v>
      </c>
      <c r="AB771" s="58" t="str">
        <f t="shared" si="354"/>
        <v>ok</v>
      </c>
    </row>
    <row r="772" spans="1:54">
      <c r="A772" s="68"/>
      <c r="D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63"/>
      <c r="Y772" s="63"/>
      <c r="Z772" s="63"/>
      <c r="AA772" s="63"/>
      <c r="AB772" s="58"/>
    </row>
    <row r="773" spans="1:54" hidden="1">
      <c r="A773" s="60" t="s">
        <v>197</v>
      </c>
      <c r="AA773" s="64"/>
      <c r="AB773" s="58"/>
    </row>
    <row r="774" spans="1:54" s="60" customFormat="1" hidden="1">
      <c r="B774" s="60" t="s">
        <v>1164</v>
      </c>
      <c r="E774" s="60" t="s">
        <v>1037</v>
      </c>
      <c r="F774" s="79"/>
      <c r="G774" s="79">
        <f t="shared" ref="G774:P775" si="371">IF(VLOOKUP($E774,$D$6:$AN$1150,3,)=0,0,(VLOOKUP($E774,$D$6:$AN$1150,G$2,)/VLOOKUP($E774,$D$6:$AN$1150,3,))*$F774)</f>
        <v>0</v>
      </c>
      <c r="H774" s="79">
        <f t="shared" si="371"/>
        <v>0</v>
      </c>
      <c r="I774" s="79">
        <f t="shared" si="371"/>
        <v>0</v>
      </c>
      <c r="J774" s="79">
        <f t="shared" si="371"/>
        <v>0</v>
      </c>
      <c r="K774" s="79">
        <f t="shared" si="371"/>
        <v>0</v>
      </c>
      <c r="L774" s="79">
        <f t="shared" si="371"/>
        <v>0</v>
      </c>
      <c r="M774" s="79">
        <f t="shared" si="371"/>
        <v>0</v>
      </c>
      <c r="N774" s="79">
        <f t="shared" si="371"/>
        <v>0</v>
      </c>
      <c r="O774" s="79">
        <f t="shared" si="371"/>
        <v>0</v>
      </c>
      <c r="P774" s="79">
        <f t="shared" si="371"/>
        <v>0</v>
      </c>
      <c r="Q774" s="79">
        <f t="shared" ref="Q774:Z775" si="372">IF(VLOOKUP($E774,$D$6:$AN$1150,3,)=0,0,(VLOOKUP($E774,$D$6:$AN$1150,Q$2,)/VLOOKUP($E774,$D$6:$AN$1150,3,))*$F774)</f>
        <v>0</v>
      </c>
      <c r="R774" s="79">
        <f t="shared" si="372"/>
        <v>0</v>
      </c>
      <c r="S774" s="79">
        <f t="shared" si="372"/>
        <v>0</v>
      </c>
      <c r="T774" s="79">
        <f t="shared" si="372"/>
        <v>0</v>
      </c>
      <c r="U774" s="79">
        <f t="shared" si="372"/>
        <v>0</v>
      </c>
      <c r="V774" s="79">
        <f t="shared" si="372"/>
        <v>0</v>
      </c>
      <c r="W774" s="79">
        <f t="shared" si="372"/>
        <v>0</v>
      </c>
      <c r="X774" s="79">
        <f t="shared" si="372"/>
        <v>0</v>
      </c>
      <c r="Y774" s="79">
        <f t="shared" si="372"/>
        <v>0</v>
      </c>
      <c r="Z774" s="79">
        <f t="shared" si="372"/>
        <v>0</v>
      </c>
      <c r="AA774" s="79">
        <f t="shared" ref="AA774:AA775" si="373">SUM(G774:Z774)</f>
        <v>0</v>
      </c>
      <c r="AB774" s="93" t="str">
        <f t="shared" ref="AB774:AB776" si="374">IF(ABS(F774-AA774)&lt;0.01,"ok","err")</f>
        <v>ok</v>
      </c>
    </row>
    <row r="775" spans="1:54" s="70" customFormat="1" hidden="1">
      <c r="B775" s="70" t="s">
        <v>1100</v>
      </c>
      <c r="E775" s="70" t="s">
        <v>796</v>
      </c>
      <c r="F775" s="143">
        <v>0</v>
      </c>
      <c r="G775" s="143">
        <f t="shared" si="371"/>
        <v>0</v>
      </c>
      <c r="H775" s="143">
        <f t="shared" si="371"/>
        <v>0</v>
      </c>
      <c r="I775" s="143">
        <f t="shared" si="371"/>
        <v>0</v>
      </c>
      <c r="J775" s="143">
        <f t="shared" si="371"/>
        <v>0</v>
      </c>
      <c r="K775" s="143">
        <f t="shared" si="371"/>
        <v>0</v>
      </c>
      <c r="L775" s="143">
        <f t="shared" si="371"/>
        <v>0</v>
      </c>
      <c r="M775" s="143">
        <f t="shared" si="371"/>
        <v>0</v>
      </c>
      <c r="N775" s="143">
        <f t="shared" si="371"/>
        <v>0</v>
      </c>
      <c r="O775" s="143">
        <f t="shared" si="371"/>
        <v>0</v>
      </c>
      <c r="P775" s="143">
        <f t="shared" si="371"/>
        <v>0</v>
      </c>
      <c r="Q775" s="143">
        <f t="shared" si="372"/>
        <v>0</v>
      </c>
      <c r="R775" s="143">
        <f t="shared" si="372"/>
        <v>0</v>
      </c>
      <c r="S775" s="143">
        <f t="shared" si="372"/>
        <v>0</v>
      </c>
      <c r="T775" s="143">
        <f t="shared" si="372"/>
        <v>0</v>
      </c>
      <c r="U775" s="143">
        <f t="shared" si="372"/>
        <v>0</v>
      </c>
      <c r="V775" s="142">
        <f t="shared" si="372"/>
        <v>0</v>
      </c>
      <c r="W775" s="142">
        <f t="shared" si="372"/>
        <v>0</v>
      </c>
      <c r="X775" s="142">
        <f t="shared" si="372"/>
        <v>0</v>
      </c>
      <c r="Y775" s="142">
        <f t="shared" si="372"/>
        <v>0</v>
      </c>
      <c r="Z775" s="142">
        <f t="shared" si="372"/>
        <v>0</v>
      </c>
      <c r="AA775" s="142">
        <f t="shared" si="373"/>
        <v>0</v>
      </c>
      <c r="AB775" s="141" t="str">
        <f t="shared" si="374"/>
        <v>ok</v>
      </c>
    </row>
    <row r="776" spans="1:54" s="60" customFormat="1" hidden="1">
      <c r="A776" s="60" t="s">
        <v>668</v>
      </c>
      <c r="F776" s="79">
        <f t="shared" ref="F776:Z776" si="375">SUM(F774:F775)</f>
        <v>0</v>
      </c>
      <c r="G776" s="79">
        <f t="shared" si="375"/>
        <v>0</v>
      </c>
      <c r="H776" s="79">
        <f t="shared" si="375"/>
        <v>0</v>
      </c>
      <c r="I776" s="79">
        <f t="shared" si="375"/>
        <v>0</v>
      </c>
      <c r="J776" s="79">
        <f t="shared" si="375"/>
        <v>0</v>
      </c>
      <c r="K776" s="79">
        <f t="shared" si="375"/>
        <v>0</v>
      </c>
      <c r="L776" s="79">
        <f t="shared" si="375"/>
        <v>0</v>
      </c>
      <c r="M776" s="79">
        <f t="shared" si="375"/>
        <v>0</v>
      </c>
      <c r="N776" s="79">
        <f t="shared" si="375"/>
        <v>0</v>
      </c>
      <c r="O776" s="79">
        <f t="shared" si="375"/>
        <v>0</v>
      </c>
      <c r="P776" s="79">
        <f t="shared" si="375"/>
        <v>0</v>
      </c>
      <c r="Q776" s="79">
        <f t="shared" si="375"/>
        <v>0</v>
      </c>
      <c r="R776" s="79">
        <f t="shared" si="375"/>
        <v>0</v>
      </c>
      <c r="S776" s="79">
        <f t="shared" si="375"/>
        <v>0</v>
      </c>
      <c r="T776" s="79">
        <f t="shared" si="375"/>
        <v>0</v>
      </c>
      <c r="U776" s="79">
        <f t="shared" si="375"/>
        <v>0</v>
      </c>
      <c r="V776" s="79">
        <f t="shared" si="375"/>
        <v>0</v>
      </c>
      <c r="W776" s="79">
        <f t="shared" si="375"/>
        <v>0</v>
      </c>
      <c r="X776" s="79">
        <f t="shared" si="375"/>
        <v>0</v>
      </c>
      <c r="Y776" s="79">
        <f t="shared" si="375"/>
        <v>0</v>
      </c>
      <c r="Z776" s="79">
        <f t="shared" si="375"/>
        <v>0</v>
      </c>
      <c r="AA776" s="149">
        <f>SUM(G776:Z776)</f>
        <v>0</v>
      </c>
      <c r="AB776" s="141" t="str">
        <f t="shared" si="374"/>
        <v>ok</v>
      </c>
    </row>
    <row r="777" spans="1:54" s="60" customFormat="1">
      <c r="AA777" s="149"/>
      <c r="AB777" s="141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</row>
    <row r="778" spans="1:54" s="60" customFormat="1">
      <c r="A778" s="60" t="s">
        <v>1043</v>
      </c>
      <c r="D778" s="60" t="s">
        <v>1004</v>
      </c>
      <c r="F778" s="80">
        <f t="shared" ref="F778:Z778" si="376">SUM(F758:F775)</f>
        <v>969736807.38150656</v>
      </c>
      <c r="G778" s="80">
        <f t="shared" si="376"/>
        <v>432146175.30799192</v>
      </c>
      <c r="H778" s="80">
        <f t="shared" si="376"/>
        <v>1036929.174475812</v>
      </c>
      <c r="I778" s="80">
        <f t="shared" si="376"/>
        <v>114941128.48387757</v>
      </c>
      <c r="J778" s="80">
        <f t="shared" si="376"/>
        <v>7603559.6178171337</v>
      </c>
      <c r="K778" s="80">
        <f t="shared" si="376"/>
        <v>119600793.89370026</v>
      </c>
      <c r="L778" s="80">
        <f t="shared" si="376"/>
        <v>124067802.92657445</v>
      </c>
      <c r="M778" s="80">
        <f t="shared" si="376"/>
        <v>94080142.666319698</v>
      </c>
      <c r="N778" s="80">
        <f t="shared" si="376"/>
        <v>57502885.278740078</v>
      </c>
      <c r="O778" s="80">
        <f t="shared" si="376"/>
        <v>3533727.9913782105</v>
      </c>
      <c r="P778" s="80">
        <f t="shared" si="376"/>
        <v>14556329.796979185</v>
      </c>
      <c r="Q778" s="80">
        <f t="shared" si="376"/>
        <v>207556.45276575527</v>
      </c>
      <c r="R778" s="80">
        <f t="shared" si="376"/>
        <v>244250.17962745481</v>
      </c>
      <c r="S778" s="80">
        <f t="shared" si="376"/>
        <v>3815.2474000899574</v>
      </c>
      <c r="T778" s="80">
        <f t="shared" si="376"/>
        <v>45263.258993696436</v>
      </c>
      <c r="U778" s="80">
        <f t="shared" si="376"/>
        <v>153855.85858076424</v>
      </c>
      <c r="V778" s="80">
        <f t="shared" si="376"/>
        <v>12591.246284675426</v>
      </c>
      <c r="W778" s="80">
        <f t="shared" si="376"/>
        <v>0</v>
      </c>
      <c r="X778" s="80">
        <f t="shared" si="376"/>
        <v>0</v>
      </c>
      <c r="Y778" s="80">
        <f t="shared" si="376"/>
        <v>0</v>
      </c>
      <c r="Z778" s="80">
        <f t="shared" si="376"/>
        <v>0</v>
      </c>
      <c r="AA778" s="80">
        <f>SUM(G778:Z778)</f>
        <v>969736807.38150668</v>
      </c>
      <c r="AB778" s="93" t="str">
        <f>IF(ABS(F778-AA778)&lt;0.01,"ok","err")</f>
        <v>ok</v>
      </c>
    </row>
    <row r="779" spans="1:54" s="60" customFormat="1"/>
    <row r="780" spans="1:54" s="60" customFormat="1" ht="14.1">
      <c r="A780" s="65" t="s">
        <v>822</v>
      </c>
      <c r="F780" s="80">
        <f t="shared" ref="F780:AA780" si="377">F754-F778</f>
        <v>150339127.86581695</v>
      </c>
      <c r="G780" s="80">
        <f t="shared" si="377"/>
        <v>23268363.648655057</v>
      </c>
      <c r="H780" s="80">
        <f t="shared" si="377"/>
        <v>-353643.75844653253</v>
      </c>
      <c r="I780" s="80">
        <f t="shared" si="377"/>
        <v>39081123.194164634</v>
      </c>
      <c r="J780" s="80">
        <f t="shared" si="377"/>
        <v>2894890.8066132106</v>
      </c>
      <c r="K780" s="80">
        <f t="shared" si="377"/>
        <v>34891897.644301638</v>
      </c>
      <c r="L780" s="80">
        <f t="shared" si="377"/>
        <v>20265776.628839716</v>
      </c>
      <c r="M780" s="80">
        <f t="shared" si="377"/>
        <v>13217408.838670194</v>
      </c>
      <c r="N780" s="80">
        <f t="shared" si="377"/>
        <v>8411019.920742631</v>
      </c>
      <c r="O780" s="80">
        <f t="shared" si="377"/>
        <v>326257.53102204856</v>
      </c>
      <c r="P780" s="80">
        <f t="shared" si="377"/>
        <v>8138244.2416120768</v>
      </c>
      <c r="Q780" s="80">
        <f t="shared" si="377"/>
        <v>51098.319769061665</v>
      </c>
      <c r="R780" s="80">
        <f t="shared" si="377"/>
        <v>86798.622670683748</v>
      </c>
      <c r="S780" s="80">
        <f t="shared" si="377"/>
        <v>11875.389015807556</v>
      </c>
      <c r="T780" s="80">
        <f t="shared" si="377"/>
        <v>-32568.056947977504</v>
      </c>
      <c r="U780" s="80">
        <f t="shared" si="377"/>
        <v>83240.141419235762</v>
      </c>
      <c r="V780" s="80">
        <f t="shared" si="377"/>
        <v>-2655.2462846754261</v>
      </c>
      <c r="W780" s="80">
        <f t="shared" si="377"/>
        <v>0</v>
      </c>
      <c r="X780" s="80">
        <f t="shared" si="377"/>
        <v>0</v>
      </c>
      <c r="Y780" s="80">
        <f t="shared" si="377"/>
        <v>0</v>
      </c>
      <c r="Z780" s="80">
        <f t="shared" si="377"/>
        <v>0</v>
      </c>
      <c r="AA780" s="80">
        <f t="shared" si="377"/>
        <v>150339127.86581659</v>
      </c>
      <c r="AB780" s="93" t="str">
        <f>IF(ABS(F780-AA780)&lt;0.01,"ok","err")</f>
        <v>ok</v>
      </c>
    </row>
    <row r="781" spans="1:54" s="60" customFormat="1" ht="14.1">
      <c r="A781" s="65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93"/>
    </row>
    <row r="782" spans="1:54" s="60" customFormat="1" ht="14.1">
      <c r="A782" s="65"/>
      <c r="F782" s="80"/>
      <c r="G782" s="80"/>
      <c r="H782" s="80"/>
      <c r="I782" s="80"/>
      <c r="J782" s="132"/>
      <c r="K782" s="80"/>
      <c r="L782" s="80"/>
      <c r="M782" s="80"/>
      <c r="N782" s="132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93"/>
    </row>
    <row r="783" spans="1:54" s="60" customFormat="1" ht="14.1">
      <c r="A783" s="65" t="s">
        <v>198</v>
      </c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93"/>
    </row>
    <row r="784" spans="1:54" s="60" customFormat="1" ht="14.1">
      <c r="A784" s="65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93"/>
    </row>
    <row r="785" spans="1:28" s="60" customFormat="1" ht="14.1">
      <c r="A785" s="65" t="s">
        <v>822</v>
      </c>
      <c r="F785" s="80">
        <f>F780</f>
        <v>150339127.86581695</v>
      </c>
      <c r="G785" s="80">
        <f t="shared" ref="G785:Z785" si="378">G780</f>
        <v>23268363.648655057</v>
      </c>
      <c r="H785" s="80">
        <f t="shared" si="378"/>
        <v>-353643.75844653253</v>
      </c>
      <c r="I785" s="80">
        <f t="shared" si="378"/>
        <v>39081123.194164634</v>
      </c>
      <c r="J785" s="80">
        <f t="shared" si="378"/>
        <v>2894890.8066132106</v>
      </c>
      <c r="K785" s="80">
        <f t="shared" si="378"/>
        <v>34891897.644301638</v>
      </c>
      <c r="L785" s="80">
        <f t="shared" si="378"/>
        <v>20265776.628839716</v>
      </c>
      <c r="M785" s="80">
        <f t="shared" si="378"/>
        <v>13217408.838670194</v>
      </c>
      <c r="N785" s="80">
        <f t="shared" si="378"/>
        <v>8411019.920742631</v>
      </c>
      <c r="O785" s="80">
        <f>O780</f>
        <v>326257.53102204856</v>
      </c>
      <c r="P785" s="80">
        <f t="shared" si="378"/>
        <v>8138244.2416120768</v>
      </c>
      <c r="Q785" s="80">
        <f t="shared" si="378"/>
        <v>51098.319769061665</v>
      </c>
      <c r="R785" s="80">
        <f t="shared" si="378"/>
        <v>86798.622670683748</v>
      </c>
      <c r="S785" s="80">
        <f t="shared" si="378"/>
        <v>11875.389015807556</v>
      </c>
      <c r="T785" s="80">
        <f t="shared" si="378"/>
        <v>-32568.056947977504</v>
      </c>
      <c r="U785" s="80">
        <f t="shared" si="378"/>
        <v>83240.141419235762</v>
      </c>
      <c r="V785" s="80">
        <f t="shared" si="378"/>
        <v>-2655.2462846754261</v>
      </c>
      <c r="W785" s="80">
        <f t="shared" si="378"/>
        <v>0</v>
      </c>
      <c r="X785" s="80">
        <f t="shared" si="378"/>
        <v>0</v>
      </c>
      <c r="Y785" s="80">
        <f t="shared" si="378"/>
        <v>0</v>
      </c>
      <c r="Z785" s="80">
        <f t="shared" si="378"/>
        <v>0</v>
      </c>
      <c r="AA785" s="80"/>
      <c r="AB785" s="93"/>
    </row>
    <row r="786" spans="1:28" s="60" customFormat="1"/>
    <row r="787" spans="1:28" s="60" customFormat="1" ht="14.1" hidden="1">
      <c r="A787" s="65" t="s">
        <v>1026</v>
      </c>
      <c r="F787" s="80">
        <f t="shared" ref="F787:Z787" si="379">F729</f>
        <v>3460077816.1601419</v>
      </c>
      <c r="G787" s="80">
        <f t="shared" si="379"/>
        <v>1749779989.101094</v>
      </c>
      <c r="H787" s="80">
        <f t="shared" si="379"/>
        <v>2804049.0308775981</v>
      </c>
      <c r="I787" s="80">
        <f t="shared" si="379"/>
        <v>403377509.80225503</v>
      </c>
      <c r="J787" s="80">
        <f t="shared" si="379"/>
        <v>22807737.128033813</v>
      </c>
      <c r="K787" s="80">
        <f t="shared" si="379"/>
        <v>389970355.05789894</v>
      </c>
      <c r="L787" s="80">
        <f t="shared" si="379"/>
        <v>335231274.66265321</v>
      </c>
      <c r="M787" s="80">
        <f t="shared" si="379"/>
        <v>295971692.74197924</v>
      </c>
      <c r="N787" s="80">
        <f t="shared" si="379"/>
        <v>145201940.52601016</v>
      </c>
      <c r="O787" s="80">
        <f t="shared" si="379"/>
        <v>9829885.2741891239</v>
      </c>
      <c r="P787" s="80">
        <f t="shared" si="379"/>
        <v>101453118.33768603</v>
      </c>
      <c r="Q787" s="80">
        <f t="shared" si="379"/>
        <v>518687.22011027404</v>
      </c>
      <c r="R787" s="80">
        <f t="shared" si="379"/>
        <v>623313.44507924758</v>
      </c>
      <c r="S787" s="80">
        <f t="shared" si="379"/>
        <v>12804.176001885042</v>
      </c>
      <c r="T787" s="80">
        <f t="shared" si="379"/>
        <v>120161.0262732144</v>
      </c>
      <c r="U787" s="80">
        <f t="shared" si="379"/>
        <v>2314621.8400000003</v>
      </c>
      <c r="V787" s="80">
        <f t="shared" si="379"/>
        <v>60676.790000000008</v>
      </c>
      <c r="W787" s="80">
        <f t="shared" si="379"/>
        <v>0</v>
      </c>
      <c r="X787" s="80">
        <f t="shared" si="379"/>
        <v>0</v>
      </c>
      <c r="Y787" s="80">
        <f t="shared" si="379"/>
        <v>0</v>
      </c>
      <c r="Z787" s="80">
        <f t="shared" si="379"/>
        <v>0</v>
      </c>
      <c r="AA787" s="80">
        <f>SUM(G787:Z787)</f>
        <v>3460077816.1601415</v>
      </c>
      <c r="AB787" s="93" t="str">
        <f>IF(ABS(F787-AA787)&lt;0.01,"ok","err")</f>
        <v>ok</v>
      </c>
    </row>
    <row r="788" spans="1:28" s="60" customFormat="1" ht="14.1" hidden="1">
      <c r="A788" s="65" t="s">
        <v>0</v>
      </c>
      <c r="E788" s="60" t="s">
        <v>663</v>
      </c>
      <c r="F788" s="79">
        <v>0</v>
      </c>
      <c r="G788" s="79">
        <f t="shared" ref="G788:Z788" si="380">IF(VLOOKUP($E788,$D$6:$AN$1150,3,)=0,0,(VLOOKUP($E788,$D$6:$AN$1150,G$2,)/VLOOKUP($E788,$D$6:$AN$1150,3,))*$F788)</f>
        <v>0</v>
      </c>
      <c r="H788" s="79">
        <f t="shared" si="380"/>
        <v>0</v>
      </c>
      <c r="I788" s="79">
        <f t="shared" si="380"/>
        <v>0</v>
      </c>
      <c r="J788" s="79">
        <f t="shared" si="380"/>
        <v>0</v>
      </c>
      <c r="K788" s="79">
        <f t="shared" si="380"/>
        <v>0</v>
      </c>
      <c r="L788" s="79">
        <f t="shared" si="380"/>
        <v>0</v>
      </c>
      <c r="M788" s="79">
        <f t="shared" si="380"/>
        <v>0</v>
      </c>
      <c r="N788" s="79">
        <f t="shared" si="380"/>
        <v>0</v>
      </c>
      <c r="O788" s="79">
        <f t="shared" si="380"/>
        <v>0</v>
      </c>
      <c r="P788" s="79">
        <f t="shared" si="380"/>
        <v>0</v>
      </c>
      <c r="Q788" s="79">
        <f t="shared" si="380"/>
        <v>0</v>
      </c>
      <c r="R788" s="79">
        <f t="shared" si="380"/>
        <v>0</v>
      </c>
      <c r="S788" s="79">
        <f t="shared" si="380"/>
        <v>0</v>
      </c>
      <c r="T788" s="79">
        <f t="shared" si="380"/>
        <v>0</v>
      </c>
      <c r="U788" s="79">
        <f t="shared" si="380"/>
        <v>0</v>
      </c>
      <c r="V788" s="79">
        <f t="shared" si="380"/>
        <v>0</v>
      </c>
      <c r="W788" s="79">
        <f t="shared" si="380"/>
        <v>0</v>
      </c>
      <c r="X788" s="79">
        <f t="shared" si="380"/>
        <v>0</v>
      </c>
      <c r="Y788" s="79">
        <f t="shared" si="380"/>
        <v>0</v>
      </c>
      <c r="Z788" s="79">
        <f t="shared" si="380"/>
        <v>0</v>
      </c>
      <c r="AA788" s="79">
        <f>SUM(G788:Z788)</f>
        <v>0</v>
      </c>
      <c r="AB788" s="93" t="str">
        <f>IF(ABS(F788-AA788)&lt;0.01,"ok","err")</f>
        <v>ok</v>
      </c>
    </row>
    <row r="789" spans="1:28" s="60" customFormat="1" ht="14.1">
      <c r="A789" s="65" t="s">
        <v>836</v>
      </c>
      <c r="F789" s="80">
        <f t="shared" ref="F789:Z789" si="381">SUM(F787:F788)</f>
        <v>3460077816.1601419</v>
      </c>
      <c r="G789" s="80">
        <f t="shared" si="381"/>
        <v>1749779989.101094</v>
      </c>
      <c r="H789" s="80">
        <f t="shared" si="381"/>
        <v>2804049.0308775981</v>
      </c>
      <c r="I789" s="80">
        <f t="shared" si="381"/>
        <v>403377509.80225503</v>
      </c>
      <c r="J789" s="80">
        <f t="shared" si="381"/>
        <v>22807737.128033813</v>
      </c>
      <c r="K789" s="80">
        <f t="shared" si="381"/>
        <v>389970355.05789894</v>
      </c>
      <c r="L789" s="80">
        <f t="shared" si="381"/>
        <v>335231274.66265321</v>
      </c>
      <c r="M789" s="80">
        <f t="shared" si="381"/>
        <v>295971692.74197924</v>
      </c>
      <c r="N789" s="80">
        <f t="shared" si="381"/>
        <v>145201940.52601016</v>
      </c>
      <c r="O789" s="80">
        <f t="shared" si="381"/>
        <v>9829885.2741891239</v>
      </c>
      <c r="P789" s="80">
        <f t="shared" si="381"/>
        <v>101453118.33768603</v>
      </c>
      <c r="Q789" s="80">
        <f t="shared" si="381"/>
        <v>518687.22011027404</v>
      </c>
      <c r="R789" s="80">
        <f t="shared" si="381"/>
        <v>623313.44507924758</v>
      </c>
      <c r="S789" s="80">
        <f t="shared" si="381"/>
        <v>12804.176001885042</v>
      </c>
      <c r="T789" s="80">
        <f t="shared" si="381"/>
        <v>120161.0262732144</v>
      </c>
      <c r="U789" s="80">
        <f t="shared" si="381"/>
        <v>2314621.8400000003</v>
      </c>
      <c r="V789" s="80">
        <f t="shared" si="381"/>
        <v>60676.790000000008</v>
      </c>
      <c r="W789" s="80">
        <f t="shared" si="381"/>
        <v>0</v>
      </c>
      <c r="X789" s="80">
        <f t="shared" si="381"/>
        <v>0</v>
      </c>
      <c r="Y789" s="80">
        <f t="shared" si="381"/>
        <v>0</v>
      </c>
      <c r="Z789" s="80">
        <f t="shared" si="381"/>
        <v>0</v>
      </c>
      <c r="AA789" s="80">
        <f>SUM(G789:Z789)</f>
        <v>3460077816.1601415</v>
      </c>
      <c r="AB789" s="93" t="str">
        <f>IF(ABS(F789-AA789)&lt;0.01,"ok","err")</f>
        <v>ok</v>
      </c>
    </row>
    <row r="790" spans="1:28" s="60" customFormat="1" ht="14.1" thickBot="1"/>
    <row r="791" spans="1:28" s="60" customFormat="1" ht="14.4" thickBot="1">
      <c r="A791" s="281" t="s">
        <v>1044</v>
      </c>
      <c r="B791" s="146"/>
      <c r="C791" s="146"/>
      <c r="D791" s="146"/>
      <c r="E791" s="146"/>
      <c r="F791" s="147">
        <f t="shared" ref="F791:Z791" si="382">F780/F789</f>
        <v>4.3449637798220787E-2</v>
      </c>
      <c r="G791" s="147">
        <f t="shared" si="382"/>
        <v>1.3297879615487316E-2</v>
      </c>
      <c r="H791" s="147">
        <f t="shared" si="382"/>
        <v>-0.12611896388125951</v>
      </c>
      <c r="I791" s="147">
        <f t="shared" si="382"/>
        <v>9.6884735128944355E-2</v>
      </c>
      <c r="J791" s="147">
        <f t="shared" si="382"/>
        <v>0.12692582303813893</v>
      </c>
      <c r="K791" s="147">
        <f t="shared" si="382"/>
        <v>8.9473205313571169E-2</v>
      </c>
      <c r="L791" s="147">
        <f t="shared" si="382"/>
        <v>6.0453120459102103E-2</v>
      </c>
      <c r="M791" s="147">
        <f t="shared" si="382"/>
        <v>4.4657678969970964E-2</v>
      </c>
      <c r="N791" s="147">
        <f t="shared" si="382"/>
        <v>5.7926360283290824E-2</v>
      </c>
      <c r="O791" s="147">
        <f t="shared" si="382"/>
        <v>3.3190370174382512E-2</v>
      </c>
      <c r="P791" s="147">
        <f t="shared" si="382"/>
        <v>8.0216797422864666E-2</v>
      </c>
      <c r="Q791" s="147">
        <f t="shared" si="382"/>
        <v>9.8514707492114523E-2</v>
      </c>
      <c r="R791" s="147">
        <f t="shared" si="382"/>
        <v>0.13925357034396754</v>
      </c>
      <c r="S791" s="147">
        <f t="shared" si="382"/>
        <v>0.92746218218644061</v>
      </c>
      <c r="T791" s="147">
        <f t="shared" si="382"/>
        <v>-0.27103677421934091</v>
      </c>
      <c r="U791" s="147">
        <f t="shared" si="382"/>
        <v>3.5962739131173045E-2</v>
      </c>
      <c r="V791" s="147">
        <f t="shared" si="382"/>
        <v>-4.3760493669415042E-2</v>
      </c>
      <c r="W791" s="147" t="e">
        <f t="shared" si="382"/>
        <v>#DIV/0!</v>
      </c>
      <c r="X791" s="147" t="e">
        <f t="shared" si="382"/>
        <v>#DIV/0!</v>
      </c>
      <c r="Y791" s="147" t="e">
        <f t="shared" si="382"/>
        <v>#DIV/0!</v>
      </c>
      <c r="Z791" s="147" t="e">
        <f t="shared" si="382"/>
        <v>#DIV/0!</v>
      </c>
      <c r="AA791" s="137"/>
      <c r="AB791" s="137"/>
    </row>
    <row r="792" spans="1:28" s="60" customFormat="1"/>
    <row r="793" spans="1:28" s="60" customFormat="1" ht="14.1">
      <c r="A793" s="65" t="s">
        <v>798</v>
      </c>
    </row>
    <row r="794" spans="1:28" s="60" customFormat="1"/>
    <row r="795" spans="1:28" s="60" customFormat="1">
      <c r="A795" s="60" t="s">
        <v>794</v>
      </c>
      <c r="F795" s="80">
        <f t="shared" ref="F795:Z795" si="383">F754</f>
        <v>1120075935.2473235</v>
      </c>
      <c r="G795" s="80">
        <f t="shared" si="383"/>
        <v>455414538.95664698</v>
      </c>
      <c r="H795" s="80">
        <f t="shared" si="383"/>
        <v>683285.41602927947</v>
      </c>
      <c r="I795" s="80">
        <f t="shared" si="383"/>
        <v>154022251.6780422</v>
      </c>
      <c r="J795" s="80">
        <f t="shared" si="383"/>
        <v>10498450.424430344</v>
      </c>
      <c r="K795" s="80">
        <f t="shared" si="383"/>
        <v>154492691.53800189</v>
      </c>
      <c r="L795" s="80">
        <f t="shared" si="383"/>
        <v>144333579.55541417</v>
      </c>
      <c r="M795" s="80">
        <f t="shared" si="383"/>
        <v>107297551.50498989</v>
      </c>
      <c r="N795" s="80">
        <f t="shared" si="383"/>
        <v>65913905.199482709</v>
      </c>
      <c r="O795" s="80">
        <f t="shared" si="383"/>
        <v>3859985.522400259</v>
      </c>
      <c r="P795" s="80">
        <f t="shared" si="383"/>
        <v>22694574.038591262</v>
      </c>
      <c r="Q795" s="80">
        <f t="shared" si="383"/>
        <v>258654.77253481693</v>
      </c>
      <c r="R795" s="80">
        <f t="shared" si="383"/>
        <v>331048.80229813856</v>
      </c>
      <c r="S795" s="80">
        <f t="shared" si="383"/>
        <v>15690.636415897512</v>
      </c>
      <c r="T795" s="80">
        <f t="shared" si="383"/>
        <v>12695.202045718932</v>
      </c>
      <c r="U795" s="80">
        <f t="shared" si="383"/>
        <v>237096</v>
      </c>
      <c r="V795" s="80">
        <f t="shared" si="383"/>
        <v>9936</v>
      </c>
      <c r="W795" s="80">
        <f t="shared" si="383"/>
        <v>0</v>
      </c>
      <c r="X795" s="80">
        <f t="shared" si="383"/>
        <v>0</v>
      </c>
      <c r="Y795" s="80">
        <f t="shared" si="383"/>
        <v>0</v>
      </c>
      <c r="Z795" s="80">
        <f t="shared" si="383"/>
        <v>0</v>
      </c>
      <c r="AA795" s="80">
        <f>SUM(G795:Z795)</f>
        <v>1120075935.2473233</v>
      </c>
      <c r="AB795" s="93" t="str">
        <f>IF(ABS(F795-AA795)&lt;0.01,"ok","err")</f>
        <v>ok</v>
      </c>
    </row>
    <row r="796" spans="1:28" s="60" customFormat="1"/>
    <row r="797" spans="1:28" s="60" customFormat="1">
      <c r="A797" s="60" t="s">
        <v>1040</v>
      </c>
      <c r="F797" s="80">
        <f>F758+F759+F761+F764+F765+F768+F769+F770+F771</f>
        <v>961979222.97269559</v>
      </c>
      <c r="G797" s="80">
        <f t="shared" ref="G797:Z797" si="384">G758+G759+G761+G764+G765+G768+G769+G770+G771</f>
        <v>433601543.10226876</v>
      </c>
      <c r="H797" s="80">
        <f t="shared" si="384"/>
        <v>1037558.4047730743</v>
      </c>
      <c r="I797" s="80">
        <f t="shared" si="384"/>
        <v>111779755.6237625</v>
      </c>
      <c r="J797" s="80">
        <f t="shared" si="384"/>
        <v>7353412.7550472282</v>
      </c>
      <c r="K797" s="80">
        <f t="shared" si="384"/>
        <v>116840342.69111274</v>
      </c>
      <c r="L797" s="80">
        <f t="shared" si="384"/>
        <v>122709165.67594342</v>
      </c>
      <c r="M797" s="80">
        <f t="shared" si="384"/>
        <v>93356978.964600816</v>
      </c>
      <c r="N797" s="80">
        <f t="shared" si="384"/>
        <v>57184269.188827887</v>
      </c>
      <c r="O797" s="80">
        <f t="shared" si="384"/>
        <v>3521236.2151712785</v>
      </c>
      <c r="P797" s="80">
        <f t="shared" si="384"/>
        <v>13945557.080039369</v>
      </c>
      <c r="Q797" s="80">
        <f t="shared" si="384"/>
        <v>203384.56240801612</v>
      </c>
      <c r="R797" s="80">
        <f t="shared" si="384"/>
        <v>236634.25461867801</v>
      </c>
      <c r="S797" s="80">
        <f t="shared" si="384"/>
        <v>2613.5809952837435</v>
      </c>
      <c r="T797" s="80">
        <f t="shared" si="384"/>
        <v>48669.547545689093</v>
      </c>
      <c r="U797" s="80">
        <f t="shared" si="384"/>
        <v>145235.08856268827</v>
      </c>
      <c r="V797" s="80">
        <f t="shared" si="384"/>
        <v>12866.237018367859</v>
      </c>
      <c r="W797" s="80">
        <f t="shared" si="384"/>
        <v>0</v>
      </c>
      <c r="X797" s="80">
        <f t="shared" si="384"/>
        <v>0</v>
      </c>
      <c r="Y797" s="80">
        <f t="shared" si="384"/>
        <v>0</v>
      </c>
      <c r="Z797" s="80">
        <f t="shared" si="384"/>
        <v>0</v>
      </c>
      <c r="AA797" s="80">
        <f>SUM(G797:Z797)</f>
        <v>961979222.97269571</v>
      </c>
      <c r="AB797" s="93" t="str">
        <f>IF(ABS(F797-AA797)&lt;0.01,"ok","err")</f>
        <v>ok</v>
      </c>
    </row>
    <row r="798" spans="1:28" s="60" customFormat="1"/>
    <row r="799" spans="1:28" s="60" customFormat="1">
      <c r="A799" s="60" t="s">
        <v>795</v>
      </c>
      <c r="D799" s="60" t="s">
        <v>799</v>
      </c>
      <c r="F799" s="149">
        <f t="shared" ref="F799:Z799" si="385">F691</f>
        <v>75433705.043134436</v>
      </c>
      <c r="G799" s="149">
        <f t="shared" si="385"/>
        <v>38255752.853161</v>
      </c>
      <c r="H799" s="149">
        <f t="shared" si="385"/>
        <v>60079.38397597523</v>
      </c>
      <c r="I799" s="149">
        <f t="shared" si="385"/>
        <v>8814359.6230740286</v>
      </c>
      <c r="J799" s="149">
        <f t="shared" si="385"/>
        <v>496328.5260433607</v>
      </c>
      <c r="K799" s="149">
        <f t="shared" si="385"/>
        <v>8519752.6151262634</v>
      </c>
      <c r="L799" s="149">
        <f t="shared" si="385"/>
        <v>7238009.6830848549</v>
      </c>
      <c r="M799" s="149">
        <f t="shared" si="385"/>
        <v>6446698.4476342313</v>
      </c>
      <c r="N799" s="149">
        <f t="shared" si="385"/>
        <v>3119065.6699630455</v>
      </c>
      <c r="O799" s="149">
        <f t="shared" si="385"/>
        <v>212365.79270321684</v>
      </c>
      <c r="P799" s="149">
        <f t="shared" si="385"/>
        <v>2246122.8961462332</v>
      </c>
      <c r="Q799" s="149">
        <f t="shared" si="385"/>
        <v>11002.116913155463</v>
      </c>
      <c r="R799" s="149">
        <f t="shared" si="385"/>
        <v>13573.442253445251</v>
      </c>
      <c r="S799" s="149">
        <f t="shared" si="385"/>
        <v>272.38353768394046</v>
      </c>
      <c r="T799" s="149">
        <f t="shared" si="385"/>
        <v>321.60951793468462</v>
      </c>
      <c r="U799" s="149">
        <f t="shared" si="385"/>
        <v>0</v>
      </c>
      <c r="V799" s="149">
        <f t="shared" si="385"/>
        <v>0</v>
      </c>
      <c r="W799" s="149">
        <f t="shared" si="385"/>
        <v>0</v>
      </c>
      <c r="X799" s="149">
        <f t="shared" si="385"/>
        <v>0</v>
      </c>
      <c r="Y799" s="149">
        <f t="shared" si="385"/>
        <v>0</v>
      </c>
      <c r="Z799" s="149">
        <f t="shared" si="385"/>
        <v>0</v>
      </c>
      <c r="AA799" s="149">
        <f>SUM(G799:Z799)</f>
        <v>75433705.043134406</v>
      </c>
      <c r="AB799" s="93" t="str">
        <f>IF(ABS(F799-AA799)&lt;0.01,"ok","err")</f>
        <v>ok</v>
      </c>
    </row>
    <row r="800" spans="1:28" s="60" customFormat="1"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  <c r="Z800" s="149"/>
      <c r="AA800" s="149"/>
      <c r="AB800" s="93"/>
    </row>
    <row r="801" spans="1:28" s="60" customFormat="1">
      <c r="A801" s="60" t="s">
        <v>800</v>
      </c>
      <c r="E801" s="60" t="s">
        <v>799</v>
      </c>
      <c r="F801" s="134">
        <f>4970091+1245637</f>
        <v>6215728</v>
      </c>
      <c r="G801" s="133">
        <f t="shared" ref="G801:Z801" si="386">IF(VLOOKUP($E801,$D$6:$AN$1150,3,)=0,0,(VLOOKUP($E801,$D$6:$AN$1150,G$2,)/VLOOKUP($E801,$D$6:$AN$1150,3,))*$F801)</f>
        <v>3152269.3209156487</v>
      </c>
      <c r="H801" s="133">
        <f t="shared" si="386"/>
        <v>4950.5338361503273</v>
      </c>
      <c r="I801" s="133">
        <f t="shared" si="386"/>
        <v>726302.14676426211</v>
      </c>
      <c r="J801" s="133">
        <f t="shared" si="386"/>
        <v>40897.409384337669</v>
      </c>
      <c r="K801" s="133">
        <f t="shared" si="386"/>
        <v>702026.56561323639</v>
      </c>
      <c r="L801" s="133">
        <f t="shared" si="386"/>
        <v>596411.10595980671</v>
      </c>
      <c r="M801" s="133">
        <f t="shared" si="386"/>
        <v>531207.15767047775</v>
      </c>
      <c r="N801" s="133">
        <f t="shared" si="386"/>
        <v>257010.62684833063</v>
      </c>
      <c r="O801" s="133">
        <f t="shared" si="386"/>
        <v>17498.915149305936</v>
      </c>
      <c r="P801" s="133">
        <f t="shared" si="386"/>
        <v>185080.24985692935</v>
      </c>
      <c r="Q801" s="133">
        <f t="shared" si="386"/>
        <v>906.57307787373657</v>
      </c>
      <c r="R801" s="133">
        <f t="shared" si="386"/>
        <v>1118.4499690540063</v>
      </c>
      <c r="S801" s="133">
        <f t="shared" si="386"/>
        <v>22.444369939843185</v>
      </c>
      <c r="T801" s="133">
        <f t="shared" si="386"/>
        <v>26.500584646479101</v>
      </c>
      <c r="U801" s="133">
        <f t="shared" si="386"/>
        <v>0</v>
      </c>
      <c r="V801" s="133">
        <f t="shared" si="386"/>
        <v>0</v>
      </c>
      <c r="W801" s="133">
        <f t="shared" si="386"/>
        <v>0</v>
      </c>
      <c r="X801" s="79">
        <f t="shared" si="386"/>
        <v>0</v>
      </c>
      <c r="Y801" s="79">
        <f t="shared" si="386"/>
        <v>0</v>
      </c>
      <c r="Z801" s="79">
        <f t="shared" si="386"/>
        <v>0</v>
      </c>
      <c r="AA801" s="134">
        <f>SUM(G801:Z801)</f>
        <v>6215727.9999999991</v>
      </c>
      <c r="AB801" s="93" t="str">
        <f>IF(ABS(F801-AA801)&lt;0.01,"ok","err")</f>
        <v>ok</v>
      </c>
    </row>
    <row r="802" spans="1:28" s="60" customFormat="1"/>
    <row r="803" spans="1:28" s="60" customFormat="1">
      <c r="A803" s="60" t="s">
        <v>793</v>
      </c>
      <c r="D803" s="60" t="s">
        <v>801</v>
      </c>
      <c r="F803" s="80">
        <f>F795-F797-F799-F801</f>
        <v>76447279.231493488</v>
      </c>
      <c r="G803" s="80">
        <f t="shared" ref="G803:Z803" si="387">G795-G797-G799-G801</f>
        <v>-19595026.319698423</v>
      </c>
      <c r="H803" s="80">
        <f t="shared" si="387"/>
        <v>-419302.90655592037</v>
      </c>
      <c r="I803" s="80">
        <f t="shared" si="387"/>
        <v>32701834.284441408</v>
      </c>
      <c r="J803" s="80">
        <f t="shared" si="387"/>
        <v>2607811.7339554178</v>
      </c>
      <c r="K803" s="80">
        <f t="shared" si="387"/>
        <v>28430569.666149653</v>
      </c>
      <c r="L803" s="80">
        <f t="shared" si="387"/>
        <v>13789993.090426089</v>
      </c>
      <c r="M803" s="80">
        <f t="shared" si="387"/>
        <v>6962666.9350843672</v>
      </c>
      <c r="N803" s="80">
        <f t="shared" si="387"/>
        <v>5353559.7138434462</v>
      </c>
      <c r="O803" s="80">
        <f>O795-O797-O799-O801</f>
        <v>108884.59937645782</v>
      </c>
      <c r="P803" s="80">
        <f t="shared" si="387"/>
        <v>6317813.8125487305</v>
      </c>
      <c r="Q803" s="80">
        <f t="shared" si="387"/>
        <v>43361.520135771614</v>
      </c>
      <c r="R803" s="80">
        <f t="shared" si="387"/>
        <v>79722.655456961293</v>
      </c>
      <c r="S803" s="80">
        <f t="shared" si="387"/>
        <v>12782.227512989984</v>
      </c>
      <c r="T803" s="80">
        <f t="shared" si="387"/>
        <v>-36322.455602551323</v>
      </c>
      <c r="U803" s="80">
        <f t="shared" si="387"/>
        <v>91860.911437311734</v>
      </c>
      <c r="V803" s="80">
        <f t="shared" si="387"/>
        <v>-2930.2370183678595</v>
      </c>
      <c r="W803" s="80">
        <f t="shared" si="387"/>
        <v>0</v>
      </c>
      <c r="X803" s="80">
        <f t="shared" si="387"/>
        <v>0</v>
      </c>
      <c r="Y803" s="80">
        <f t="shared" si="387"/>
        <v>0</v>
      </c>
      <c r="Z803" s="80">
        <f t="shared" si="387"/>
        <v>0</v>
      </c>
      <c r="AA803" s="80">
        <f>SUM(G803:Z803)</f>
        <v>76447279.231493339</v>
      </c>
      <c r="AB803" s="93" t="str">
        <f>IF(ABS(F803-AA803)&lt;0.01,"ok","err")</f>
        <v>ok</v>
      </c>
    </row>
    <row r="804" spans="1:28" s="60" customFormat="1"/>
    <row r="805" spans="1:28" s="60" customFormat="1" hidden="1"/>
    <row r="806" spans="1:28" s="60" customFormat="1" ht="14.1" hidden="1">
      <c r="A806" s="65" t="s">
        <v>1187</v>
      </c>
    </row>
    <row r="807" spans="1:28" s="60" customFormat="1" hidden="1"/>
    <row r="808" spans="1:28" s="60" customFormat="1" ht="14.1" hidden="1">
      <c r="A808" s="65" t="s">
        <v>1036</v>
      </c>
    </row>
    <row r="809" spans="1:28" s="60" customFormat="1" hidden="1"/>
    <row r="810" spans="1:28" s="60" customFormat="1" hidden="1">
      <c r="A810" s="60" t="s">
        <v>133</v>
      </c>
      <c r="F810" s="80">
        <f t="shared" ref="F810:Z810" si="388">F754</f>
        <v>1120075935.2473235</v>
      </c>
      <c r="G810" s="80">
        <f t="shared" si="388"/>
        <v>455414538.95664698</v>
      </c>
      <c r="H810" s="80">
        <f t="shared" si="388"/>
        <v>683285.41602927947</v>
      </c>
      <c r="I810" s="80">
        <f t="shared" si="388"/>
        <v>154022251.6780422</v>
      </c>
      <c r="J810" s="80">
        <f t="shared" si="388"/>
        <v>10498450.424430344</v>
      </c>
      <c r="K810" s="80">
        <f t="shared" si="388"/>
        <v>154492691.53800189</v>
      </c>
      <c r="L810" s="80">
        <f t="shared" si="388"/>
        <v>144333579.55541417</v>
      </c>
      <c r="M810" s="80">
        <f t="shared" si="388"/>
        <v>107297551.50498989</v>
      </c>
      <c r="N810" s="80">
        <f t="shared" si="388"/>
        <v>65913905.199482709</v>
      </c>
      <c r="O810" s="80">
        <f t="shared" si="388"/>
        <v>3859985.522400259</v>
      </c>
      <c r="P810" s="80">
        <f t="shared" si="388"/>
        <v>22694574.038591262</v>
      </c>
      <c r="Q810" s="80">
        <f t="shared" si="388"/>
        <v>258654.77253481693</v>
      </c>
      <c r="R810" s="80">
        <f t="shared" si="388"/>
        <v>331048.80229813856</v>
      </c>
      <c r="S810" s="80">
        <f t="shared" si="388"/>
        <v>15690.636415897512</v>
      </c>
      <c r="T810" s="80">
        <f t="shared" si="388"/>
        <v>12695.202045718932</v>
      </c>
      <c r="U810" s="80">
        <f t="shared" si="388"/>
        <v>237096</v>
      </c>
      <c r="V810" s="80">
        <f t="shared" si="388"/>
        <v>9936</v>
      </c>
      <c r="W810" s="80">
        <f t="shared" si="388"/>
        <v>0</v>
      </c>
      <c r="X810" s="80">
        <f t="shared" si="388"/>
        <v>0</v>
      </c>
      <c r="Y810" s="80">
        <f t="shared" si="388"/>
        <v>0</v>
      </c>
      <c r="Z810" s="80">
        <f t="shared" si="388"/>
        <v>0</v>
      </c>
      <c r="AA810" s="80">
        <f>ROUND(SUM(G810:Z810),2)</f>
        <v>1120075935.25</v>
      </c>
      <c r="AB810" s="93" t="str">
        <f>IF(ABS(F810-AA810)&lt;0.01,"ok","err")</f>
        <v>ok</v>
      </c>
    </row>
    <row r="811" spans="1:28" s="60" customFormat="1" hidden="1"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93"/>
    </row>
    <row r="812" spans="1:28" s="60" customFormat="1" hidden="1">
      <c r="A812" s="60" t="s">
        <v>134</v>
      </c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93"/>
    </row>
    <row r="813" spans="1:28" s="60" customFormat="1" hidden="1">
      <c r="A813" s="60" t="s">
        <v>828</v>
      </c>
      <c r="F813" s="76">
        <f t="shared" ref="F813:Z813" si="389">($F$791*F789-F785)/(1-$E$823)</f>
        <v>0</v>
      </c>
      <c r="G813" s="76">
        <f t="shared" si="389"/>
        <v>70209230.365081325</v>
      </c>
      <c r="H813" s="76">
        <f t="shared" si="389"/>
        <v>632745.64910847088</v>
      </c>
      <c r="I813" s="76">
        <f t="shared" si="389"/>
        <v>-28683781.841004066</v>
      </c>
      <c r="J813" s="76">
        <f t="shared" si="389"/>
        <v>-2533628.3990835794</v>
      </c>
      <c r="K813" s="76">
        <f t="shared" si="389"/>
        <v>-23884161.505001422</v>
      </c>
      <c r="L813" s="76">
        <f t="shared" si="389"/>
        <v>-7585435.7936189519</v>
      </c>
      <c r="M813" s="76">
        <f t="shared" si="389"/>
        <v>-475806.13515729067</v>
      </c>
      <c r="N813" s="76">
        <f t="shared" si="389"/>
        <v>-2797311.2696744553</v>
      </c>
      <c r="O813" s="76">
        <f t="shared" si="389"/>
        <v>134203.21917836962</v>
      </c>
      <c r="P813" s="76">
        <f t="shared" si="389"/>
        <v>-4963906.6576192901</v>
      </c>
      <c r="Q813" s="76">
        <f t="shared" si="389"/>
        <v>-38008.424351151763</v>
      </c>
      <c r="R813" s="76">
        <f t="shared" si="389"/>
        <v>-79467.208321984872</v>
      </c>
      <c r="S813" s="76">
        <f t="shared" si="389"/>
        <v>-15062.885969663095</v>
      </c>
      <c r="T813" s="76">
        <f t="shared" si="389"/>
        <v>50287.916198483072</v>
      </c>
      <c r="U813" s="76">
        <f t="shared" si="389"/>
        <v>23061.105741964006</v>
      </c>
      <c r="V813" s="76">
        <f t="shared" si="389"/>
        <v>7041.8644934098702</v>
      </c>
      <c r="W813" s="76">
        <f t="shared" si="389"/>
        <v>0</v>
      </c>
      <c r="X813" s="76">
        <f t="shared" si="389"/>
        <v>0</v>
      </c>
      <c r="Y813" s="76">
        <f t="shared" si="389"/>
        <v>0</v>
      </c>
      <c r="Z813" s="76">
        <f t="shared" si="389"/>
        <v>0</v>
      </c>
      <c r="AA813" s="80">
        <f>SUM(G813:Z813)</f>
        <v>1.6822741599753499E-7</v>
      </c>
      <c r="AB813" s="93" t="str">
        <f>IF(ABS(F813-AA813)&lt;0.01,"ok","err")</f>
        <v>ok</v>
      </c>
    </row>
    <row r="814" spans="1:28" s="60" customFormat="1" hidden="1"/>
    <row r="815" spans="1:28" s="60" customFormat="1" hidden="1">
      <c r="A815" s="60" t="s">
        <v>135</v>
      </c>
      <c r="F815" s="80">
        <f t="shared" ref="F815:Z815" si="390">SUM(F810:F813)</f>
        <v>1120075935.2473235</v>
      </c>
      <c r="G815" s="80">
        <f t="shared" si="390"/>
        <v>525623769.32172829</v>
      </c>
      <c r="H815" s="80">
        <f t="shared" si="390"/>
        <v>1316031.0651377505</v>
      </c>
      <c r="I815" s="80">
        <f t="shared" si="390"/>
        <v>125338469.83703813</v>
      </c>
      <c r="J815" s="80">
        <f t="shared" si="390"/>
        <v>7964822.0253467653</v>
      </c>
      <c r="K815" s="80">
        <f t="shared" si="390"/>
        <v>130608530.03300047</v>
      </c>
      <c r="L815" s="80">
        <f t="shared" si="390"/>
        <v>136748143.76179522</v>
      </c>
      <c r="M815" s="80">
        <f t="shared" si="390"/>
        <v>106821745.36983261</v>
      </c>
      <c r="N815" s="80">
        <f t="shared" si="390"/>
        <v>63116593.929808252</v>
      </c>
      <c r="O815" s="80">
        <f t="shared" si="390"/>
        <v>3994188.7415786288</v>
      </c>
      <c r="P815" s="80">
        <f t="shared" si="390"/>
        <v>17730667.380971972</v>
      </c>
      <c r="Q815" s="80">
        <f t="shared" si="390"/>
        <v>220646.34818366516</v>
      </c>
      <c r="R815" s="80">
        <f t="shared" si="390"/>
        <v>251581.5939761537</v>
      </c>
      <c r="S815" s="80">
        <f t="shared" si="390"/>
        <v>627.75044623441681</v>
      </c>
      <c r="T815" s="80">
        <f t="shared" si="390"/>
        <v>62983.118244202007</v>
      </c>
      <c r="U815" s="80">
        <f t="shared" si="390"/>
        <v>260157.10574196401</v>
      </c>
      <c r="V815" s="80">
        <f t="shared" si="390"/>
        <v>16977.86449340987</v>
      </c>
      <c r="W815" s="80">
        <f t="shared" si="390"/>
        <v>0</v>
      </c>
      <c r="X815" s="80">
        <f t="shared" si="390"/>
        <v>0</v>
      </c>
      <c r="Y815" s="80">
        <f t="shared" si="390"/>
        <v>0</v>
      </c>
      <c r="Z815" s="80">
        <f t="shared" si="390"/>
        <v>0</v>
      </c>
      <c r="AA815" s="80">
        <f>ROUND(SUM(G815:Z815),2)</f>
        <v>1120075935.25</v>
      </c>
      <c r="AB815" s="93" t="str">
        <f>IF(ABS(F815-AA815)&lt;0.01,"ok","err")</f>
        <v>ok</v>
      </c>
    </row>
    <row r="816" spans="1:28" s="60" customFormat="1" hidden="1"/>
    <row r="817" spans="1:28" s="60" customFormat="1" ht="14.1" hidden="1">
      <c r="A817" s="65" t="s">
        <v>1040</v>
      </c>
    </row>
    <row r="818" spans="1:28" s="60" customFormat="1" hidden="1"/>
    <row r="819" spans="1:28" s="60" customFormat="1" hidden="1">
      <c r="A819" s="60" t="s">
        <v>1043</v>
      </c>
      <c r="F819" s="80">
        <f t="shared" ref="F819:Z819" si="391">F778</f>
        <v>969736807.38150656</v>
      </c>
      <c r="G819" s="80">
        <f t="shared" si="391"/>
        <v>432146175.30799192</v>
      </c>
      <c r="H819" s="80">
        <f t="shared" si="391"/>
        <v>1036929.174475812</v>
      </c>
      <c r="I819" s="80">
        <f t="shared" si="391"/>
        <v>114941128.48387757</v>
      </c>
      <c r="J819" s="80">
        <f t="shared" si="391"/>
        <v>7603559.6178171337</v>
      </c>
      <c r="K819" s="80">
        <f t="shared" si="391"/>
        <v>119600793.89370026</v>
      </c>
      <c r="L819" s="80">
        <f t="shared" si="391"/>
        <v>124067802.92657445</v>
      </c>
      <c r="M819" s="80">
        <f t="shared" si="391"/>
        <v>94080142.666319698</v>
      </c>
      <c r="N819" s="80">
        <f t="shared" si="391"/>
        <v>57502885.278740078</v>
      </c>
      <c r="O819" s="80">
        <f t="shared" si="391"/>
        <v>3533727.9913782105</v>
      </c>
      <c r="P819" s="80">
        <f t="shared" si="391"/>
        <v>14556329.796979185</v>
      </c>
      <c r="Q819" s="80">
        <f t="shared" si="391"/>
        <v>207556.45276575527</v>
      </c>
      <c r="R819" s="80">
        <f t="shared" si="391"/>
        <v>244250.17962745481</v>
      </c>
      <c r="S819" s="80">
        <f t="shared" si="391"/>
        <v>3815.2474000899574</v>
      </c>
      <c r="T819" s="80">
        <f t="shared" si="391"/>
        <v>45263.258993696436</v>
      </c>
      <c r="U819" s="80">
        <f t="shared" si="391"/>
        <v>153855.85858076424</v>
      </c>
      <c r="V819" s="80">
        <f t="shared" si="391"/>
        <v>12591.246284675426</v>
      </c>
      <c r="W819" s="80">
        <f t="shared" si="391"/>
        <v>0</v>
      </c>
      <c r="X819" s="80">
        <f t="shared" si="391"/>
        <v>0</v>
      </c>
      <c r="Y819" s="80">
        <f t="shared" si="391"/>
        <v>0</v>
      </c>
      <c r="Z819" s="80">
        <f t="shared" si="391"/>
        <v>0</v>
      </c>
      <c r="AA819" s="80">
        <f>ROUND(SUM(G819:Z819),2)</f>
        <v>969736807.38</v>
      </c>
      <c r="AB819" s="93" t="str">
        <f>IF(ABS(F819-AA819)&lt;0.01,"ok","err")</f>
        <v>ok</v>
      </c>
    </row>
    <row r="820" spans="1:28" s="60" customFormat="1" hidden="1"/>
    <row r="821" spans="1:28" s="60" customFormat="1" hidden="1">
      <c r="A821" s="60" t="s">
        <v>670</v>
      </c>
      <c r="F821" s="112">
        <f t="shared" ref="F821:Z821" si="392">F793</f>
        <v>0</v>
      </c>
      <c r="G821" s="112">
        <f t="shared" si="392"/>
        <v>0</v>
      </c>
      <c r="H821" s="112">
        <f t="shared" si="392"/>
        <v>0</v>
      </c>
      <c r="I821" s="112">
        <f t="shared" si="392"/>
        <v>0</v>
      </c>
      <c r="J821" s="112">
        <f t="shared" si="392"/>
        <v>0</v>
      </c>
      <c r="K821" s="112">
        <f t="shared" si="392"/>
        <v>0</v>
      </c>
      <c r="L821" s="112">
        <f t="shared" si="392"/>
        <v>0</v>
      </c>
      <c r="M821" s="112">
        <f t="shared" si="392"/>
        <v>0</v>
      </c>
      <c r="N821" s="112">
        <f t="shared" si="392"/>
        <v>0</v>
      </c>
      <c r="O821" s="112">
        <f t="shared" si="392"/>
        <v>0</v>
      </c>
      <c r="P821" s="112">
        <f t="shared" si="392"/>
        <v>0</v>
      </c>
      <c r="Q821" s="112">
        <f t="shared" si="392"/>
        <v>0</v>
      </c>
      <c r="R821" s="112">
        <f t="shared" si="392"/>
        <v>0</v>
      </c>
      <c r="S821" s="112">
        <f t="shared" si="392"/>
        <v>0</v>
      </c>
      <c r="T821" s="112">
        <f t="shared" si="392"/>
        <v>0</v>
      </c>
      <c r="U821" s="112">
        <f t="shared" si="392"/>
        <v>0</v>
      </c>
      <c r="V821" s="112">
        <f t="shared" si="392"/>
        <v>0</v>
      </c>
      <c r="W821" s="112">
        <f t="shared" si="392"/>
        <v>0</v>
      </c>
      <c r="X821" s="112">
        <f t="shared" si="392"/>
        <v>0</v>
      </c>
      <c r="Y821" s="112">
        <f t="shared" si="392"/>
        <v>0</v>
      </c>
      <c r="Z821" s="112">
        <f t="shared" si="392"/>
        <v>0</v>
      </c>
      <c r="AA821" s="80">
        <f>ROUND(SUM(G821:Z821),2)</f>
        <v>0</v>
      </c>
      <c r="AB821" s="93" t="str">
        <f>IF(ABS(F821-AA821)&lt;0.01,"ok","err")</f>
        <v>ok</v>
      </c>
    </row>
    <row r="822" spans="1:28" s="60" customFormat="1" hidden="1"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80"/>
      <c r="AB822" s="93"/>
    </row>
    <row r="823" spans="1:28" s="60" customFormat="1" hidden="1">
      <c r="A823" s="60" t="s">
        <v>671</v>
      </c>
      <c r="E823" s="60">
        <f>0.049809+0.19873791</f>
        <v>0.24854690999999998</v>
      </c>
      <c r="F823" s="112">
        <f>F813*$E$823</f>
        <v>0</v>
      </c>
      <c r="G823" s="112">
        <f>G813*$E$823</f>
        <v>17450287.260719135</v>
      </c>
      <c r="H823" s="112">
        <f>H813*$E$823</f>
        <v>157266.97590185469</v>
      </c>
      <c r="I823" s="112">
        <f t="shared" ref="I823:Z823" si="393">I813*$E$823</f>
        <v>-7129265.3436956713</v>
      </c>
      <c r="J823" s="112">
        <f t="shared" si="393"/>
        <v>-629725.50968047045</v>
      </c>
      <c r="K823" s="112">
        <f t="shared" si="393"/>
        <v>-5936334.5400090525</v>
      </c>
      <c r="L823" s="112">
        <f t="shared" si="393"/>
        <v>-1885336.6275073881</v>
      </c>
      <c r="M823" s="112">
        <f t="shared" si="393"/>
        <v>-118260.14465238695</v>
      </c>
      <c r="N823" s="112">
        <f t="shared" si="393"/>
        <v>-695263.07238576247</v>
      </c>
      <c r="O823" s="112">
        <f t="shared" si="393"/>
        <v>33355.795438836503</v>
      </c>
      <c r="P823" s="112">
        <f t="shared" si="393"/>
        <v>-1233763.6612797023</v>
      </c>
      <c r="Q823" s="112">
        <f t="shared" si="393"/>
        <v>-9446.8764264475249</v>
      </c>
      <c r="R823" s="112">
        <f t="shared" si="393"/>
        <v>-19751.329074755624</v>
      </c>
      <c r="S823" s="112">
        <f t="shared" si="393"/>
        <v>-3743.8337634421159</v>
      </c>
      <c r="T823" s="112">
        <f t="shared" si="393"/>
        <v>12498.906181471913</v>
      </c>
      <c r="U823" s="112">
        <f t="shared" si="393"/>
        <v>5731.7665733484109</v>
      </c>
      <c r="V823" s="112">
        <f t="shared" si="393"/>
        <v>1750.2336604757384</v>
      </c>
      <c r="W823" s="112">
        <f t="shared" si="393"/>
        <v>0</v>
      </c>
      <c r="X823" s="112">
        <f t="shared" si="393"/>
        <v>0</v>
      </c>
      <c r="Y823" s="112">
        <f t="shared" si="393"/>
        <v>0</v>
      </c>
      <c r="Z823" s="112">
        <f t="shared" si="393"/>
        <v>0</v>
      </c>
      <c r="AA823" s="80">
        <f>ROUND(SUM(G823:Z823),2)</f>
        <v>0</v>
      </c>
      <c r="AB823" s="93" t="str">
        <f>IF(ABS(F823-AA823)&lt;0.01,"ok","err")</f>
        <v>ok</v>
      </c>
    </row>
    <row r="824" spans="1:28" s="60" customFormat="1" hidden="1">
      <c r="A824" s="68"/>
      <c r="F824" s="79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80"/>
      <c r="AB824" s="93"/>
    </row>
    <row r="825" spans="1:28" s="60" customFormat="1" hidden="1">
      <c r="A825" s="60" t="s">
        <v>136</v>
      </c>
      <c r="F825" s="80">
        <f t="shared" ref="F825:N825" si="394">SUM(F819:F824)</f>
        <v>969736807.38150656</v>
      </c>
      <c r="G825" s="80">
        <f t="shared" si="394"/>
        <v>449596462.56871104</v>
      </c>
      <c r="H825" s="80">
        <f t="shared" si="394"/>
        <v>1194196.1503776666</v>
      </c>
      <c r="I825" s="80">
        <f t="shared" si="394"/>
        <v>107811863.1401819</v>
      </c>
      <c r="J825" s="80">
        <f t="shared" si="394"/>
        <v>6973834.1081366632</v>
      </c>
      <c r="K825" s="80">
        <f t="shared" si="394"/>
        <v>113664459.35369121</v>
      </c>
      <c r="L825" s="80">
        <f t="shared" si="394"/>
        <v>122182466.29906707</v>
      </c>
      <c r="M825" s="80">
        <f t="shared" si="394"/>
        <v>93961882.521667317</v>
      </c>
      <c r="N825" s="80">
        <f t="shared" si="394"/>
        <v>56807622.206354313</v>
      </c>
      <c r="O825" s="80">
        <f>SUM(O819:O824)</f>
        <v>3567083.7868170468</v>
      </c>
      <c r="P825" s="80">
        <f t="shared" ref="P825:Z825" si="395">SUM(P819:P824)</f>
        <v>13322566.135699483</v>
      </c>
      <c r="Q825" s="80">
        <f t="shared" si="395"/>
        <v>198109.57633930774</v>
      </c>
      <c r="R825" s="80">
        <f t="shared" si="395"/>
        <v>224498.85055269918</v>
      </c>
      <c r="S825" s="80">
        <f t="shared" si="395"/>
        <v>71.413636647841486</v>
      </c>
      <c r="T825" s="80">
        <f t="shared" si="395"/>
        <v>57762.165175168353</v>
      </c>
      <c r="U825" s="80">
        <f t="shared" si="395"/>
        <v>159587.62515411264</v>
      </c>
      <c r="V825" s="80">
        <f t="shared" si="395"/>
        <v>14341.479945151164</v>
      </c>
      <c r="W825" s="80">
        <f t="shared" si="395"/>
        <v>0</v>
      </c>
      <c r="X825" s="80">
        <f t="shared" si="395"/>
        <v>0</v>
      </c>
      <c r="Y825" s="80">
        <f t="shared" si="395"/>
        <v>0</v>
      </c>
      <c r="Z825" s="80">
        <f t="shared" si="395"/>
        <v>0</v>
      </c>
      <c r="AA825" s="80">
        <f>ROUND(SUM(G825:Z825),2)</f>
        <v>969736807.38</v>
      </c>
      <c r="AB825" s="93" t="str">
        <f>IF(ABS(F825-AA825)&lt;0.01,"ok","err")</f>
        <v>ok</v>
      </c>
    </row>
    <row r="826" spans="1:28" s="60" customFormat="1" hidden="1"/>
    <row r="827" spans="1:28" s="60" customFormat="1" hidden="1"/>
    <row r="828" spans="1:28" s="60" customFormat="1" ht="14.1" hidden="1">
      <c r="A828" s="65" t="s">
        <v>822</v>
      </c>
      <c r="F828" s="80">
        <f t="shared" ref="F828:Z828" si="396">F815-F825</f>
        <v>150339127.86581695</v>
      </c>
      <c r="G828" s="80">
        <f t="shared" si="396"/>
        <v>76027306.753017247</v>
      </c>
      <c r="H828" s="80">
        <f t="shared" si="396"/>
        <v>121834.91476008389</v>
      </c>
      <c r="I828" s="80">
        <f t="shared" si="396"/>
        <v>17526606.69685623</v>
      </c>
      <c r="J828" s="80">
        <f t="shared" si="396"/>
        <v>990987.91721010208</v>
      </c>
      <c r="K828" s="80">
        <f t="shared" si="396"/>
        <v>16944070.679309264</v>
      </c>
      <c r="L828" s="80">
        <f t="shared" si="396"/>
        <v>14565677.462728158</v>
      </c>
      <c r="M828" s="80">
        <f t="shared" si="396"/>
        <v>12859862.848165289</v>
      </c>
      <c r="N828" s="80">
        <f t="shared" si="396"/>
        <v>6308971.723453939</v>
      </c>
      <c r="O828" s="80">
        <f t="shared" si="396"/>
        <v>427104.95476158196</v>
      </c>
      <c r="P828" s="80">
        <f t="shared" si="396"/>
        <v>4408101.2452724893</v>
      </c>
      <c r="Q828" s="80">
        <f t="shared" si="396"/>
        <v>22536.771844357427</v>
      </c>
      <c r="R828" s="80">
        <f t="shared" si="396"/>
        <v>27082.743423454522</v>
      </c>
      <c r="S828" s="80">
        <f t="shared" si="396"/>
        <v>556.33680958657533</v>
      </c>
      <c r="T828" s="80">
        <f t="shared" si="396"/>
        <v>5220.9530690336542</v>
      </c>
      <c r="U828" s="80">
        <f t="shared" si="396"/>
        <v>100569.48058785137</v>
      </c>
      <c r="V828" s="80">
        <f t="shared" si="396"/>
        <v>2636.3845482587058</v>
      </c>
      <c r="W828" s="80">
        <f t="shared" si="396"/>
        <v>0</v>
      </c>
      <c r="X828" s="80">
        <f t="shared" si="396"/>
        <v>0</v>
      </c>
      <c r="Y828" s="80">
        <f t="shared" si="396"/>
        <v>0</v>
      </c>
      <c r="Z828" s="80">
        <f t="shared" si="396"/>
        <v>0</v>
      </c>
      <c r="AA828" s="80">
        <f>ROUND(SUM(G828:Z828),2)</f>
        <v>150339127.87</v>
      </c>
      <c r="AB828" s="93" t="str">
        <f>IF(ABS(F828-AA828)&lt;0.01,"ok","err")</f>
        <v>ok</v>
      </c>
    </row>
    <row r="829" spans="1:28" s="60" customFormat="1" hidden="1"/>
    <row r="830" spans="1:28" s="60" customFormat="1" ht="14.1" hidden="1">
      <c r="A830" s="65" t="s">
        <v>1026</v>
      </c>
      <c r="F830" s="80">
        <f>F789</f>
        <v>3460077816.1601419</v>
      </c>
      <c r="G830" s="80">
        <f t="shared" ref="G830:Z830" si="397">G789</f>
        <v>1749779989.101094</v>
      </c>
      <c r="H830" s="80">
        <f t="shared" si="397"/>
        <v>2804049.0308775981</v>
      </c>
      <c r="I830" s="80">
        <f t="shared" si="397"/>
        <v>403377509.80225503</v>
      </c>
      <c r="J830" s="80">
        <f t="shared" si="397"/>
        <v>22807737.128033813</v>
      </c>
      <c r="K830" s="80">
        <f t="shared" si="397"/>
        <v>389970355.05789894</v>
      </c>
      <c r="L830" s="80">
        <f t="shared" si="397"/>
        <v>335231274.66265321</v>
      </c>
      <c r="M830" s="80">
        <f t="shared" si="397"/>
        <v>295971692.74197924</v>
      </c>
      <c r="N830" s="80">
        <f t="shared" si="397"/>
        <v>145201940.52601016</v>
      </c>
      <c r="O830" s="80">
        <f t="shared" si="397"/>
        <v>9829885.2741891239</v>
      </c>
      <c r="P830" s="80">
        <f t="shared" si="397"/>
        <v>101453118.33768603</v>
      </c>
      <c r="Q830" s="80">
        <f t="shared" si="397"/>
        <v>518687.22011027404</v>
      </c>
      <c r="R830" s="80">
        <f t="shared" si="397"/>
        <v>623313.44507924758</v>
      </c>
      <c r="S830" s="80">
        <f t="shared" si="397"/>
        <v>12804.176001885042</v>
      </c>
      <c r="T830" s="80">
        <f t="shared" si="397"/>
        <v>120161.0262732144</v>
      </c>
      <c r="U830" s="80">
        <f t="shared" si="397"/>
        <v>2314621.8400000003</v>
      </c>
      <c r="V830" s="80">
        <f t="shared" si="397"/>
        <v>60676.790000000008</v>
      </c>
      <c r="W830" s="80">
        <f t="shared" si="397"/>
        <v>0</v>
      </c>
      <c r="X830" s="80">
        <f t="shared" si="397"/>
        <v>0</v>
      </c>
      <c r="Y830" s="80">
        <f t="shared" si="397"/>
        <v>0</v>
      </c>
      <c r="Z830" s="80">
        <f t="shared" si="397"/>
        <v>0</v>
      </c>
      <c r="AA830" s="80">
        <f>ROUND(SUM(G830:Z830),2)</f>
        <v>3460077816.1599998</v>
      </c>
      <c r="AB830" s="93" t="str">
        <f>IF(ABS(F830-AA830)&lt;0.01,"ok","err")</f>
        <v>ok</v>
      </c>
    </row>
    <row r="831" spans="1:28" s="60" customFormat="1" ht="14.1" hidden="1" thickBot="1"/>
    <row r="832" spans="1:28" s="60" customFormat="1" ht="14.4" hidden="1" thickBot="1">
      <c r="A832" s="281" t="s">
        <v>1044</v>
      </c>
      <c r="B832" s="146"/>
      <c r="C832" s="146"/>
      <c r="D832" s="146"/>
      <c r="E832" s="146"/>
      <c r="F832" s="147">
        <f t="shared" ref="F832:N832" si="398">F828/F830</f>
        <v>4.3449637798220787E-2</v>
      </c>
      <c r="G832" s="147">
        <f t="shared" si="398"/>
        <v>4.3449637798220787E-2</v>
      </c>
      <c r="H832" s="147">
        <f t="shared" si="398"/>
        <v>4.3449637798220871E-2</v>
      </c>
      <c r="I832" s="147">
        <f t="shared" si="398"/>
        <v>4.3449637798220773E-2</v>
      </c>
      <c r="J832" s="147">
        <f t="shared" si="398"/>
        <v>4.3449637798220808E-2</v>
      </c>
      <c r="K832" s="147">
        <f t="shared" si="398"/>
        <v>4.344963779822078E-2</v>
      </c>
      <c r="L832" s="147">
        <f t="shared" si="398"/>
        <v>4.3449637798220808E-2</v>
      </c>
      <c r="M832" s="147">
        <f t="shared" si="398"/>
        <v>4.344963779822078E-2</v>
      </c>
      <c r="N832" s="147">
        <f t="shared" si="398"/>
        <v>4.3449637798220794E-2</v>
      </c>
      <c r="O832" s="147">
        <f>O828/O830</f>
        <v>4.3449637798220815E-2</v>
      </c>
      <c r="P832" s="147">
        <f>P828/P830</f>
        <v>4.3449637798220787E-2</v>
      </c>
      <c r="Q832" s="147">
        <f>Q828/Q830</f>
        <v>4.3449637798220787E-2</v>
      </c>
      <c r="R832" s="147">
        <f t="shared" ref="R832:Z832" si="399">R828/R830</f>
        <v>4.3449637798220836E-2</v>
      </c>
      <c r="S832" s="147">
        <f t="shared" si="399"/>
        <v>4.3449637798220746E-2</v>
      </c>
      <c r="T832" s="147">
        <f t="shared" si="399"/>
        <v>4.344963779822076E-2</v>
      </c>
      <c r="U832" s="147">
        <f t="shared" si="399"/>
        <v>4.3449637798220794E-2</v>
      </c>
      <c r="V832" s="147">
        <f t="shared" si="399"/>
        <v>4.3449637798220794E-2</v>
      </c>
      <c r="W832" s="147" t="e">
        <f t="shared" si="399"/>
        <v>#DIV/0!</v>
      </c>
      <c r="X832" s="147" t="e">
        <f t="shared" si="399"/>
        <v>#DIV/0!</v>
      </c>
      <c r="Y832" s="147" t="e">
        <f t="shared" si="399"/>
        <v>#DIV/0!</v>
      </c>
      <c r="Z832" s="147" t="e">
        <f t="shared" si="399"/>
        <v>#DIV/0!</v>
      </c>
      <c r="AA832" s="137"/>
      <c r="AB832" s="137"/>
    </row>
    <row r="833" spans="1:36" s="60" customFormat="1" hidden="1"/>
    <row r="834" spans="1:36" s="60" customFormat="1" hidden="1"/>
    <row r="835" spans="1:36" s="60" customFormat="1" ht="14.1" hidden="1">
      <c r="A835" s="65" t="s">
        <v>826</v>
      </c>
      <c r="B835" s="65"/>
      <c r="F835" s="80">
        <f t="shared" ref="F835:Z835" si="400">F813</f>
        <v>0</v>
      </c>
      <c r="G835" s="80">
        <f t="shared" si="400"/>
        <v>70209230.365081325</v>
      </c>
      <c r="H835" s="80">
        <f t="shared" si="400"/>
        <v>632745.64910847088</v>
      </c>
      <c r="I835" s="80">
        <f t="shared" si="400"/>
        <v>-28683781.841004066</v>
      </c>
      <c r="J835" s="80">
        <f t="shared" si="400"/>
        <v>-2533628.3990835794</v>
      </c>
      <c r="K835" s="80">
        <f t="shared" si="400"/>
        <v>-23884161.505001422</v>
      </c>
      <c r="L835" s="80">
        <f t="shared" si="400"/>
        <v>-7585435.7936189519</v>
      </c>
      <c r="M835" s="80">
        <f t="shared" si="400"/>
        <v>-475806.13515729067</v>
      </c>
      <c r="N835" s="80">
        <f t="shared" si="400"/>
        <v>-2797311.2696744553</v>
      </c>
      <c r="O835" s="80">
        <f t="shared" si="400"/>
        <v>134203.21917836962</v>
      </c>
      <c r="P835" s="80">
        <f t="shared" si="400"/>
        <v>-4963906.6576192901</v>
      </c>
      <c r="Q835" s="80">
        <f t="shared" si="400"/>
        <v>-38008.424351151763</v>
      </c>
      <c r="R835" s="80">
        <f t="shared" si="400"/>
        <v>-79467.208321984872</v>
      </c>
      <c r="S835" s="80">
        <f t="shared" si="400"/>
        <v>-15062.885969663095</v>
      </c>
      <c r="T835" s="80">
        <f t="shared" si="400"/>
        <v>50287.916198483072</v>
      </c>
      <c r="U835" s="80">
        <f t="shared" si="400"/>
        <v>23061.105741964006</v>
      </c>
      <c r="V835" s="80">
        <f t="shared" si="400"/>
        <v>7041.8644934098702</v>
      </c>
      <c r="W835" s="80">
        <f t="shared" si="400"/>
        <v>0</v>
      </c>
      <c r="X835" s="80">
        <f t="shared" si="400"/>
        <v>0</v>
      </c>
      <c r="Y835" s="80">
        <f t="shared" si="400"/>
        <v>0</v>
      </c>
      <c r="Z835" s="80">
        <f t="shared" si="400"/>
        <v>0</v>
      </c>
      <c r="AA835" s="80">
        <f>ROUND(SUM(G835:Z835),2)</f>
        <v>0</v>
      </c>
      <c r="AB835" s="93" t="str">
        <f>IF(ABS(F835-AA835)&lt;0.01,"ok","err")</f>
        <v>ok</v>
      </c>
    </row>
    <row r="836" spans="1:36" s="60" customFormat="1" ht="14.1" hidden="1">
      <c r="A836" s="65"/>
      <c r="B836" s="65"/>
    </row>
    <row r="837" spans="1:36" s="60" customFormat="1" ht="14.1" hidden="1">
      <c r="A837" s="65" t="s">
        <v>827</v>
      </c>
      <c r="B837" s="65"/>
      <c r="F837" s="148">
        <f t="shared" ref="F837:Z837" si="401">F835/F810</f>
        <v>0</v>
      </c>
      <c r="G837" s="148">
        <f t="shared" si="401"/>
        <v>0.15416554448597625</v>
      </c>
      <c r="H837" s="148">
        <f t="shared" si="401"/>
        <v>0.9260341787850439</v>
      </c>
      <c r="I837" s="148">
        <f t="shared" si="401"/>
        <v>-0.18623141480208147</v>
      </c>
      <c r="J837" s="148">
        <f t="shared" si="401"/>
        <v>-0.24133355844475082</v>
      </c>
      <c r="K837" s="148">
        <f t="shared" si="401"/>
        <v>-0.15459735517085241</v>
      </c>
      <c r="L837" s="148">
        <f t="shared" si="401"/>
        <v>-5.2554892749033959E-2</v>
      </c>
      <c r="M837" s="148">
        <f t="shared" si="401"/>
        <v>-4.4344547334350237E-3</v>
      </c>
      <c r="N837" s="148">
        <f t="shared" si="401"/>
        <v>-4.2438864169990168E-2</v>
      </c>
      <c r="O837" s="148">
        <f t="shared" si="401"/>
        <v>3.4767803764952435E-2</v>
      </c>
      <c r="P837" s="148">
        <f t="shared" si="401"/>
        <v>-0.21872658412439711</v>
      </c>
      <c r="Q837" s="148">
        <f t="shared" si="401"/>
        <v>-0.14694654182742958</v>
      </c>
      <c r="R837" s="148">
        <f t="shared" si="401"/>
        <v>-0.24004680811506959</v>
      </c>
      <c r="S837" s="148">
        <f t="shared" si="401"/>
        <v>-0.95999203412817657</v>
      </c>
      <c r="T837" s="148">
        <f t="shared" si="401"/>
        <v>3.9611749397435649</v>
      </c>
      <c r="U837" s="148">
        <f t="shared" si="401"/>
        <v>9.7264845218662507E-2</v>
      </c>
      <c r="V837" s="148">
        <f t="shared" si="401"/>
        <v>0.70872227188102555</v>
      </c>
      <c r="W837" s="148" t="e">
        <f t="shared" si="401"/>
        <v>#DIV/0!</v>
      </c>
      <c r="X837" s="148" t="e">
        <f t="shared" si="401"/>
        <v>#DIV/0!</v>
      </c>
      <c r="Y837" s="148" t="e">
        <f t="shared" si="401"/>
        <v>#DIV/0!</v>
      </c>
      <c r="Z837" s="148" t="e">
        <f t="shared" si="401"/>
        <v>#DIV/0!</v>
      </c>
    </row>
    <row r="838" spans="1:36" s="60" customFormat="1" ht="14.1" hidden="1">
      <c r="A838" s="65"/>
      <c r="B838" s="65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36" s="60" customFormat="1" ht="14.1" hidden="1">
      <c r="A839" s="65" t="s">
        <v>1181</v>
      </c>
    </row>
    <row r="840" spans="1:36" s="60" customFormat="1" hidden="1"/>
    <row r="841" spans="1:36" s="60" customFormat="1" ht="14.1" hidden="1">
      <c r="A841" s="65" t="s">
        <v>1036</v>
      </c>
      <c r="AH841" s="249"/>
      <c r="AI841" s="249"/>
      <c r="AJ841" s="249"/>
    </row>
    <row r="842" spans="1:36" s="60" customFormat="1" hidden="1"/>
    <row r="843" spans="1:36" s="60" customFormat="1" hidden="1">
      <c r="A843" s="60" t="s">
        <v>1</v>
      </c>
      <c r="F843" s="80">
        <f t="shared" ref="F843:Z843" si="402">F754</f>
        <v>1120075935.2473235</v>
      </c>
      <c r="G843" s="80">
        <f t="shared" si="402"/>
        <v>455414538.95664698</v>
      </c>
      <c r="H843" s="80">
        <f t="shared" si="402"/>
        <v>683285.41602927947</v>
      </c>
      <c r="I843" s="80">
        <f t="shared" si="402"/>
        <v>154022251.6780422</v>
      </c>
      <c r="J843" s="80">
        <f t="shared" si="402"/>
        <v>10498450.424430344</v>
      </c>
      <c r="K843" s="80">
        <f t="shared" si="402"/>
        <v>154492691.53800189</v>
      </c>
      <c r="L843" s="80">
        <f t="shared" si="402"/>
        <v>144333579.55541417</v>
      </c>
      <c r="M843" s="80">
        <f t="shared" si="402"/>
        <v>107297551.50498989</v>
      </c>
      <c r="N843" s="80">
        <f t="shared" si="402"/>
        <v>65913905.199482709</v>
      </c>
      <c r="O843" s="80">
        <f t="shared" si="402"/>
        <v>3859985.522400259</v>
      </c>
      <c r="P843" s="80">
        <f t="shared" si="402"/>
        <v>22694574.038591262</v>
      </c>
      <c r="Q843" s="80">
        <f t="shared" si="402"/>
        <v>258654.77253481693</v>
      </c>
      <c r="R843" s="80">
        <f t="shared" si="402"/>
        <v>331048.80229813856</v>
      </c>
      <c r="S843" s="80">
        <f t="shared" si="402"/>
        <v>15690.636415897512</v>
      </c>
      <c r="T843" s="80">
        <f t="shared" si="402"/>
        <v>12695.202045718932</v>
      </c>
      <c r="U843" s="80">
        <f t="shared" si="402"/>
        <v>237096</v>
      </c>
      <c r="V843" s="80">
        <f t="shared" si="402"/>
        <v>9936</v>
      </c>
      <c r="W843" s="80">
        <f t="shared" si="402"/>
        <v>0</v>
      </c>
      <c r="X843" s="80">
        <f t="shared" si="402"/>
        <v>0</v>
      </c>
      <c r="Y843" s="80">
        <f t="shared" si="402"/>
        <v>0</v>
      </c>
      <c r="Z843" s="80">
        <f t="shared" si="402"/>
        <v>0</v>
      </c>
      <c r="AA843" s="80">
        <f>ROUND(SUM(G843:Z843),2)</f>
        <v>1120075935.25</v>
      </c>
      <c r="AB843" s="93" t="str">
        <f>IF(ABS(F843-AA843)&lt;0.01,"ok","err")</f>
        <v>ok</v>
      </c>
      <c r="AH843" s="76"/>
      <c r="AI843" s="76"/>
      <c r="AJ843" s="148"/>
    </row>
    <row r="844" spans="1:36" s="60" customFormat="1" hidden="1"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93"/>
      <c r="AH844" s="79"/>
      <c r="AI844" s="79"/>
      <c r="AJ844" s="148"/>
    </row>
    <row r="845" spans="1:36" s="60" customFormat="1" hidden="1">
      <c r="A845" s="60" t="s">
        <v>134</v>
      </c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93"/>
      <c r="AH845" s="79"/>
      <c r="AI845" s="79"/>
      <c r="AJ845" s="148"/>
    </row>
    <row r="846" spans="1:36" s="60" customFormat="1" hidden="1">
      <c r="A846" s="60" t="s">
        <v>823</v>
      </c>
      <c r="F846" s="80"/>
      <c r="G846" s="80">
        <v>0</v>
      </c>
      <c r="H846" s="80">
        <v>0</v>
      </c>
      <c r="I846" s="80">
        <v>0</v>
      </c>
      <c r="J846" s="80">
        <v>0</v>
      </c>
      <c r="K846" s="80">
        <v>0</v>
      </c>
      <c r="L846" s="80">
        <v>0</v>
      </c>
      <c r="M846" s="80">
        <v>0</v>
      </c>
      <c r="N846" s="80">
        <v>0</v>
      </c>
      <c r="O846" s="80">
        <v>0</v>
      </c>
      <c r="P846" s="80">
        <v>0</v>
      </c>
      <c r="Q846" s="80">
        <v>0</v>
      </c>
      <c r="R846" s="80">
        <v>0</v>
      </c>
      <c r="S846" s="80">
        <v>0</v>
      </c>
      <c r="T846" s="80">
        <v>0</v>
      </c>
      <c r="U846" s="80">
        <v>0</v>
      </c>
      <c r="V846" s="76">
        <v>0</v>
      </c>
      <c r="W846" s="76">
        <v>0</v>
      </c>
      <c r="X846" s="76">
        <v>0</v>
      </c>
      <c r="Y846" s="76">
        <v>0</v>
      </c>
      <c r="Z846" s="76">
        <v>0</v>
      </c>
      <c r="AA846" s="80">
        <f>SUM(G846:Z846)</f>
        <v>0</v>
      </c>
      <c r="AB846" s="93" t="str">
        <f>IF(ABS(F846-AA846)&lt;0.01,"ok","err")</f>
        <v>ok</v>
      </c>
      <c r="AH846" s="79"/>
      <c r="AI846" s="79"/>
      <c r="AJ846" s="148"/>
    </row>
    <row r="847" spans="1:36" s="60" customFormat="1" hidden="1">
      <c r="A847" s="60" t="s">
        <v>1239</v>
      </c>
      <c r="E847" s="60" t="s">
        <v>661</v>
      </c>
      <c r="F847" s="76"/>
      <c r="G847" s="76">
        <f t="shared" ref="G847:P848" si="403">IF(VLOOKUP($E847,$D$6:$AN$1150,3,)=0,0,(VLOOKUP($E847,$D$6:$AN$1150,G$2,)/VLOOKUP($E847,$D$6:$AN$1150,3,))*$F847)</f>
        <v>0</v>
      </c>
      <c r="H847" s="76">
        <f t="shared" si="403"/>
        <v>0</v>
      </c>
      <c r="I847" s="76">
        <f t="shared" si="403"/>
        <v>0</v>
      </c>
      <c r="J847" s="76">
        <f t="shared" si="403"/>
        <v>0</v>
      </c>
      <c r="K847" s="76">
        <f t="shared" si="403"/>
        <v>0</v>
      </c>
      <c r="L847" s="76">
        <f t="shared" si="403"/>
        <v>0</v>
      </c>
      <c r="M847" s="76">
        <f t="shared" si="403"/>
        <v>0</v>
      </c>
      <c r="N847" s="76">
        <f t="shared" si="403"/>
        <v>0</v>
      </c>
      <c r="O847" s="76">
        <f t="shared" si="403"/>
        <v>0</v>
      </c>
      <c r="P847" s="76">
        <f t="shared" si="403"/>
        <v>0</v>
      </c>
      <c r="Q847" s="76">
        <f t="shared" ref="Q847:Z848" si="404">IF(VLOOKUP($E847,$D$6:$AN$1150,3,)=0,0,(VLOOKUP($E847,$D$6:$AN$1150,Q$2,)/VLOOKUP($E847,$D$6:$AN$1150,3,))*$F847)</f>
        <v>0</v>
      </c>
      <c r="R847" s="76">
        <f t="shared" si="404"/>
        <v>0</v>
      </c>
      <c r="S847" s="76">
        <f t="shared" si="404"/>
        <v>0</v>
      </c>
      <c r="T847" s="76">
        <f t="shared" si="404"/>
        <v>0</v>
      </c>
      <c r="U847" s="76">
        <f t="shared" si="404"/>
        <v>0</v>
      </c>
      <c r="V847" s="76">
        <f t="shared" si="404"/>
        <v>0</v>
      </c>
      <c r="W847" s="76">
        <f t="shared" si="404"/>
        <v>0</v>
      </c>
      <c r="X847" s="79">
        <f t="shared" si="404"/>
        <v>0</v>
      </c>
      <c r="Y847" s="79">
        <f t="shared" si="404"/>
        <v>0</v>
      </c>
      <c r="Z847" s="79">
        <f t="shared" si="404"/>
        <v>0</v>
      </c>
      <c r="AA847" s="80">
        <f>SUM(G847:Z847)</f>
        <v>0</v>
      </c>
      <c r="AB847" s="93" t="str">
        <f>IF(ABS(F847-AA847)&lt;0.01,"ok","err")</f>
        <v>ok</v>
      </c>
    </row>
    <row r="848" spans="1:36" s="60" customFormat="1" hidden="1">
      <c r="A848" s="60" t="s">
        <v>824</v>
      </c>
      <c r="E848" s="60" t="str">
        <f>E924</f>
        <v>MISCR</v>
      </c>
      <c r="F848" s="79">
        <f>F924</f>
        <v>89459</v>
      </c>
      <c r="G848" s="76">
        <f t="shared" si="403"/>
        <v>85150.578081008411</v>
      </c>
      <c r="H848" s="76">
        <f t="shared" si="403"/>
        <v>210.18119061010901</v>
      </c>
      <c r="I848" s="76">
        <f t="shared" si="403"/>
        <v>3390.4468885644255</v>
      </c>
      <c r="J848" s="76">
        <f t="shared" si="403"/>
        <v>14.147803411850305</v>
      </c>
      <c r="K848" s="76">
        <f t="shared" si="403"/>
        <v>562.35442074324351</v>
      </c>
      <c r="L848" s="76">
        <f t="shared" si="403"/>
        <v>26.596762954128913</v>
      </c>
      <c r="M848" s="76">
        <f t="shared" si="403"/>
        <v>102.06740350278399</v>
      </c>
      <c r="N848" s="76">
        <f t="shared" si="403"/>
        <v>2.6274492050579137</v>
      </c>
      <c r="O848" s="76">
        <f t="shared" si="403"/>
        <v>0</v>
      </c>
      <c r="P848" s="76">
        <f t="shared" si="403"/>
        <v>0</v>
      </c>
      <c r="Q848" s="76">
        <f t="shared" si="404"/>
        <v>0</v>
      </c>
      <c r="R848" s="76">
        <f t="shared" si="404"/>
        <v>0</v>
      </c>
      <c r="S848" s="76">
        <f t="shared" si="404"/>
        <v>0</v>
      </c>
      <c r="T848" s="76">
        <f t="shared" si="404"/>
        <v>0</v>
      </c>
      <c r="U848" s="76">
        <f t="shared" si="404"/>
        <v>0</v>
      </c>
      <c r="V848" s="76">
        <f t="shared" si="404"/>
        <v>0</v>
      </c>
      <c r="W848" s="76">
        <f t="shared" si="404"/>
        <v>0</v>
      </c>
      <c r="X848" s="79">
        <f t="shared" si="404"/>
        <v>0</v>
      </c>
      <c r="Y848" s="79">
        <f t="shared" si="404"/>
        <v>0</v>
      </c>
      <c r="Z848" s="79">
        <f t="shared" si="404"/>
        <v>0</v>
      </c>
      <c r="AA848" s="80">
        <f>SUM(G848:Z848)</f>
        <v>89459</v>
      </c>
      <c r="AB848" s="93" t="str">
        <f>IF(ABS(F848-AA848)&lt;0.01,"ok","err")</f>
        <v>ok</v>
      </c>
      <c r="AH848" s="79"/>
      <c r="AI848" s="79"/>
      <c r="AJ848" s="148"/>
    </row>
    <row r="849" spans="1:36" s="60" customFormat="1" hidden="1">
      <c r="AH849" s="79"/>
      <c r="AI849" s="79"/>
      <c r="AJ849" s="148"/>
    </row>
    <row r="850" spans="1:36" s="60" customFormat="1" hidden="1">
      <c r="A850" s="60" t="s">
        <v>135</v>
      </c>
      <c r="F850" s="80">
        <f>SUM(F843:F848)</f>
        <v>1120165394.2473235</v>
      </c>
      <c r="G850" s="80">
        <f t="shared" ref="G850:P850" si="405">SUM(G843:G848)</f>
        <v>455499689.53472799</v>
      </c>
      <c r="H850" s="80">
        <f t="shared" si="405"/>
        <v>683495.59721988963</v>
      </c>
      <c r="I850" s="80">
        <f t="shared" si="405"/>
        <v>154025642.12493077</v>
      </c>
      <c r="J850" s="80">
        <f t="shared" si="405"/>
        <v>10498464.572233757</v>
      </c>
      <c r="K850" s="80">
        <f t="shared" si="405"/>
        <v>154493253.89242265</v>
      </c>
      <c r="L850" s="80">
        <f t="shared" si="405"/>
        <v>144333606.15217713</v>
      </c>
      <c r="M850" s="80">
        <f t="shared" si="405"/>
        <v>107297653.5723934</v>
      </c>
      <c r="N850" s="80">
        <f t="shared" si="405"/>
        <v>65913907.826931916</v>
      </c>
      <c r="O850" s="80">
        <f>SUM(O843:O848)</f>
        <v>3859985.522400259</v>
      </c>
      <c r="P850" s="80">
        <f t="shared" si="405"/>
        <v>22694574.038591262</v>
      </c>
      <c r="Q850" s="80">
        <f>SUM(Q843:Q848)</f>
        <v>258654.77253481693</v>
      </c>
      <c r="R850" s="80">
        <f t="shared" ref="R850:Z850" si="406">SUM(R843:R848)</f>
        <v>331048.80229813856</v>
      </c>
      <c r="S850" s="80">
        <f t="shared" si="406"/>
        <v>15690.636415897512</v>
      </c>
      <c r="T850" s="80">
        <f t="shared" si="406"/>
        <v>12695.202045718932</v>
      </c>
      <c r="U850" s="80">
        <f t="shared" si="406"/>
        <v>237096</v>
      </c>
      <c r="V850" s="80">
        <f t="shared" si="406"/>
        <v>9936</v>
      </c>
      <c r="W850" s="80">
        <f t="shared" si="406"/>
        <v>0</v>
      </c>
      <c r="X850" s="80">
        <f t="shared" si="406"/>
        <v>0</v>
      </c>
      <c r="Y850" s="80">
        <f t="shared" si="406"/>
        <v>0</v>
      </c>
      <c r="Z850" s="80">
        <f t="shared" si="406"/>
        <v>0</v>
      </c>
      <c r="AA850" s="80">
        <f>ROUND(SUM(G850:Z850),2)</f>
        <v>1120165394.25</v>
      </c>
      <c r="AB850" s="93" t="str">
        <f>IF(ABS(F850-AA850)&lt;0.01,"ok","err")</f>
        <v>ok</v>
      </c>
    </row>
    <row r="851" spans="1:36" s="60" customFormat="1" hidden="1">
      <c r="AH851" s="76"/>
      <c r="AI851" s="76"/>
      <c r="AJ851" s="148"/>
    </row>
    <row r="852" spans="1:36" s="60" customFormat="1" hidden="1"/>
    <row r="853" spans="1:36" s="60" customFormat="1" ht="14.1" hidden="1">
      <c r="A853" s="65" t="s">
        <v>1040</v>
      </c>
      <c r="F853" s="80"/>
    </row>
    <row r="854" spans="1:36" s="60" customFormat="1" hidden="1"/>
    <row r="855" spans="1:36" s="60" customFormat="1" hidden="1">
      <c r="A855" s="60" t="s">
        <v>1043</v>
      </c>
      <c r="F855" s="80">
        <f>F778</f>
        <v>969736807.38150656</v>
      </c>
      <c r="G855" s="80">
        <f t="shared" ref="G855:U855" si="407">G778</f>
        <v>432146175.30799192</v>
      </c>
      <c r="H855" s="80">
        <f t="shared" si="407"/>
        <v>1036929.174475812</v>
      </c>
      <c r="I855" s="80">
        <f t="shared" si="407"/>
        <v>114941128.48387757</v>
      </c>
      <c r="J855" s="80">
        <f t="shared" si="407"/>
        <v>7603559.6178171337</v>
      </c>
      <c r="K855" s="80">
        <f t="shared" si="407"/>
        <v>119600793.89370026</v>
      </c>
      <c r="L855" s="80">
        <f t="shared" si="407"/>
        <v>124067802.92657445</v>
      </c>
      <c r="M855" s="80">
        <f t="shared" si="407"/>
        <v>94080142.666319698</v>
      </c>
      <c r="N855" s="80">
        <f t="shared" si="407"/>
        <v>57502885.278740078</v>
      </c>
      <c r="O855" s="80">
        <f t="shared" si="407"/>
        <v>3533727.9913782105</v>
      </c>
      <c r="P855" s="80">
        <f t="shared" si="407"/>
        <v>14556329.796979185</v>
      </c>
      <c r="Q855" s="80">
        <f t="shared" si="407"/>
        <v>207556.45276575527</v>
      </c>
      <c r="R855" s="80">
        <f t="shared" si="407"/>
        <v>244250.17962745481</v>
      </c>
      <c r="S855" s="80">
        <f t="shared" si="407"/>
        <v>3815.2474000899574</v>
      </c>
      <c r="T855" s="80">
        <f t="shared" si="407"/>
        <v>45263.258993696436</v>
      </c>
      <c r="U855" s="80">
        <f t="shared" si="407"/>
        <v>153855.85858076424</v>
      </c>
      <c r="V855" s="80">
        <f>V725</f>
        <v>12591.246284675426</v>
      </c>
      <c r="W855" s="80">
        <f>W725</f>
        <v>0</v>
      </c>
      <c r="X855" s="80">
        <f>X725</f>
        <v>0</v>
      </c>
      <c r="Y855" s="80">
        <f>Y725</f>
        <v>0</v>
      </c>
      <c r="Z855" s="80">
        <f>Z725</f>
        <v>0</v>
      </c>
      <c r="AA855" s="80">
        <f>ROUND(SUM(G855:Z855),2)</f>
        <v>969736807.38</v>
      </c>
      <c r="AB855" s="93" t="str">
        <f>IF(ABS(F855-AA855)&lt;0.01,"ok","err")</f>
        <v>ok</v>
      </c>
    </row>
    <row r="856" spans="1:36" s="60" customFormat="1" hidden="1"/>
    <row r="857" spans="1:36" s="60" customFormat="1" hidden="1">
      <c r="A857" s="60" t="s">
        <v>670</v>
      </c>
      <c r="F857" s="112">
        <f t="shared" ref="F857:Z857" si="408">F776</f>
        <v>0</v>
      </c>
      <c r="G857" s="112">
        <f t="shared" si="408"/>
        <v>0</v>
      </c>
      <c r="H857" s="112">
        <f t="shared" si="408"/>
        <v>0</v>
      </c>
      <c r="I857" s="112">
        <f t="shared" si="408"/>
        <v>0</v>
      </c>
      <c r="J857" s="112">
        <f t="shared" si="408"/>
        <v>0</v>
      </c>
      <c r="K857" s="112">
        <f t="shared" si="408"/>
        <v>0</v>
      </c>
      <c r="L857" s="112">
        <f t="shared" si="408"/>
        <v>0</v>
      </c>
      <c r="M857" s="112">
        <f t="shared" si="408"/>
        <v>0</v>
      </c>
      <c r="N857" s="112">
        <f t="shared" si="408"/>
        <v>0</v>
      </c>
      <c r="O857" s="112">
        <f t="shared" si="408"/>
        <v>0</v>
      </c>
      <c r="P857" s="112">
        <f t="shared" si="408"/>
        <v>0</v>
      </c>
      <c r="Q857" s="112">
        <f t="shared" si="408"/>
        <v>0</v>
      </c>
      <c r="R857" s="112">
        <f t="shared" si="408"/>
        <v>0</v>
      </c>
      <c r="S857" s="112">
        <f t="shared" si="408"/>
        <v>0</v>
      </c>
      <c r="T857" s="112">
        <f t="shared" si="408"/>
        <v>0</v>
      </c>
      <c r="U857" s="112">
        <f t="shared" si="408"/>
        <v>0</v>
      </c>
      <c r="V857" s="112">
        <f t="shared" si="408"/>
        <v>0</v>
      </c>
      <c r="W857" s="112">
        <f t="shared" si="408"/>
        <v>0</v>
      </c>
      <c r="X857" s="112">
        <f t="shared" si="408"/>
        <v>0</v>
      </c>
      <c r="Y857" s="112">
        <f t="shared" si="408"/>
        <v>0</v>
      </c>
      <c r="Z857" s="112">
        <f t="shared" si="408"/>
        <v>0</v>
      </c>
      <c r="AA857" s="80">
        <f>ROUND(SUM(G857:Z857),2)</f>
        <v>0</v>
      </c>
      <c r="AB857" s="93" t="str">
        <f>IF(ABS(F857-AA857)&lt;0.01,"ok","err")</f>
        <v>ok</v>
      </c>
    </row>
    <row r="858" spans="1:36" s="60" customFormat="1" hidden="1"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80"/>
      <c r="AB858" s="93"/>
    </row>
    <row r="859" spans="1:36" s="60" customFormat="1" hidden="1">
      <c r="A859" s="60" t="s">
        <v>671</v>
      </c>
      <c r="F859" s="112">
        <f>(F846+F848)*$E$823</f>
        <v>22234.758021689999</v>
      </c>
      <c r="G859" s="112">
        <f>(G846+G848)*$E$823</f>
        <v>21163.91306674837</v>
      </c>
      <c r="H859" s="112">
        <f t="shared" ref="H859:Z859" si="409">(H846+H848)*$E$823</f>
        <v>52.239885466263608</v>
      </c>
      <c r="I859" s="112">
        <f t="shared" si="409"/>
        <v>842.68509767180228</v>
      </c>
      <c r="J859" s="112">
        <f t="shared" si="409"/>
        <v>3.5163928213028504</v>
      </c>
      <c r="K859" s="112">
        <f t="shared" si="409"/>
        <v>139.77145360057307</v>
      </c>
      <c r="L859" s="112">
        <f t="shared" si="409"/>
        <v>6.6105432482512123</v>
      </c>
      <c r="M859" s="112">
        <f t="shared" si="409"/>
        <v>25.368537752340135</v>
      </c>
      <c r="N859" s="112">
        <f t="shared" si="409"/>
        <v>0.65304438109910079</v>
      </c>
      <c r="O859" s="112">
        <f t="shared" si="409"/>
        <v>0</v>
      </c>
      <c r="P859" s="112">
        <f t="shared" si="409"/>
        <v>0</v>
      </c>
      <c r="Q859" s="112">
        <f t="shared" si="409"/>
        <v>0</v>
      </c>
      <c r="R859" s="112">
        <f t="shared" si="409"/>
        <v>0</v>
      </c>
      <c r="S859" s="112">
        <f t="shared" si="409"/>
        <v>0</v>
      </c>
      <c r="T859" s="112">
        <f t="shared" si="409"/>
        <v>0</v>
      </c>
      <c r="U859" s="112">
        <f t="shared" si="409"/>
        <v>0</v>
      </c>
      <c r="V859" s="112">
        <f t="shared" si="409"/>
        <v>0</v>
      </c>
      <c r="W859" s="112">
        <f t="shared" si="409"/>
        <v>0</v>
      </c>
      <c r="X859" s="112">
        <f t="shared" si="409"/>
        <v>0</v>
      </c>
      <c r="Y859" s="112">
        <f t="shared" si="409"/>
        <v>0</v>
      </c>
      <c r="Z859" s="112">
        <f t="shared" si="409"/>
        <v>0</v>
      </c>
      <c r="AA859" s="80">
        <f>ROUND(SUM(G859:Z859),2)</f>
        <v>22234.76</v>
      </c>
      <c r="AB859" s="93" t="str">
        <f>IF(ABS(F859-AA859)&lt;0.01,"ok","err")</f>
        <v>ok</v>
      </c>
    </row>
    <row r="860" spans="1:36" s="60" customFormat="1" hidden="1">
      <c r="A860" s="68"/>
      <c r="F860" s="79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80"/>
      <c r="AB860" s="93"/>
    </row>
    <row r="861" spans="1:36" s="60" customFormat="1" hidden="1">
      <c r="A861" s="60" t="s">
        <v>136</v>
      </c>
      <c r="F861" s="80">
        <f t="shared" ref="F861:Z861" si="410">SUM(F855:F860)</f>
        <v>969759042.13952827</v>
      </c>
      <c r="G861" s="80">
        <f>SUM(G855:G860)</f>
        <v>432167339.22105867</v>
      </c>
      <c r="H861" s="80">
        <f t="shared" si="410"/>
        <v>1036981.4143612783</v>
      </c>
      <c r="I861" s="80">
        <f t="shared" si="410"/>
        <v>114941971.16897523</v>
      </c>
      <c r="J861" s="80">
        <f t="shared" si="410"/>
        <v>7603563.1342099551</v>
      </c>
      <c r="K861" s="80">
        <f t="shared" si="410"/>
        <v>119600933.66515386</v>
      </c>
      <c r="L861" s="80">
        <f t="shared" si="410"/>
        <v>124067809.5371177</v>
      </c>
      <c r="M861" s="80">
        <f t="shared" si="410"/>
        <v>94080168.034857452</v>
      </c>
      <c r="N861" s="80">
        <f t="shared" si="410"/>
        <v>57502885.931784458</v>
      </c>
      <c r="O861" s="80">
        <f>SUM(O855:O860)</f>
        <v>3533727.9913782105</v>
      </c>
      <c r="P861" s="80">
        <f t="shared" si="410"/>
        <v>14556329.796979185</v>
      </c>
      <c r="Q861" s="80">
        <f t="shared" si="410"/>
        <v>207556.45276575527</v>
      </c>
      <c r="R861" s="80">
        <f t="shared" si="410"/>
        <v>244250.17962745481</v>
      </c>
      <c r="S861" s="80">
        <f t="shared" si="410"/>
        <v>3815.2474000899574</v>
      </c>
      <c r="T861" s="80">
        <f t="shared" si="410"/>
        <v>45263.258993696436</v>
      </c>
      <c r="U861" s="80">
        <f t="shared" si="410"/>
        <v>153855.85858076424</v>
      </c>
      <c r="V861" s="80">
        <f t="shared" si="410"/>
        <v>12591.246284675426</v>
      </c>
      <c r="W861" s="80">
        <f t="shared" si="410"/>
        <v>0</v>
      </c>
      <c r="X861" s="80">
        <f t="shared" si="410"/>
        <v>0</v>
      </c>
      <c r="Y861" s="80">
        <f t="shared" si="410"/>
        <v>0</v>
      </c>
      <c r="Z861" s="80">
        <f t="shared" si="410"/>
        <v>0</v>
      </c>
      <c r="AA861" s="80">
        <f>ROUND(SUM(G861:Z861),2)</f>
        <v>969759042.13999999</v>
      </c>
      <c r="AB861" s="93" t="str">
        <f>IF(ABS(F861-AA861)&lt;0.01,"ok","err")</f>
        <v>ok</v>
      </c>
    </row>
    <row r="862" spans="1:36" s="60" customFormat="1" hidden="1"/>
    <row r="863" spans="1:36" s="60" customFormat="1" hidden="1">
      <c r="G863" s="80"/>
      <c r="H863" s="80"/>
      <c r="I863" s="80"/>
    </row>
    <row r="864" spans="1:36" s="60" customFormat="1" ht="14.1" hidden="1">
      <c r="A864" s="65" t="s">
        <v>822</v>
      </c>
      <c r="F864" s="80">
        <f t="shared" ref="F864:Z864" si="411">F850-F861</f>
        <v>150406352.10779524</v>
      </c>
      <c r="G864" s="80">
        <f>G850-G861</f>
        <v>23332350.313669324</v>
      </c>
      <c r="H864" s="80">
        <f t="shared" si="411"/>
        <v>-353485.81714138866</v>
      </c>
      <c r="I864" s="80">
        <f t="shared" si="411"/>
        <v>39083670.955955535</v>
      </c>
      <c r="J864" s="80">
        <f t="shared" si="411"/>
        <v>2894901.4380238019</v>
      </c>
      <c r="K864" s="80">
        <f t="shared" si="411"/>
        <v>34892320.227268785</v>
      </c>
      <c r="L864" s="80">
        <f t="shared" si="411"/>
        <v>20265796.61505942</v>
      </c>
      <c r="M864" s="80">
        <f t="shared" si="411"/>
        <v>13217485.537535951</v>
      </c>
      <c r="N864" s="80">
        <f t="shared" si="411"/>
        <v>8411021.8951474577</v>
      </c>
      <c r="O864" s="80">
        <f>O850-O861</f>
        <v>326257.53102204856</v>
      </c>
      <c r="P864" s="80">
        <f t="shared" si="411"/>
        <v>8138244.2416120768</v>
      </c>
      <c r="Q864" s="80">
        <f t="shared" si="411"/>
        <v>51098.319769061665</v>
      </c>
      <c r="R864" s="80">
        <f t="shared" si="411"/>
        <v>86798.622670683748</v>
      </c>
      <c r="S864" s="80">
        <f t="shared" si="411"/>
        <v>11875.389015807556</v>
      </c>
      <c r="T864" s="80">
        <f t="shared" si="411"/>
        <v>-32568.056947977504</v>
      </c>
      <c r="U864" s="80">
        <f t="shared" si="411"/>
        <v>83240.141419235762</v>
      </c>
      <c r="V864" s="80">
        <f t="shared" si="411"/>
        <v>-2655.2462846754261</v>
      </c>
      <c r="W864" s="80">
        <f t="shared" si="411"/>
        <v>0</v>
      </c>
      <c r="X864" s="80">
        <f t="shared" si="411"/>
        <v>0</v>
      </c>
      <c r="Y864" s="80">
        <f t="shared" si="411"/>
        <v>0</v>
      </c>
      <c r="Z864" s="80">
        <f t="shared" si="411"/>
        <v>0</v>
      </c>
      <c r="AA864" s="80">
        <f>ROUND(SUM(G864:Z864),2)</f>
        <v>150406352.11000001</v>
      </c>
      <c r="AB864" s="93" t="str">
        <f>IF(ABS(F864-AA864)&lt;0.01,"ok","err")</f>
        <v>ok</v>
      </c>
    </row>
    <row r="865" spans="1:28" s="60" customFormat="1" hidden="1"/>
    <row r="866" spans="1:28" s="60" customFormat="1" ht="14.1" hidden="1">
      <c r="A866" s="65" t="s">
        <v>1026</v>
      </c>
      <c r="F866" s="80">
        <f t="shared" ref="F866:Z866" si="412">F789</f>
        <v>3460077816.1601419</v>
      </c>
      <c r="G866" s="80">
        <f t="shared" si="412"/>
        <v>1749779989.101094</v>
      </c>
      <c r="H866" s="80">
        <f t="shared" si="412"/>
        <v>2804049.0308775981</v>
      </c>
      <c r="I866" s="80">
        <f t="shared" si="412"/>
        <v>403377509.80225503</v>
      </c>
      <c r="J866" s="80">
        <f t="shared" si="412"/>
        <v>22807737.128033813</v>
      </c>
      <c r="K866" s="80">
        <f t="shared" si="412"/>
        <v>389970355.05789894</v>
      </c>
      <c r="L866" s="80">
        <f t="shared" si="412"/>
        <v>335231274.66265321</v>
      </c>
      <c r="M866" s="80">
        <f t="shared" si="412"/>
        <v>295971692.74197924</v>
      </c>
      <c r="N866" s="80">
        <f t="shared" si="412"/>
        <v>145201940.52601016</v>
      </c>
      <c r="O866" s="80">
        <f t="shared" si="412"/>
        <v>9829885.2741891239</v>
      </c>
      <c r="P866" s="80">
        <f t="shared" si="412"/>
        <v>101453118.33768603</v>
      </c>
      <c r="Q866" s="80">
        <f t="shared" si="412"/>
        <v>518687.22011027404</v>
      </c>
      <c r="R866" s="80">
        <f t="shared" si="412"/>
        <v>623313.44507924758</v>
      </c>
      <c r="S866" s="80">
        <f t="shared" si="412"/>
        <v>12804.176001885042</v>
      </c>
      <c r="T866" s="80">
        <f t="shared" si="412"/>
        <v>120161.0262732144</v>
      </c>
      <c r="U866" s="80">
        <f t="shared" si="412"/>
        <v>2314621.8400000003</v>
      </c>
      <c r="V866" s="80">
        <f t="shared" si="412"/>
        <v>60676.790000000008</v>
      </c>
      <c r="W866" s="80">
        <f t="shared" si="412"/>
        <v>0</v>
      </c>
      <c r="X866" s="80">
        <f t="shared" si="412"/>
        <v>0</v>
      </c>
      <c r="Y866" s="80">
        <f t="shared" si="412"/>
        <v>0</v>
      </c>
      <c r="Z866" s="80">
        <f t="shared" si="412"/>
        <v>0</v>
      </c>
      <c r="AA866" s="80">
        <f>ROUND(SUM(G866:Z866),2)</f>
        <v>3460077816.1599998</v>
      </c>
      <c r="AB866" s="93" t="str">
        <f>IF(ABS(F866-AA866)&lt;0.01,"ok","err")</f>
        <v>ok</v>
      </c>
    </row>
    <row r="867" spans="1:28" s="60" customFormat="1" ht="14.1" hidden="1" thickBot="1"/>
    <row r="868" spans="1:28" s="60" customFormat="1" ht="14.4" hidden="1" thickBot="1">
      <c r="A868" s="281" t="s">
        <v>1044</v>
      </c>
      <c r="B868" s="146"/>
      <c r="C868" s="146"/>
      <c r="D868" s="146"/>
      <c r="E868" s="146"/>
      <c r="F868" s="147">
        <f t="shared" ref="F868:P868" si="413">F864/F866</f>
        <v>4.3469066332938802E-2</v>
      </c>
      <c r="G868" s="147">
        <f t="shared" si="413"/>
        <v>1.333444802146568E-2</v>
      </c>
      <c r="H868" s="147">
        <f t="shared" si="413"/>
        <v>-0.12606263772454662</v>
      </c>
      <c r="I868" s="147">
        <f t="shared" si="413"/>
        <v>9.6891051201925593E-2</v>
      </c>
      <c r="J868" s="147">
        <f t="shared" si="413"/>
        <v>0.1269262891698964</v>
      </c>
      <c r="K868" s="147">
        <f t="shared" si="413"/>
        <v>8.9474288942010274E-2</v>
      </c>
      <c r="L868" s="147">
        <f t="shared" si="413"/>
        <v>6.0453180078299994E-2</v>
      </c>
      <c r="M868" s="147">
        <f t="shared" si="413"/>
        <v>4.4657938112543163E-2</v>
      </c>
      <c r="N868" s="147">
        <f t="shared" si="413"/>
        <v>5.7926373880938485E-2</v>
      </c>
      <c r="O868" s="147">
        <f>O864/O866</f>
        <v>3.3190370174382512E-2</v>
      </c>
      <c r="P868" s="147">
        <f t="shared" si="413"/>
        <v>8.0216797422864666E-2</v>
      </c>
      <c r="Q868" s="147">
        <f>Q864/Q866</f>
        <v>9.8514707492114523E-2</v>
      </c>
      <c r="R868" s="147">
        <f t="shared" ref="R868:Z868" si="414">R864/R866</f>
        <v>0.13925357034396754</v>
      </c>
      <c r="S868" s="147">
        <f t="shared" si="414"/>
        <v>0.92746218218644061</v>
      </c>
      <c r="T868" s="147">
        <f t="shared" si="414"/>
        <v>-0.27103677421934091</v>
      </c>
      <c r="U868" s="147">
        <f t="shared" si="414"/>
        <v>3.5962739131173045E-2</v>
      </c>
      <c r="V868" s="147">
        <f t="shared" si="414"/>
        <v>-4.3760493669415042E-2</v>
      </c>
      <c r="W868" s="147" t="e">
        <f t="shared" si="414"/>
        <v>#DIV/0!</v>
      </c>
      <c r="X868" s="147" t="e">
        <f t="shared" si="414"/>
        <v>#DIV/0!</v>
      </c>
      <c r="Y868" s="147" t="e">
        <f t="shared" si="414"/>
        <v>#DIV/0!</v>
      </c>
      <c r="Z868" s="147" t="e">
        <f t="shared" si="414"/>
        <v>#DIV/0!</v>
      </c>
      <c r="AA868" s="137"/>
      <c r="AB868" s="137"/>
    </row>
    <row r="869" spans="1:28" s="60" customFormat="1" hidden="1"/>
    <row r="870" spans="1:28" s="60" customFormat="1" hidden="1"/>
    <row r="871" spans="1:28" s="60" customFormat="1" ht="14.1" hidden="1">
      <c r="A871" s="65" t="s">
        <v>1188</v>
      </c>
    </row>
    <row r="872" spans="1:28" s="60" customFormat="1" hidden="1"/>
    <row r="873" spans="1:28" s="60" customFormat="1" ht="14.1" hidden="1">
      <c r="A873" s="65" t="s">
        <v>1036</v>
      </c>
    </row>
    <row r="874" spans="1:28" s="60" customFormat="1" hidden="1"/>
    <row r="875" spans="1:28" s="60" customFormat="1" hidden="1">
      <c r="A875" s="111" t="s">
        <v>1191</v>
      </c>
      <c r="F875" s="80">
        <f>F850</f>
        <v>1120165394.2473235</v>
      </c>
      <c r="G875" s="80">
        <f t="shared" ref="G875:Z875" si="415">G850</f>
        <v>455499689.53472799</v>
      </c>
      <c r="H875" s="80">
        <f t="shared" si="415"/>
        <v>683495.59721988963</v>
      </c>
      <c r="I875" s="80">
        <f t="shared" si="415"/>
        <v>154025642.12493077</v>
      </c>
      <c r="J875" s="80">
        <f t="shared" si="415"/>
        <v>10498464.572233757</v>
      </c>
      <c r="K875" s="80">
        <f t="shared" si="415"/>
        <v>154493253.89242265</v>
      </c>
      <c r="L875" s="80">
        <f t="shared" si="415"/>
        <v>144333606.15217713</v>
      </c>
      <c r="M875" s="80">
        <f t="shared" si="415"/>
        <v>107297653.5723934</v>
      </c>
      <c r="N875" s="80">
        <f t="shared" si="415"/>
        <v>65913907.826931916</v>
      </c>
      <c r="O875" s="80">
        <f t="shared" si="415"/>
        <v>3859985.522400259</v>
      </c>
      <c r="P875" s="80">
        <f t="shared" si="415"/>
        <v>22694574.038591262</v>
      </c>
      <c r="Q875" s="80">
        <f t="shared" si="415"/>
        <v>258654.77253481693</v>
      </c>
      <c r="R875" s="80">
        <f t="shared" si="415"/>
        <v>331048.80229813856</v>
      </c>
      <c r="S875" s="80">
        <f t="shared" si="415"/>
        <v>15690.636415897512</v>
      </c>
      <c r="T875" s="80">
        <f t="shared" si="415"/>
        <v>12695.202045718932</v>
      </c>
      <c r="U875" s="80">
        <f t="shared" si="415"/>
        <v>237096</v>
      </c>
      <c r="V875" s="80">
        <f t="shared" si="415"/>
        <v>9936</v>
      </c>
      <c r="W875" s="80">
        <f t="shared" si="415"/>
        <v>0</v>
      </c>
      <c r="X875" s="80">
        <f t="shared" si="415"/>
        <v>0</v>
      </c>
      <c r="Y875" s="80">
        <f t="shared" si="415"/>
        <v>0</v>
      </c>
      <c r="Z875" s="80">
        <f t="shared" si="415"/>
        <v>0</v>
      </c>
      <c r="AA875" s="80">
        <f>ROUND(SUM(G875:Z875),2)</f>
        <v>1120165394.25</v>
      </c>
      <c r="AB875" s="93" t="str">
        <f>IF(ABS(F875-AA875)&lt;0.01,"ok","err")</f>
        <v>ok</v>
      </c>
    </row>
    <row r="876" spans="1:28" s="60" customFormat="1" hidden="1"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93"/>
    </row>
    <row r="877" spans="1:28" s="60" customFormat="1" hidden="1">
      <c r="A877" s="60" t="s">
        <v>134</v>
      </c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93"/>
    </row>
    <row r="878" spans="1:28" s="60" customFormat="1" hidden="1">
      <c r="A878" s="60" t="s">
        <v>828</v>
      </c>
      <c r="F878" s="76">
        <f>($F$868*F866-F864)/(1-$E$890)-SUM(F848:F849)</f>
        <v>-89459</v>
      </c>
      <c r="G878" s="76">
        <f>($F$868*G866-G864)/(1-$E$890)-SUM(G848:G849)</f>
        <v>70084169.107083991</v>
      </c>
      <c r="H878" s="76">
        <f t="shared" ref="H878:Z878" si="416">($F$868*H866-H864)/(1-$E$890)-SUM(H848:H849)</f>
        <v>632397.78435174958</v>
      </c>
      <c r="I878" s="76">
        <f t="shared" si="416"/>
        <v>-28680133.562211487</v>
      </c>
      <c r="J878" s="76">
        <f t="shared" si="416"/>
        <v>-2533067.0092948307</v>
      </c>
      <c r="K878" s="76">
        <f t="shared" si="416"/>
        <v>-23875203.678175602</v>
      </c>
      <c r="L878" s="76">
        <f t="shared" si="416"/>
        <v>-7576821.709646076</v>
      </c>
      <c r="M878" s="76">
        <f t="shared" si="416"/>
        <v>-468358.03407026234</v>
      </c>
      <c r="N878" s="76">
        <f t="shared" si="416"/>
        <v>-2793562.383455914</v>
      </c>
      <c r="O878" s="76">
        <f t="shared" si="416"/>
        <v>134457.36713499544</v>
      </c>
      <c r="P878" s="76">
        <f t="shared" si="416"/>
        <v>-4961283.6257120352</v>
      </c>
      <c r="Q878" s="76">
        <f t="shared" si="416"/>
        <v>-37995.013889743313</v>
      </c>
      <c r="R878" s="76">
        <f t="shared" si="416"/>
        <v>-79451.092789200353</v>
      </c>
      <c r="S878" s="76">
        <f t="shared" si="416"/>
        <v>-15062.55492254745</v>
      </c>
      <c r="T878" s="76">
        <f t="shared" si="416"/>
        <v>50291.022916256639</v>
      </c>
      <c r="U878" s="76">
        <f t="shared" si="416"/>
        <v>23120.949412016002</v>
      </c>
      <c r="V878" s="250">
        <f t="shared" si="416"/>
        <v>7043.4332688088671</v>
      </c>
      <c r="W878" s="250">
        <f t="shared" si="416"/>
        <v>0</v>
      </c>
      <c r="X878" s="250">
        <f t="shared" si="416"/>
        <v>0</v>
      </c>
      <c r="Y878" s="250">
        <f t="shared" si="416"/>
        <v>0</v>
      </c>
      <c r="Z878" s="250">
        <f t="shared" si="416"/>
        <v>0</v>
      </c>
      <c r="AA878" s="80">
        <f>SUM(G878:Z878)</f>
        <v>-89458.999999874955</v>
      </c>
      <c r="AB878" s="93" t="str">
        <f>IF(ABS(F878-AA878)&lt;0.01,"ok","err")</f>
        <v>ok</v>
      </c>
    </row>
    <row r="879" spans="1:28" s="60" customFormat="1" hidden="1">
      <c r="A879" s="60" t="s">
        <v>824</v>
      </c>
      <c r="E879" s="60" t="s">
        <v>179</v>
      </c>
      <c r="F879" s="76">
        <f>F848</f>
        <v>89459</v>
      </c>
      <c r="G879" s="76">
        <f>G848</f>
        <v>85150.578081008411</v>
      </c>
      <c r="H879" s="76">
        <f t="shared" ref="H879:U879" si="417">H848</f>
        <v>210.18119061010901</v>
      </c>
      <c r="I879" s="76">
        <f t="shared" si="417"/>
        <v>3390.4468885644255</v>
      </c>
      <c r="J879" s="76">
        <f t="shared" si="417"/>
        <v>14.147803411850305</v>
      </c>
      <c r="K879" s="76">
        <f t="shared" si="417"/>
        <v>562.35442074324351</v>
      </c>
      <c r="L879" s="76">
        <f t="shared" si="417"/>
        <v>26.596762954128913</v>
      </c>
      <c r="M879" s="76">
        <f t="shared" si="417"/>
        <v>102.06740350278399</v>
      </c>
      <c r="N879" s="76">
        <f t="shared" si="417"/>
        <v>2.6274492050579137</v>
      </c>
      <c r="O879" s="76">
        <f>O848</f>
        <v>0</v>
      </c>
      <c r="P879" s="76">
        <f t="shared" si="417"/>
        <v>0</v>
      </c>
      <c r="Q879" s="76">
        <f t="shared" si="417"/>
        <v>0</v>
      </c>
      <c r="R879" s="76">
        <f t="shared" si="417"/>
        <v>0</v>
      </c>
      <c r="S879" s="76">
        <f t="shared" si="417"/>
        <v>0</v>
      </c>
      <c r="T879" s="76">
        <f t="shared" si="417"/>
        <v>0</v>
      </c>
      <c r="U879" s="76">
        <f t="shared" si="417"/>
        <v>0</v>
      </c>
      <c r="V879" s="76">
        <f>IF(VLOOKUP($E879,$D$6:$AN$1150,3,)=0,0,(VLOOKUP($E879,$D$6:$AN$1150,V$2,)/VLOOKUP($E879,$D$6:$AN$1150,3,))*$F879)</f>
        <v>0</v>
      </c>
      <c r="W879" s="76">
        <f>IF(VLOOKUP($E879,$D$6:$AN$1150,3,)=0,0,(VLOOKUP($E879,$D$6:$AN$1150,W$2,)/VLOOKUP($E879,$D$6:$AN$1150,3,))*$F879)</f>
        <v>0</v>
      </c>
      <c r="X879" s="79">
        <f>IF(VLOOKUP($E879,$D$6:$AN$1150,3,)=0,0,(VLOOKUP($E879,$D$6:$AN$1150,X$2,)/VLOOKUP($E879,$D$6:$AN$1150,3,))*$F879)</f>
        <v>0</v>
      </c>
      <c r="Y879" s="79">
        <f>IF(VLOOKUP($E879,$D$6:$AN$1150,3,)=0,0,(VLOOKUP($E879,$D$6:$AN$1150,Y$2,)/VLOOKUP($E879,$D$6:$AN$1150,3,))*$F879)</f>
        <v>0</v>
      </c>
      <c r="Z879" s="79">
        <f>IF(VLOOKUP($E879,$D$6:$AN$1150,3,)=0,0,(VLOOKUP($E879,$D$6:$AN$1150,Z$2,)/VLOOKUP($E879,$D$6:$AN$1150,3,))*$F879)</f>
        <v>0</v>
      </c>
      <c r="AA879" s="80">
        <f>SUM(G879:Z879)</f>
        <v>89459</v>
      </c>
      <c r="AB879" s="93" t="str">
        <f>IF(ABS(F879-AA879)&lt;0.01,"ok","err")</f>
        <v>ok</v>
      </c>
    </row>
    <row r="880" spans="1:28" s="60" customFormat="1" hidden="1"/>
    <row r="881" spans="1:28" s="60" customFormat="1" hidden="1">
      <c r="A881" s="60" t="s">
        <v>135</v>
      </c>
      <c r="F881" s="80">
        <f>SUM(F875:F879)</f>
        <v>1120165394.2473235</v>
      </c>
      <c r="G881" s="80">
        <f t="shared" ref="G881:P881" si="418">SUM(G875:G879)</f>
        <v>525669009.21989298</v>
      </c>
      <c r="H881" s="80">
        <f t="shared" si="418"/>
        <v>1316103.5627622495</v>
      </c>
      <c r="I881" s="80">
        <f t="shared" si="418"/>
        <v>125348899.00960785</v>
      </c>
      <c r="J881" s="80">
        <f t="shared" si="418"/>
        <v>7965411.7107423386</v>
      </c>
      <c r="K881" s="80">
        <f t="shared" si="418"/>
        <v>130618612.56866778</v>
      </c>
      <c r="L881" s="80">
        <f t="shared" si="418"/>
        <v>136756811.039294</v>
      </c>
      <c r="M881" s="80">
        <f t="shared" si="418"/>
        <v>106829397.60572664</v>
      </c>
      <c r="N881" s="80">
        <f t="shared" si="418"/>
        <v>63120348.070925206</v>
      </c>
      <c r="O881" s="80">
        <f>SUM(O875:O879)</f>
        <v>3994442.8895352543</v>
      </c>
      <c r="P881" s="80">
        <f t="shared" si="418"/>
        <v>17733290.412879229</v>
      </c>
      <c r="Q881" s="80">
        <f>SUM(Q875:Q879)</f>
        <v>220659.75864507363</v>
      </c>
      <c r="R881" s="80">
        <f t="shared" ref="R881:Z881" si="419">SUM(R875:R879)</f>
        <v>251597.70950893819</v>
      </c>
      <c r="S881" s="80">
        <f t="shared" si="419"/>
        <v>628.08149335006237</v>
      </c>
      <c r="T881" s="80">
        <f t="shared" si="419"/>
        <v>62986.224961975575</v>
      </c>
      <c r="U881" s="80">
        <f t="shared" si="419"/>
        <v>260216.94941201599</v>
      </c>
      <c r="V881" s="80">
        <f t="shared" si="419"/>
        <v>16979.433268808869</v>
      </c>
      <c r="W881" s="80">
        <f t="shared" si="419"/>
        <v>0</v>
      </c>
      <c r="X881" s="80">
        <f t="shared" si="419"/>
        <v>0</v>
      </c>
      <c r="Y881" s="80">
        <f t="shared" si="419"/>
        <v>0</v>
      </c>
      <c r="Z881" s="80">
        <f t="shared" si="419"/>
        <v>0</v>
      </c>
      <c r="AA881" s="80">
        <f>ROUND(SUM(G881:Z881),2)</f>
        <v>1120165394.25</v>
      </c>
      <c r="AB881" s="93" t="str">
        <f>IF(ABS(F881-AA881)&lt;0.01,"ok","err")</f>
        <v>ok</v>
      </c>
    </row>
    <row r="882" spans="1:28" s="60" customFormat="1" hidden="1"/>
    <row r="883" spans="1:28" s="60" customFormat="1" hidden="1"/>
    <row r="884" spans="1:28" s="60" customFormat="1" ht="14.1" hidden="1">
      <c r="A884" s="65" t="s">
        <v>1040</v>
      </c>
    </row>
    <row r="885" spans="1:28" s="60" customFormat="1" hidden="1"/>
    <row r="886" spans="1:28" s="60" customFormat="1" hidden="1">
      <c r="A886" s="60" t="s">
        <v>1043</v>
      </c>
      <c r="F886" s="80">
        <f>F855+F859</f>
        <v>969759042.13952827</v>
      </c>
      <c r="G886" s="80">
        <f t="shared" ref="G886:Z886" si="420">G855+G859</f>
        <v>432167339.22105867</v>
      </c>
      <c r="H886" s="80">
        <f t="shared" si="420"/>
        <v>1036981.4143612783</v>
      </c>
      <c r="I886" s="80">
        <f t="shared" si="420"/>
        <v>114941971.16897523</v>
      </c>
      <c r="J886" s="80">
        <f t="shared" si="420"/>
        <v>7603563.1342099551</v>
      </c>
      <c r="K886" s="80">
        <f t="shared" si="420"/>
        <v>119600933.66515386</v>
      </c>
      <c r="L886" s="80">
        <f t="shared" si="420"/>
        <v>124067809.5371177</v>
      </c>
      <c r="M886" s="80">
        <f t="shared" si="420"/>
        <v>94080168.034857452</v>
      </c>
      <c r="N886" s="80">
        <f t="shared" si="420"/>
        <v>57502885.931784458</v>
      </c>
      <c r="O886" s="80">
        <f t="shared" si="420"/>
        <v>3533727.9913782105</v>
      </c>
      <c r="P886" s="80">
        <f t="shared" si="420"/>
        <v>14556329.796979185</v>
      </c>
      <c r="Q886" s="80">
        <f t="shared" si="420"/>
        <v>207556.45276575527</v>
      </c>
      <c r="R886" s="80">
        <f t="shared" si="420"/>
        <v>244250.17962745481</v>
      </c>
      <c r="S886" s="80">
        <f t="shared" si="420"/>
        <v>3815.2474000899574</v>
      </c>
      <c r="T886" s="80">
        <f t="shared" si="420"/>
        <v>45263.258993696436</v>
      </c>
      <c r="U886" s="80">
        <f t="shared" si="420"/>
        <v>153855.85858076424</v>
      </c>
      <c r="V886" s="80">
        <f t="shared" si="420"/>
        <v>12591.246284675426</v>
      </c>
      <c r="W886" s="80">
        <f t="shared" si="420"/>
        <v>0</v>
      </c>
      <c r="X886" s="80">
        <f t="shared" si="420"/>
        <v>0</v>
      </c>
      <c r="Y886" s="80">
        <f t="shared" si="420"/>
        <v>0</v>
      </c>
      <c r="Z886" s="80">
        <f t="shared" si="420"/>
        <v>0</v>
      </c>
      <c r="AA886" s="80">
        <f>ROUND(SUM(G886:Z886),2)</f>
        <v>969759042.13999999</v>
      </c>
      <c r="AB886" s="93" t="str">
        <f>IF(ABS(F886-AA886)&lt;0.01,"ok","err")</f>
        <v>ok</v>
      </c>
    </row>
    <row r="887" spans="1:28" s="60" customFormat="1" hidden="1"/>
    <row r="888" spans="1:28" s="60" customFormat="1" hidden="1">
      <c r="A888" s="60" t="s">
        <v>670</v>
      </c>
      <c r="F888" s="112">
        <f>F857</f>
        <v>0</v>
      </c>
      <c r="G888" s="112">
        <f t="shared" ref="G888:Z888" si="421">G857</f>
        <v>0</v>
      </c>
      <c r="H888" s="112">
        <f t="shared" si="421"/>
        <v>0</v>
      </c>
      <c r="I888" s="112">
        <f t="shared" si="421"/>
        <v>0</v>
      </c>
      <c r="J888" s="112">
        <f t="shared" si="421"/>
        <v>0</v>
      </c>
      <c r="K888" s="112">
        <f t="shared" si="421"/>
        <v>0</v>
      </c>
      <c r="L888" s="112">
        <f t="shared" si="421"/>
        <v>0</v>
      </c>
      <c r="M888" s="112">
        <f t="shared" si="421"/>
        <v>0</v>
      </c>
      <c r="N888" s="112">
        <f t="shared" si="421"/>
        <v>0</v>
      </c>
      <c r="O888" s="112">
        <f t="shared" si="421"/>
        <v>0</v>
      </c>
      <c r="P888" s="112">
        <f t="shared" si="421"/>
        <v>0</v>
      </c>
      <c r="Q888" s="112">
        <f t="shared" si="421"/>
        <v>0</v>
      </c>
      <c r="R888" s="112">
        <f t="shared" si="421"/>
        <v>0</v>
      </c>
      <c r="S888" s="112">
        <f t="shared" si="421"/>
        <v>0</v>
      </c>
      <c r="T888" s="112">
        <f t="shared" si="421"/>
        <v>0</v>
      </c>
      <c r="U888" s="112">
        <f t="shared" si="421"/>
        <v>0</v>
      </c>
      <c r="V888" s="112">
        <f t="shared" si="421"/>
        <v>0</v>
      </c>
      <c r="W888" s="112">
        <f t="shared" si="421"/>
        <v>0</v>
      </c>
      <c r="X888" s="112">
        <f t="shared" si="421"/>
        <v>0</v>
      </c>
      <c r="Y888" s="112">
        <f t="shared" si="421"/>
        <v>0</v>
      </c>
      <c r="Z888" s="112">
        <f t="shared" si="421"/>
        <v>0</v>
      </c>
      <c r="AA888" s="80">
        <f>ROUND(SUM(G888:Z888),2)</f>
        <v>0</v>
      </c>
      <c r="AB888" s="93" t="str">
        <f>IF(ABS(F888-AA888)&lt;0.01,"ok","err")</f>
        <v>ok</v>
      </c>
    </row>
    <row r="889" spans="1:28" s="60" customFormat="1" hidden="1"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80"/>
      <c r="AB889" s="93"/>
    </row>
    <row r="890" spans="1:28" s="60" customFormat="1" hidden="1">
      <c r="A890" s="60" t="s">
        <v>671</v>
      </c>
      <c r="E890" s="60">
        <f>E823</f>
        <v>0.24854690999999998</v>
      </c>
      <c r="F890" s="112">
        <f>(F878+F879)*$E$890</f>
        <v>0</v>
      </c>
      <c r="G890" s="112">
        <f>(G878+G879)*$E$890</f>
        <v>17440367.584549934</v>
      </c>
      <c r="H890" s="112">
        <f t="shared" ref="H890:Y890" si="422">(H878+H879)*$E$890</f>
        <v>157232.75507693997</v>
      </c>
      <c r="I890" s="112">
        <f t="shared" si="422"/>
        <v>-7127515.8901772853</v>
      </c>
      <c r="J890" s="112">
        <f t="shared" si="422"/>
        <v>-629582.46159035014</v>
      </c>
      <c r="K890" s="112">
        <f t="shared" si="422"/>
        <v>-5933968.3283775793</v>
      </c>
      <c r="L890" s="112">
        <f t="shared" si="422"/>
        <v>-1883189.013010201</v>
      </c>
      <c r="M890" s="112">
        <f t="shared" si="422"/>
        <v>-116383.57360408608</v>
      </c>
      <c r="N890" s="112">
        <f t="shared" si="422"/>
        <v>-694330.64525582141</v>
      </c>
      <c r="O890" s="112">
        <f t="shared" si="422"/>
        <v>33418.963128138668</v>
      </c>
      <c r="P890" s="112">
        <f t="shared" si="422"/>
        <v>-1233111.7148043229</v>
      </c>
      <c r="Q890" s="112">
        <f t="shared" si="422"/>
        <v>-9443.5432977027813</v>
      </c>
      <c r="R890" s="112">
        <f t="shared" si="422"/>
        <v>-19747.323608879029</v>
      </c>
      <c r="S890" s="112">
        <f t="shared" si="422"/>
        <v>-3743.7514827044579</v>
      </c>
      <c r="T890" s="112">
        <f t="shared" si="422"/>
        <v>12499.678346574776</v>
      </c>
      <c r="U890" s="112">
        <f t="shared" si="422"/>
        <v>5746.6405326228933</v>
      </c>
      <c r="V890" s="112">
        <f t="shared" si="422"/>
        <v>1750.6235747536432</v>
      </c>
      <c r="W890" s="112">
        <f t="shared" si="422"/>
        <v>0</v>
      </c>
      <c r="X890" s="112">
        <f t="shared" si="422"/>
        <v>0</v>
      </c>
      <c r="Y890" s="112">
        <f t="shared" si="422"/>
        <v>0</v>
      </c>
      <c r="Z890" s="112">
        <f>(Z878+Z879)*$E$890</f>
        <v>0</v>
      </c>
      <c r="AA890" s="80">
        <f>ROUND(SUM(G890:Z890),2)</f>
        <v>0</v>
      </c>
      <c r="AB890" s="93" t="str">
        <f>IF(ABS(F890-AA890)&lt;0.01,"ok","err")</f>
        <v>ok</v>
      </c>
    </row>
    <row r="891" spans="1:28" s="60" customFormat="1" hidden="1">
      <c r="A891" s="68"/>
      <c r="F891" s="79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80"/>
      <c r="AB891" s="93"/>
    </row>
    <row r="892" spans="1:28" s="60" customFormat="1" hidden="1">
      <c r="A892" s="60" t="s">
        <v>136</v>
      </c>
      <c r="F892" s="80">
        <f t="shared" ref="F892:Z892" si="423">SUM(F886:F891)</f>
        <v>969759042.13952827</v>
      </c>
      <c r="G892" s="80">
        <f t="shared" si="423"/>
        <v>449607706.80560863</v>
      </c>
      <c r="H892" s="80">
        <f t="shared" si="423"/>
        <v>1194214.1694382182</v>
      </c>
      <c r="I892" s="80">
        <f t="shared" si="423"/>
        <v>107814455.27879795</v>
      </c>
      <c r="J892" s="80">
        <f t="shared" si="423"/>
        <v>6973980.6726196054</v>
      </c>
      <c r="K892" s="80">
        <f t="shared" si="423"/>
        <v>113666965.33677629</v>
      </c>
      <c r="L892" s="80">
        <f t="shared" si="423"/>
        <v>122184620.5241075</v>
      </c>
      <c r="M892" s="80">
        <f t="shared" si="423"/>
        <v>93963784.46125336</v>
      </c>
      <c r="N892" s="80">
        <f t="shared" si="423"/>
        <v>56808555.286528639</v>
      </c>
      <c r="O892" s="80">
        <f>SUM(O886:O891)</f>
        <v>3567146.9545063493</v>
      </c>
      <c r="P892" s="80">
        <f t="shared" si="423"/>
        <v>13323218.082174862</v>
      </c>
      <c r="Q892" s="80">
        <f t="shared" si="423"/>
        <v>198112.9094680525</v>
      </c>
      <c r="R892" s="80">
        <f t="shared" si="423"/>
        <v>224502.85601857578</v>
      </c>
      <c r="S892" s="80">
        <f t="shared" si="423"/>
        <v>71.495917385499524</v>
      </c>
      <c r="T892" s="80">
        <f t="shared" si="423"/>
        <v>57762.937340271208</v>
      </c>
      <c r="U892" s="80">
        <f t="shared" si="423"/>
        <v>159602.49911338714</v>
      </c>
      <c r="V892" s="80">
        <f t="shared" si="423"/>
        <v>14341.869859429069</v>
      </c>
      <c r="W892" s="80">
        <f t="shared" si="423"/>
        <v>0</v>
      </c>
      <c r="X892" s="80">
        <f t="shared" si="423"/>
        <v>0</v>
      </c>
      <c r="Y892" s="80">
        <f t="shared" si="423"/>
        <v>0</v>
      </c>
      <c r="Z892" s="80">
        <f t="shared" si="423"/>
        <v>0</v>
      </c>
      <c r="AA892" s="80">
        <f>ROUND(SUM(G892:Z892),2)</f>
        <v>969759042.13999999</v>
      </c>
      <c r="AB892" s="93" t="str">
        <f>IF(ABS(F892-AA892)&lt;0.01,"ok","err")</f>
        <v>ok</v>
      </c>
    </row>
    <row r="893" spans="1:28" s="60" customFormat="1" hidden="1"/>
    <row r="894" spans="1:28" s="60" customFormat="1" hidden="1"/>
    <row r="895" spans="1:28" s="60" customFormat="1" ht="14.1" hidden="1">
      <c r="A895" s="65" t="s">
        <v>822</v>
      </c>
      <c r="F895" s="80">
        <f t="shared" ref="F895:Z895" si="424">F881-F892</f>
        <v>150406352.10779524</v>
      </c>
      <c r="G895" s="80">
        <f t="shared" si="424"/>
        <v>76061302.414284348</v>
      </c>
      <c r="H895" s="80">
        <f t="shared" si="424"/>
        <v>121889.39332403126</v>
      </c>
      <c r="I895" s="80">
        <f t="shared" si="424"/>
        <v>17534443.730809897</v>
      </c>
      <c r="J895" s="80">
        <f t="shared" si="424"/>
        <v>991431.03812273312</v>
      </c>
      <c r="K895" s="80">
        <f t="shared" si="424"/>
        <v>16951647.231891498</v>
      </c>
      <c r="L895" s="80">
        <f t="shared" si="424"/>
        <v>14572190.515186504</v>
      </c>
      <c r="M895" s="80">
        <f t="shared" si="424"/>
        <v>12865613.144473284</v>
      </c>
      <c r="N895" s="80">
        <f t="shared" si="424"/>
        <v>6311792.7843965665</v>
      </c>
      <c r="O895" s="80">
        <f>O881-O892</f>
        <v>427295.93502890505</v>
      </c>
      <c r="P895" s="80">
        <f t="shared" si="424"/>
        <v>4410072.3307043668</v>
      </c>
      <c r="Q895" s="80">
        <f t="shared" si="424"/>
        <v>22546.849177021126</v>
      </c>
      <c r="R895" s="80">
        <f t="shared" si="424"/>
        <v>27094.85349036241</v>
      </c>
      <c r="S895" s="80">
        <f t="shared" si="424"/>
        <v>556.58557596456285</v>
      </c>
      <c r="T895" s="80">
        <f t="shared" si="424"/>
        <v>5223.2876217043668</v>
      </c>
      <c r="U895" s="80">
        <f t="shared" si="424"/>
        <v>100614.45029862886</v>
      </c>
      <c r="V895" s="80">
        <f t="shared" si="424"/>
        <v>2637.5634093797999</v>
      </c>
      <c r="W895" s="80">
        <f t="shared" si="424"/>
        <v>0</v>
      </c>
      <c r="X895" s="80">
        <f t="shared" si="424"/>
        <v>0</v>
      </c>
      <c r="Y895" s="80">
        <f t="shared" si="424"/>
        <v>0</v>
      </c>
      <c r="Z895" s="80">
        <f t="shared" si="424"/>
        <v>0</v>
      </c>
      <c r="AA895" s="80">
        <f>ROUND(SUM(G895:Z895),2)</f>
        <v>150406352.11000001</v>
      </c>
      <c r="AB895" s="93" t="str">
        <f>IF(ABS(F895-AA895)&lt;0.01,"ok","err")</f>
        <v>ok</v>
      </c>
    </row>
    <row r="896" spans="1:28" s="60" customFormat="1" hidden="1"/>
    <row r="897" spans="1:28" s="60" customFormat="1" ht="14.1" hidden="1">
      <c r="A897" s="65" t="s">
        <v>1026</v>
      </c>
      <c r="F897" s="80">
        <f>F866</f>
        <v>3460077816.1601419</v>
      </c>
      <c r="G897" s="80">
        <f t="shared" ref="G897:Z897" si="425">G866</f>
        <v>1749779989.101094</v>
      </c>
      <c r="H897" s="80">
        <f t="shared" si="425"/>
        <v>2804049.0308775981</v>
      </c>
      <c r="I897" s="80">
        <f t="shared" si="425"/>
        <v>403377509.80225503</v>
      </c>
      <c r="J897" s="80">
        <f t="shared" si="425"/>
        <v>22807737.128033813</v>
      </c>
      <c r="K897" s="80">
        <f t="shared" si="425"/>
        <v>389970355.05789894</v>
      </c>
      <c r="L897" s="80">
        <f t="shared" si="425"/>
        <v>335231274.66265321</v>
      </c>
      <c r="M897" s="80">
        <f t="shared" si="425"/>
        <v>295971692.74197924</v>
      </c>
      <c r="N897" s="80">
        <f t="shared" si="425"/>
        <v>145201940.52601016</v>
      </c>
      <c r="O897" s="80">
        <f>O866</f>
        <v>9829885.2741891239</v>
      </c>
      <c r="P897" s="80">
        <f t="shared" si="425"/>
        <v>101453118.33768603</v>
      </c>
      <c r="Q897" s="80">
        <f t="shared" si="425"/>
        <v>518687.22011027404</v>
      </c>
      <c r="R897" s="80">
        <f t="shared" si="425"/>
        <v>623313.44507924758</v>
      </c>
      <c r="S897" s="80">
        <f t="shared" si="425"/>
        <v>12804.176001885042</v>
      </c>
      <c r="T897" s="80">
        <f t="shared" si="425"/>
        <v>120161.0262732144</v>
      </c>
      <c r="U897" s="80">
        <f t="shared" si="425"/>
        <v>2314621.8400000003</v>
      </c>
      <c r="V897" s="80">
        <f t="shared" si="425"/>
        <v>60676.790000000008</v>
      </c>
      <c r="W897" s="80">
        <f t="shared" si="425"/>
        <v>0</v>
      </c>
      <c r="X897" s="80">
        <f t="shared" si="425"/>
        <v>0</v>
      </c>
      <c r="Y897" s="80">
        <f t="shared" si="425"/>
        <v>0</v>
      </c>
      <c r="Z897" s="80">
        <f t="shared" si="425"/>
        <v>0</v>
      </c>
      <c r="AA897" s="80">
        <f>ROUND(SUM(G897:Z897),2)</f>
        <v>3460077816.1599998</v>
      </c>
      <c r="AB897" s="93" t="str">
        <f>IF(ABS(F897-AA897)&lt;0.01,"ok","err")</f>
        <v>ok</v>
      </c>
    </row>
    <row r="898" spans="1:28" s="60" customFormat="1" ht="14.1" hidden="1" thickBot="1"/>
    <row r="899" spans="1:28" s="60" customFormat="1" ht="14.4" hidden="1" thickBot="1">
      <c r="A899" s="281" t="s">
        <v>1044</v>
      </c>
      <c r="B899" s="146"/>
      <c r="C899" s="146"/>
      <c r="D899" s="146"/>
      <c r="E899" s="146"/>
      <c r="F899" s="147">
        <f t="shared" ref="F899:P899" si="426">F895/F897</f>
        <v>4.3469066332938802E-2</v>
      </c>
      <c r="G899" s="147">
        <f t="shared" si="426"/>
        <v>4.3469066332938781E-2</v>
      </c>
      <c r="H899" s="147">
        <f t="shared" si="426"/>
        <v>4.3469066332938872E-2</v>
      </c>
      <c r="I899" s="147">
        <f t="shared" si="426"/>
        <v>4.3469066332938802E-2</v>
      </c>
      <c r="J899" s="147">
        <f t="shared" si="426"/>
        <v>4.3469066332938809E-2</v>
      </c>
      <c r="K899" s="147">
        <f t="shared" si="426"/>
        <v>4.3469066332938781E-2</v>
      </c>
      <c r="L899" s="147">
        <f t="shared" si="426"/>
        <v>4.3469066332938816E-2</v>
      </c>
      <c r="M899" s="147">
        <f t="shared" si="426"/>
        <v>4.3469066332938823E-2</v>
      </c>
      <c r="N899" s="147">
        <f t="shared" si="426"/>
        <v>4.3469066332938774E-2</v>
      </c>
      <c r="O899" s="147">
        <f>O895/O897</f>
        <v>4.3469066332938774E-2</v>
      </c>
      <c r="P899" s="147">
        <f t="shared" si="426"/>
        <v>4.346906633293883E-2</v>
      </c>
      <c r="Q899" s="147">
        <f>Q895/Q897</f>
        <v>4.3469066332938795E-2</v>
      </c>
      <c r="R899" s="147">
        <f t="shared" ref="R899:Z899" si="427">R895/R897</f>
        <v>4.3469066332938788E-2</v>
      </c>
      <c r="S899" s="147">
        <f t="shared" si="427"/>
        <v>4.3469066332938712E-2</v>
      </c>
      <c r="T899" s="147">
        <f t="shared" si="427"/>
        <v>4.3469066332938865E-2</v>
      </c>
      <c r="U899" s="147">
        <f t="shared" si="427"/>
        <v>4.3469066332938795E-2</v>
      </c>
      <c r="V899" s="147">
        <f t="shared" si="427"/>
        <v>4.346906633293883E-2</v>
      </c>
      <c r="W899" s="147" t="e">
        <f t="shared" si="427"/>
        <v>#DIV/0!</v>
      </c>
      <c r="X899" s="147" t="e">
        <f t="shared" si="427"/>
        <v>#DIV/0!</v>
      </c>
      <c r="Y899" s="147" t="e">
        <f t="shared" si="427"/>
        <v>#DIV/0!</v>
      </c>
      <c r="Z899" s="147" t="e">
        <f t="shared" si="427"/>
        <v>#DIV/0!</v>
      </c>
      <c r="AA899" s="137"/>
      <c r="AB899" s="137"/>
    </row>
    <row r="900" spans="1:28" s="60" customFormat="1" hidden="1"/>
    <row r="901" spans="1:28" s="60" customFormat="1" hidden="1"/>
    <row r="902" spans="1:28" s="60" customFormat="1" hidden="1"/>
    <row r="903" spans="1:28" s="60" customFormat="1" ht="14.1" hidden="1">
      <c r="A903" s="65" t="s">
        <v>825</v>
      </c>
      <c r="B903" s="65"/>
      <c r="F903" s="76">
        <f>F881</f>
        <v>1120165394.2473235</v>
      </c>
      <c r="G903" s="76">
        <f t="shared" ref="G903:U903" si="428">G881</f>
        <v>525669009.21989298</v>
      </c>
      <c r="H903" s="76">
        <f t="shared" si="428"/>
        <v>1316103.5627622495</v>
      </c>
      <c r="I903" s="76">
        <f t="shared" si="428"/>
        <v>125348899.00960785</v>
      </c>
      <c r="J903" s="76">
        <f t="shared" si="428"/>
        <v>7965411.7107423386</v>
      </c>
      <c r="K903" s="76">
        <f t="shared" si="428"/>
        <v>130618612.56866778</v>
      </c>
      <c r="L903" s="76">
        <f t="shared" si="428"/>
        <v>136756811.039294</v>
      </c>
      <c r="M903" s="76">
        <f t="shared" si="428"/>
        <v>106829397.60572664</v>
      </c>
      <c r="N903" s="76">
        <f t="shared" si="428"/>
        <v>63120348.070925206</v>
      </c>
      <c r="O903" s="76">
        <f t="shared" si="428"/>
        <v>3994442.8895352543</v>
      </c>
      <c r="P903" s="76">
        <f t="shared" si="428"/>
        <v>17733290.412879229</v>
      </c>
      <c r="Q903" s="76">
        <f t="shared" si="428"/>
        <v>220659.75864507363</v>
      </c>
      <c r="R903" s="76">
        <f t="shared" si="428"/>
        <v>251597.70950893819</v>
      </c>
      <c r="S903" s="76">
        <f t="shared" si="428"/>
        <v>628.08149335006237</v>
      </c>
      <c r="T903" s="76">
        <f t="shared" si="428"/>
        <v>62986.224961975575</v>
      </c>
      <c r="U903" s="76">
        <f t="shared" si="428"/>
        <v>260216.94941201599</v>
      </c>
      <c r="V903" s="60">
        <v>1</v>
      </c>
      <c r="W903" s="60">
        <v>1</v>
      </c>
      <c r="Z903" s="80">
        <f>ROUND(SUM(G904:Z904),2)</f>
        <v>0</v>
      </c>
      <c r="AA903" s="80"/>
      <c r="AB903" s="93"/>
    </row>
    <row r="904" spans="1:28" s="60" customFormat="1" ht="14.1" hidden="1">
      <c r="A904" s="65"/>
      <c r="B904" s="65"/>
    </row>
    <row r="905" spans="1:28" s="60" customFormat="1" ht="14.1" hidden="1">
      <c r="A905" s="65" t="s">
        <v>826</v>
      </c>
      <c r="B905" s="65"/>
      <c r="F905" s="80">
        <f>F878</f>
        <v>-89459</v>
      </c>
      <c r="G905" s="80">
        <f>G878</f>
        <v>70084169.107083991</v>
      </c>
      <c r="H905" s="80">
        <f t="shared" ref="H905:Z905" si="429">H878</f>
        <v>632397.78435174958</v>
      </c>
      <c r="I905" s="80">
        <f t="shared" si="429"/>
        <v>-28680133.562211487</v>
      </c>
      <c r="J905" s="80">
        <f t="shared" si="429"/>
        <v>-2533067.0092948307</v>
      </c>
      <c r="K905" s="80">
        <f t="shared" si="429"/>
        <v>-23875203.678175602</v>
      </c>
      <c r="L905" s="80">
        <f t="shared" si="429"/>
        <v>-7576821.709646076</v>
      </c>
      <c r="M905" s="80">
        <f t="shared" si="429"/>
        <v>-468358.03407026234</v>
      </c>
      <c r="N905" s="80">
        <f t="shared" si="429"/>
        <v>-2793562.383455914</v>
      </c>
      <c r="O905" s="80">
        <f>O878</f>
        <v>134457.36713499544</v>
      </c>
      <c r="P905" s="80">
        <f t="shared" si="429"/>
        <v>-4961283.6257120352</v>
      </c>
      <c r="Q905" s="80">
        <f t="shared" si="429"/>
        <v>-37995.013889743313</v>
      </c>
      <c r="R905" s="80">
        <f t="shared" si="429"/>
        <v>-79451.092789200353</v>
      </c>
      <c r="S905" s="80">
        <f t="shared" si="429"/>
        <v>-15062.55492254745</v>
      </c>
      <c r="T905" s="80">
        <f t="shared" si="429"/>
        <v>50291.022916256639</v>
      </c>
      <c r="U905" s="80">
        <f t="shared" si="429"/>
        <v>23120.949412016002</v>
      </c>
      <c r="V905" s="80">
        <f t="shared" si="429"/>
        <v>7043.4332688088671</v>
      </c>
      <c r="W905" s="80">
        <f t="shared" si="429"/>
        <v>0</v>
      </c>
      <c r="X905" s="80">
        <f t="shared" si="429"/>
        <v>0</v>
      </c>
      <c r="Y905" s="80">
        <f t="shared" si="429"/>
        <v>0</v>
      </c>
      <c r="Z905" s="80">
        <f t="shared" si="429"/>
        <v>0</v>
      </c>
      <c r="AA905" s="80"/>
      <c r="AB905" s="93"/>
    </row>
    <row r="906" spans="1:28" s="60" customFormat="1" ht="14.1" hidden="1">
      <c r="A906" s="65"/>
      <c r="B906" s="65"/>
    </row>
    <row r="907" spans="1:28" s="60" customFormat="1" ht="14.1" hidden="1">
      <c r="A907" s="65" t="s">
        <v>827</v>
      </c>
      <c r="B907" s="65"/>
      <c r="F907" s="148">
        <f>F905/F903</f>
        <v>-7.9862313600671881E-5</v>
      </c>
      <c r="G907" s="148">
        <f>G905/G881</f>
        <v>0.13332376053724529</v>
      </c>
      <c r="H907" s="148">
        <f t="shared" ref="H907:Z907" si="430">H905/H903</f>
        <v>0.48050761523999497</v>
      </c>
      <c r="I907" s="148">
        <f t="shared" si="430"/>
        <v>-0.22880243694851429</v>
      </c>
      <c r="J907" s="148">
        <f t="shared" si="430"/>
        <v>-0.31800829653019413</v>
      </c>
      <c r="K907" s="148">
        <f t="shared" si="430"/>
        <v>-0.18278561690910719</v>
      </c>
      <c r="L907" s="148">
        <f t="shared" si="430"/>
        <v>-5.5403615016067068E-2</v>
      </c>
      <c r="M907" s="148">
        <f t="shared" si="430"/>
        <v>-4.3841680714031828E-3</v>
      </c>
      <c r="N907" s="148">
        <f t="shared" si="430"/>
        <v>-4.4257715124082116E-2</v>
      </c>
      <c r="O907" s="148">
        <f>O905/O903</f>
        <v>3.3661106405413969E-2</v>
      </c>
      <c r="P907" s="148">
        <f t="shared" si="430"/>
        <v>-0.27977231016917109</v>
      </c>
      <c r="Q907" s="148">
        <f t="shared" si="430"/>
        <v>-0.17218823279353559</v>
      </c>
      <c r="R907" s="148">
        <f t="shared" si="430"/>
        <v>-0.31578623249103066</v>
      </c>
      <c r="S907" s="148">
        <f t="shared" si="430"/>
        <v>-23.981848027724496</v>
      </c>
      <c r="T907" s="148">
        <f t="shared" si="430"/>
        <v>0.79844478608802227</v>
      </c>
      <c r="U907" s="148">
        <f t="shared" si="430"/>
        <v>8.8852588058771359E-2</v>
      </c>
      <c r="V907" s="148">
        <f>V905/V903</f>
        <v>7043.4332688088671</v>
      </c>
      <c r="W907" s="148">
        <f t="shared" si="430"/>
        <v>0</v>
      </c>
      <c r="X907" s="148" t="e">
        <f t="shared" si="430"/>
        <v>#DIV/0!</v>
      </c>
      <c r="Y907" s="148" t="e">
        <f t="shared" si="430"/>
        <v>#DIV/0!</v>
      </c>
      <c r="Z907" s="148" t="e">
        <f t="shared" si="430"/>
        <v>#DIV/0!</v>
      </c>
    </row>
    <row r="908" spans="1:28" s="60" customFormat="1" ht="14.1" hidden="1">
      <c r="A908" s="65"/>
      <c r="B908" s="65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spans="1:28" s="60" customFormat="1" hidden="1">
      <c r="A909" s="32" t="s">
        <v>1189</v>
      </c>
      <c r="B909" s="243"/>
      <c r="C909" s="243"/>
      <c r="D909" s="243"/>
      <c r="E909" s="243"/>
      <c r="F909" s="245">
        <f>F878-F846</f>
        <v>-89459</v>
      </c>
      <c r="G909" s="245">
        <f>G878-G846</f>
        <v>70084169.107083991</v>
      </c>
      <c r="H909" s="245">
        <f t="shared" ref="H909:U909" si="431">H878-H846</f>
        <v>632397.78435174958</v>
      </c>
      <c r="I909" s="245">
        <f t="shared" si="431"/>
        <v>-28680133.562211487</v>
      </c>
      <c r="J909" s="245">
        <f t="shared" si="431"/>
        <v>-2533067.0092948307</v>
      </c>
      <c r="K909" s="245">
        <f t="shared" si="431"/>
        <v>-23875203.678175602</v>
      </c>
      <c r="L909" s="245">
        <f t="shared" si="431"/>
        <v>-7576821.709646076</v>
      </c>
      <c r="M909" s="245">
        <f t="shared" si="431"/>
        <v>-468358.03407026234</v>
      </c>
      <c r="N909" s="245">
        <f t="shared" si="431"/>
        <v>-2793562.383455914</v>
      </c>
      <c r="O909" s="245">
        <f t="shared" si="431"/>
        <v>134457.36713499544</v>
      </c>
      <c r="P909" s="245">
        <f t="shared" si="431"/>
        <v>-4961283.6257120352</v>
      </c>
      <c r="Q909" s="245">
        <f t="shared" si="431"/>
        <v>-37995.013889743313</v>
      </c>
      <c r="R909" s="245">
        <f t="shared" si="431"/>
        <v>-79451.092789200353</v>
      </c>
      <c r="S909" s="245">
        <f t="shared" si="431"/>
        <v>-15062.55492254745</v>
      </c>
      <c r="T909" s="245">
        <f t="shared" si="431"/>
        <v>50291.022916256639</v>
      </c>
      <c r="U909" s="245">
        <f t="shared" si="431"/>
        <v>23120.949412016002</v>
      </c>
      <c r="V909" s="245">
        <f>V877-V844</f>
        <v>0</v>
      </c>
      <c r="W909" s="244" t="str">
        <f>IF(ABS(F909-V909)&lt;0.01,"ok","err")</f>
        <v>err</v>
      </c>
      <c r="X909" s="148"/>
      <c r="Y909" s="148"/>
      <c r="Z909" s="148"/>
    </row>
    <row r="910" spans="1:28" s="60" customFormat="1" ht="14.1" hidden="1">
      <c r="A910" s="65"/>
      <c r="B910" s="65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spans="1:28" s="150" customFormat="1" ht="14.1">
      <c r="A911" s="65"/>
      <c r="B911" s="65"/>
      <c r="C911" s="60"/>
      <c r="D911" s="60"/>
      <c r="E911" s="60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54"/>
      <c r="Y911" s="154"/>
      <c r="Z911" s="154"/>
    </row>
    <row r="912" spans="1:28" s="232" customFormat="1" ht="14.1">
      <c r="A912" s="65" t="s">
        <v>1155</v>
      </c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</row>
    <row r="913" spans="1:28" s="150" customFormat="1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</row>
    <row r="914" spans="1:28" s="150" customFormat="1" ht="14.1">
      <c r="A914" s="65" t="s">
        <v>1036</v>
      </c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</row>
    <row r="915" spans="1:28" s="150" customFormat="1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</row>
    <row r="916" spans="1:28" s="150" customFormat="1">
      <c r="A916" s="60" t="s">
        <v>133</v>
      </c>
      <c r="B916" s="60"/>
      <c r="C916" s="60"/>
      <c r="D916" s="60"/>
      <c r="E916" s="60"/>
      <c r="F916" s="80">
        <f>F843</f>
        <v>1120075935.2473235</v>
      </c>
      <c r="G916" s="80">
        <f t="shared" ref="G916:Z916" si="432">G843</f>
        <v>455414538.95664698</v>
      </c>
      <c r="H916" s="80">
        <f t="shared" si="432"/>
        <v>683285.41602927947</v>
      </c>
      <c r="I916" s="80">
        <f t="shared" si="432"/>
        <v>154022251.6780422</v>
      </c>
      <c r="J916" s="80">
        <f t="shared" si="432"/>
        <v>10498450.424430344</v>
      </c>
      <c r="K916" s="80">
        <f t="shared" si="432"/>
        <v>154492691.53800189</v>
      </c>
      <c r="L916" s="80">
        <f t="shared" si="432"/>
        <v>144333579.55541417</v>
      </c>
      <c r="M916" s="80">
        <f t="shared" si="432"/>
        <v>107297551.50498989</v>
      </c>
      <c r="N916" s="80">
        <f t="shared" si="432"/>
        <v>65913905.199482709</v>
      </c>
      <c r="O916" s="80">
        <f>O843</f>
        <v>3859985.522400259</v>
      </c>
      <c r="P916" s="80">
        <f t="shared" si="432"/>
        <v>22694574.038591262</v>
      </c>
      <c r="Q916" s="80">
        <f t="shared" si="432"/>
        <v>258654.77253481693</v>
      </c>
      <c r="R916" s="80">
        <f t="shared" si="432"/>
        <v>331048.80229813856</v>
      </c>
      <c r="S916" s="80">
        <f t="shared" si="432"/>
        <v>15690.636415897512</v>
      </c>
      <c r="T916" s="80">
        <f t="shared" si="432"/>
        <v>12695.202045718932</v>
      </c>
      <c r="U916" s="80">
        <f t="shared" si="432"/>
        <v>237096</v>
      </c>
      <c r="V916" s="80">
        <f t="shared" si="432"/>
        <v>9936</v>
      </c>
      <c r="W916" s="80">
        <f t="shared" si="432"/>
        <v>0</v>
      </c>
      <c r="X916" s="80">
        <f t="shared" si="432"/>
        <v>0</v>
      </c>
      <c r="Y916" s="80">
        <f t="shared" si="432"/>
        <v>0</v>
      </c>
      <c r="Z916" s="80">
        <f t="shared" si="432"/>
        <v>0</v>
      </c>
      <c r="AA916" s="151">
        <f>ROUND(SUM(G916:Z916),2)</f>
        <v>1120075935.25</v>
      </c>
      <c r="AB916" s="152" t="str">
        <f>IF(ABS(F916-AA916)&lt;0.01,"ok","err")</f>
        <v>ok</v>
      </c>
    </row>
    <row r="917" spans="1:28" s="150" customFormat="1">
      <c r="A917" s="60"/>
      <c r="B917" s="60"/>
      <c r="C917" s="60"/>
      <c r="D917" s="60"/>
      <c r="E917" s="6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151"/>
      <c r="Y917" s="151"/>
      <c r="Z917" s="151"/>
      <c r="AA917" s="151"/>
      <c r="AB917" s="152"/>
    </row>
    <row r="918" spans="1:28" s="150" customFormat="1">
      <c r="A918" s="60" t="s">
        <v>134</v>
      </c>
      <c r="B918" s="60"/>
      <c r="C918" s="60"/>
      <c r="D918" s="60"/>
      <c r="E918" s="6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151"/>
      <c r="Y918" s="151"/>
      <c r="Z918" s="151"/>
      <c r="AA918" s="151"/>
      <c r="AB918" s="152"/>
    </row>
    <row r="919" spans="1:28" s="60" customFormat="1">
      <c r="A919" s="60" t="s">
        <v>1158</v>
      </c>
      <c r="F919" s="76">
        <v>130962989</v>
      </c>
      <c r="G919" s="76">
        <f>53134815+21177-H919</f>
        <v>53069595.37344227</v>
      </c>
      <c r="H919" s="76">
        <f>'Billing Det'!C10*(0.10627-0.09278)+('Billing Det'!B10*365.25*0.09)+('Billing Det'!C10/('Billing Det'!C8+'Billing Det'!C10))*(-11089750)</f>
        <v>86396.626557731768</v>
      </c>
      <c r="I919" s="76">
        <v>19105822</v>
      </c>
      <c r="J919" s="76">
        <v>1225601</v>
      </c>
      <c r="K919" s="76">
        <v>17917377</v>
      </c>
      <c r="L919" s="76">
        <v>16361581</v>
      </c>
      <c r="M919" s="76">
        <v>12216545</v>
      </c>
      <c r="N919" s="76">
        <v>7690372</v>
      </c>
      <c r="O919" s="76">
        <v>435109</v>
      </c>
      <c r="P919" s="76">
        <v>2856239</v>
      </c>
      <c r="Q919" s="76">
        <v>3</v>
      </c>
      <c r="R919" s="76">
        <v>-14</v>
      </c>
      <c r="S919" s="76">
        <f>-1638</f>
        <v>-1638</v>
      </c>
      <c r="T919" s="76">
        <v>0</v>
      </c>
      <c r="U919" s="76">
        <v>0</v>
      </c>
      <c r="V919" s="76"/>
      <c r="W919" s="76"/>
      <c r="X919" s="76"/>
      <c r="Y919" s="76"/>
      <c r="Z919" s="76"/>
      <c r="AA919" s="80">
        <f t="shared" ref="AA919:AA924" si="433">SUM(G919:Z919)</f>
        <v>130962989</v>
      </c>
      <c r="AB919" s="93" t="str">
        <f t="shared" ref="AB919:AB924" si="434">IF(ABS(F919-AA919)&lt;0.01,"ok","err")</f>
        <v>ok</v>
      </c>
    </row>
    <row r="920" spans="1:28" s="60" customFormat="1">
      <c r="A920" s="60" t="s">
        <v>1374</v>
      </c>
      <c r="F920" s="76">
        <v>175526</v>
      </c>
      <c r="G920" s="76">
        <v>0</v>
      </c>
      <c r="H920" s="76">
        <v>0</v>
      </c>
      <c r="I920" s="76">
        <v>0</v>
      </c>
      <c r="J920" s="76">
        <v>0</v>
      </c>
      <c r="K920" s="76">
        <v>0</v>
      </c>
      <c r="L920" s="76">
        <v>0</v>
      </c>
      <c r="M920" s="76">
        <v>0</v>
      </c>
      <c r="N920" s="76">
        <v>0</v>
      </c>
      <c r="O920" s="76">
        <v>0</v>
      </c>
      <c r="P920" s="76">
        <v>0</v>
      </c>
      <c r="Q920" s="76">
        <v>0</v>
      </c>
      <c r="R920" s="76">
        <v>0</v>
      </c>
      <c r="S920" s="76"/>
      <c r="T920" s="76">
        <v>55206</v>
      </c>
      <c r="U920" s="76">
        <v>110942</v>
      </c>
      <c r="V920" s="76">
        <v>9378</v>
      </c>
      <c r="W920" s="76"/>
      <c r="X920" s="79"/>
      <c r="Y920" s="79"/>
      <c r="Z920" s="79"/>
      <c r="AA920" s="80">
        <f t="shared" si="433"/>
        <v>175526</v>
      </c>
      <c r="AB920" s="93" t="str">
        <f t="shared" si="434"/>
        <v>ok</v>
      </c>
    </row>
    <row r="921" spans="1:28" s="60" customFormat="1">
      <c r="A921" s="60" t="s">
        <v>1380</v>
      </c>
      <c r="E921" s="60" t="s">
        <v>684</v>
      </c>
      <c r="F921" s="76">
        <v>0</v>
      </c>
      <c r="G921" s="76">
        <f t="shared" ref="G921:Z921" si="435">IF(VLOOKUP($E921,$D$6:$AN$1150,3,)=0,0,(VLOOKUP($E921,$D$6:$AN$1150,G$2,)/VLOOKUP($E921,$D$6:$AN$1150,3,))*$F921)</f>
        <v>0</v>
      </c>
      <c r="H921" s="76">
        <f t="shared" si="435"/>
        <v>0</v>
      </c>
      <c r="I921" s="76">
        <f t="shared" si="435"/>
        <v>0</v>
      </c>
      <c r="J921" s="76">
        <f t="shared" si="435"/>
        <v>0</v>
      </c>
      <c r="K921" s="76">
        <f t="shared" si="435"/>
        <v>0</v>
      </c>
      <c r="L921" s="76">
        <f t="shared" si="435"/>
        <v>0</v>
      </c>
      <c r="M921" s="76">
        <f t="shared" si="435"/>
        <v>0</v>
      </c>
      <c r="N921" s="76">
        <f t="shared" si="435"/>
        <v>0</v>
      </c>
      <c r="O921" s="76">
        <f t="shared" si="435"/>
        <v>0</v>
      </c>
      <c r="P921" s="76">
        <f t="shared" si="435"/>
        <v>0</v>
      </c>
      <c r="Q921" s="76">
        <f t="shared" si="435"/>
        <v>0</v>
      </c>
      <c r="R921" s="76">
        <f t="shared" si="435"/>
        <v>0</v>
      </c>
      <c r="S921" s="76">
        <f t="shared" si="435"/>
        <v>0</v>
      </c>
      <c r="T921" s="76">
        <f t="shared" si="435"/>
        <v>0</v>
      </c>
      <c r="U921" s="76">
        <f t="shared" si="435"/>
        <v>0</v>
      </c>
      <c r="V921" s="76">
        <f t="shared" si="435"/>
        <v>0</v>
      </c>
      <c r="W921" s="76">
        <f t="shared" si="435"/>
        <v>0</v>
      </c>
      <c r="X921" s="79">
        <f t="shared" si="435"/>
        <v>0</v>
      </c>
      <c r="Y921" s="79">
        <f t="shared" si="435"/>
        <v>0</v>
      </c>
      <c r="Z921" s="79">
        <f t="shared" si="435"/>
        <v>0</v>
      </c>
      <c r="AA921" s="80">
        <f t="shared" si="433"/>
        <v>0</v>
      </c>
      <c r="AB921" s="93" t="str">
        <f t="shared" si="434"/>
        <v>ok</v>
      </c>
    </row>
    <row r="922" spans="1:28" s="60" customFormat="1">
      <c r="A922" s="60" t="s">
        <v>1387</v>
      </c>
      <c r="F922" s="76">
        <v>0</v>
      </c>
      <c r="G922" s="76">
        <v>0</v>
      </c>
      <c r="H922" s="76">
        <v>0</v>
      </c>
      <c r="I922" s="76">
        <v>0</v>
      </c>
      <c r="J922" s="76">
        <v>0</v>
      </c>
      <c r="K922" s="76">
        <v>0</v>
      </c>
      <c r="L922" s="76">
        <v>0</v>
      </c>
      <c r="M922" s="76">
        <v>0</v>
      </c>
      <c r="N922" s="76">
        <v>0</v>
      </c>
      <c r="O922" s="76">
        <v>0</v>
      </c>
      <c r="P922" s="76">
        <v>0</v>
      </c>
      <c r="Q922" s="76">
        <v>0</v>
      </c>
      <c r="R922" s="76">
        <v>0</v>
      </c>
      <c r="S922" s="76">
        <f>F922</f>
        <v>0</v>
      </c>
      <c r="T922" s="76">
        <v>0</v>
      </c>
      <c r="U922" s="76">
        <v>0</v>
      </c>
      <c r="V922" s="76"/>
      <c r="W922" s="76"/>
      <c r="X922" s="79"/>
      <c r="Y922" s="79"/>
      <c r="Z922" s="79"/>
      <c r="AA922" s="80">
        <f t="shared" si="433"/>
        <v>0</v>
      </c>
      <c r="AB922" s="93" t="str">
        <f t="shared" si="434"/>
        <v>ok</v>
      </c>
    </row>
    <row r="923" spans="1:28" s="60" customFormat="1">
      <c r="A923" s="60" t="s">
        <v>1382</v>
      </c>
      <c r="E923" s="60" t="s">
        <v>1323</v>
      </c>
      <c r="F923" s="76">
        <v>5112</v>
      </c>
      <c r="G923" s="76">
        <f t="shared" ref="G923:Z923" si="436">IF(VLOOKUP($E923,$D$6:$AN$1150,3,)=0,0,(VLOOKUP($E923,$D$6:$AN$1150,G$2,)/VLOOKUP($E923,$D$6:$AN$1150,3,))*$F923)</f>
        <v>2587.0317412567424</v>
      </c>
      <c r="H923" s="76">
        <f t="shared" si="436"/>
        <v>4.1457576907409939</v>
      </c>
      <c r="I923" s="76">
        <f t="shared" si="436"/>
        <v>596.38950500493183</v>
      </c>
      <c r="J923" s="76">
        <f t="shared" si="436"/>
        <v>33.721005077201383</v>
      </c>
      <c r="K923" s="76">
        <f t="shared" si="436"/>
        <v>576.56716442518359</v>
      </c>
      <c r="L923" s="76">
        <f t="shared" si="436"/>
        <v>495.63599630589624</v>
      </c>
      <c r="M923" s="76">
        <f t="shared" si="436"/>
        <v>437.59110768568183</v>
      </c>
      <c r="N923" s="76">
        <f t="shared" si="436"/>
        <v>214.67957764555231</v>
      </c>
      <c r="O923" s="76">
        <f t="shared" si="436"/>
        <v>14.533384411547445</v>
      </c>
      <c r="P923" s="76">
        <f t="shared" si="436"/>
        <v>149.99739340024331</v>
      </c>
      <c r="Q923" s="76">
        <f t="shared" si="436"/>
        <v>0.7668737273071965</v>
      </c>
      <c r="R923" s="76">
        <f t="shared" si="436"/>
        <v>0.9215625262696614</v>
      </c>
      <c r="S923" s="76">
        <f t="shared" si="436"/>
        <v>1.8930842702419692E-2</v>
      </c>
      <c r="T923" s="76">
        <f t="shared" si="436"/>
        <v>0</v>
      </c>
      <c r="U923" s="76">
        <f t="shared" si="436"/>
        <v>0</v>
      </c>
      <c r="V923" s="76">
        <f t="shared" si="436"/>
        <v>0</v>
      </c>
      <c r="W923" s="76">
        <f t="shared" si="436"/>
        <v>0</v>
      </c>
      <c r="X923" s="79">
        <f t="shared" si="436"/>
        <v>0</v>
      </c>
      <c r="Y923" s="79">
        <f t="shared" si="436"/>
        <v>0</v>
      </c>
      <c r="Z923" s="79">
        <f t="shared" si="436"/>
        <v>0</v>
      </c>
      <c r="AA923" s="80">
        <f t="shared" si="433"/>
        <v>5112.0000000000009</v>
      </c>
      <c r="AB923" s="93" t="str">
        <f t="shared" si="434"/>
        <v>ok</v>
      </c>
    </row>
    <row r="924" spans="1:28" s="60" customFormat="1" ht="13.15" customHeight="1">
      <c r="A924" s="60" t="s">
        <v>1381</v>
      </c>
      <c r="E924" s="60" t="s">
        <v>179</v>
      </c>
      <c r="F924" s="76">
        <f>84527+4932</f>
        <v>89459</v>
      </c>
      <c r="G924" s="76">
        <f t="shared" ref="G924:U924" si="437">G848</f>
        <v>85150.578081008411</v>
      </c>
      <c r="H924" s="76">
        <f t="shared" si="437"/>
        <v>210.18119061010901</v>
      </c>
      <c r="I924" s="76">
        <f t="shared" si="437"/>
        <v>3390.4468885644255</v>
      </c>
      <c r="J924" s="76">
        <f t="shared" si="437"/>
        <v>14.147803411850305</v>
      </c>
      <c r="K924" s="76">
        <f t="shared" si="437"/>
        <v>562.35442074324351</v>
      </c>
      <c r="L924" s="76">
        <f t="shared" si="437"/>
        <v>26.596762954128913</v>
      </c>
      <c r="M924" s="76">
        <f t="shared" si="437"/>
        <v>102.06740350278399</v>
      </c>
      <c r="N924" s="76">
        <f t="shared" si="437"/>
        <v>2.6274492050579137</v>
      </c>
      <c r="O924" s="76">
        <f t="shared" si="437"/>
        <v>0</v>
      </c>
      <c r="P924" s="76">
        <f t="shared" si="437"/>
        <v>0</v>
      </c>
      <c r="Q924" s="76">
        <f t="shared" si="437"/>
        <v>0</v>
      </c>
      <c r="R924" s="76">
        <f t="shared" si="437"/>
        <v>0</v>
      </c>
      <c r="S924" s="76">
        <f t="shared" si="437"/>
        <v>0</v>
      </c>
      <c r="T924" s="76">
        <f t="shared" si="437"/>
        <v>0</v>
      </c>
      <c r="U924" s="76">
        <f t="shared" si="437"/>
        <v>0</v>
      </c>
      <c r="V924" s="76">
        <f>IF(VLOOKUP($E924,$D$6:$AN$1150,3,)=0,0,(VLOOKUP($E924,$D$6:$AN$1150,V$2,)/VLOOKUP($E924,$D$6:$AN$1150,3,))*$F924)</f>
        <v>0</v>
      </c>
      <c r="W924" s="76">
        <f>IF(VLOOKUP($E924,$D$6:$AN$1150,3,)=0,0,(VLOOKUP($E924,$D$6:$AN$1150,W$2,)/VLOOKUP($E924,$D$6:$AN$1150,3,))*$F924)</f>
        <v>0</v>
      </c>
      <c r="X924" s="79">
        <f>IF(VLOOKUP($E924,$D$6:$AN$1150,3,)=0,0,(VLOOKUP($E924,$D$6:$AN$1150,X$2,)/VLOOKUP($E924,$D$6:$AN$1150,3,))*$F924)</f>
        <v>0</v>
      </c>
      <c r="Y924" s="79">
        <f>IF(VLOOKUP($E924,$D$6:$AN$1150,3,)=0,0,(VLOOKUP($E924,$D$6:$AN$1150,Y$2,)/VLOOKUP($E924,$D$6:$AN$1150,3,))*$F924)</f>
        <v>0</v>
      </c>
      <c r="Z924" s="79">
        <f>IF(VLOOKUP($E924,$D$6:$AN$1150,3,)=0,0,(VLOOKUP($E924,$D$6:$AN$1150,Z$2,)/VLOOKUP($E924,$D$6:$AN$1150,3,))*$F924)</f>
        <v>0</v>
      </c>
      <c r="AA924" s="80">
        <f t="shared" si="433"/>
        <v>89459</v>
      </c>
      <c r="AB924" s="93" t="str">
        <f t="shared" si="434"/>
        <v>ok</v>
      </c>
    </row>
    <row r="925" spans="1:28" s="150" customFormat="1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</row>
    <row r="926" spans="1:28" s="150" customFormat="1">
      <c r="A926" s="60" t="s">
        <v>135</v>
      </c>
      <c r="B926" s="60"/>
      <c r="C926" s="60"/>
      <c r="D926" s="60"/>
      <c r="E926" s="60"/>
      <c r="F926" s="80">
        <f>SUM(F916:F924)</f>
        <v>1251309021.2473235</v>
      </c>
      <c r="G926" s="80">
        <f t="shared" ref="G926:P926" si="438">SUM(G916:G924)</f>
        <v>508571871.93991154</v>
      </c>
      <c r="H926" s="80">
        <f t="shared" si="438"/>
        <v>769896.36953531217</v>
      </c>
      <c r="I926" s="80">
        <f t="shared" si="438"/>
        <v>173132060.51443577</v>
      </c>
      <c r="J926" s="80">
        <f t="shared" si="438"/>
        <v>11724099.293238834</v>
      </c>
      <c r="K926" s="80">
        <f t="shared" si="438"/>
        <v>172411207.45958707</v>
      </c>
      <c r="L926" s="80">
        <f t="shared" si="438"/>
        <v>160695682.78817344</v>
      </c>
      <c r="M926" s="80">
        <f t="shared" si="438"/>
        <v>119514636.16350108</v>
      </c>
      <c r="N926" s="80">
        <f t="shared" si="438"/>
        <v>73604494.506509557</v>
      </c>
      <c r="O926" s="80">
        <f>SUM(O916:O924)</f>
        <v>4295109.0557846706</v>
      </c>
      <c r="P926" s="80">
        <f t="shared" si="438"/>
        <v>25550963.035984661</v>
      </c>
      <c r="Q926" s="80">
        <f>SUM(Q916:Q924)</f>
        <v>258658.53940854425</v>
      </c>
      <c r="R926" s="80">
        <f t="shared" ref="R926:Z926" si="439">SUM(R916:R924)</f>
        <v>331035.72386066482</v>
      </c>
      <c r="S926" s="80">
        <f t="shared" si="439"/>
        <v>14052.655346740214</v>
      </c>
      <c r="T926" s="80">
        <f t="shared" si="439"/>
        <v>67901.202045718936</v>
      </c>
      <c r="U926" s="80">
        <f t="shared" si="439"/>
        <v>348038</v>
      </c>
      <c r="V926" s="80">
        <f t="shared" si="439"/>
        <v>19314</v>
      </c>
      <c r="W926" s="80">
        <f t="shared" si="439"/>
        <v>0</v>
      </c>
      <c r="X926" s="151">
        <f t="shared" si="439"/>
        <v>0</v>
      </c>
      <c r="Y926" s="151">
        <f t="shared" si="439"/>
        <v>0</v>
      </c>
      <c r="Z926" s="151">
        <f t="shared" si="439"/>
        <v>0</v>
      </c>
      <c r="AA926" s="151">
        <f>ROUND(SUM(G926:Z926),2)</f>
        <v>1251309021.25</v>
      </c>
      <c r="AB926" s="152" t="str">
        <f>IF(ABS(F926-AA926)&lt;0.01,"ok","err")</f>
        <v>ok</v>
      </c>
    </row>
    <row r="927" spans="1:28" s="150" customFormat="1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</row>
    <row r="928" spans="1:28" s="150" customFormat="1">
      <c r="A928" s="60"/>
      <c r="B928" s="60"/>
      <c r="C928" s="60"/>
      <c r="D928" s="60"/>
      <c r="E928" s="8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</row>
    <row r="929" spans="1:28" s="150" customFormat="1" ht="14.1">
      <c r="A929" s="65" t="s">
        <v>1040</v>
      </c>
      <c r="B929" s="60"/>
      <c r="C929" s="60"/>
      <c r="D929" s="60"/>
      <c r="E929" s="79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</row>
    <row r="930" spans="1:28" s="150" customFormat="1">
      <c r="A930" s="60"/>
      <c r="B930" s="60"/>
      <c r="C930" s="60"/>
      <c r="D930" s="60"/>
      <c r="E930" s="8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</row>
    <row r="931" spans="1:28" s="150" customFormat="1">
      <c r="A931" s="60" t="s">
        <v>1043</v>
      </c>
      <c r="B931" s="60"/>
      <c r="C931" s="60"/>
      <c r="D931" s="60"/>
      <c r="E931" s="60"/>
      <c r="F931" s="80">
        <f>F855</f>
        <v>969736807.38150656</v>
      </c>
      <c r="G931" s="80">
        <f>G855</f>
        <v>432146175.30799192</v>
      </c>
      <c r="H931" s="80">
        <f t="shared" ref="H931:Z931" si="440">H855</f>
        <v>1036929.174475812</v>
      </c>
      <c r="I931" s="80">
        <f t="shared" si="440"/>
        <v>114941128.48387757</v>
      </c>
      <c r="J931" s="80">
        <f t="shared" si="440"/>
        <v>7603559.6178171337</v>
      </c>
      <c r="K931" s="80">
        <f t="shared" si="440"/>
        <v>119600793.89370026</v>
      </c>
      <c r="L931" s="80">
        <f t="shared" si="440"/>
        <v>124067802.92657445</v>
      </c>
      <c r="M931" s="80">
        <f t="shared" si="440"/>
        <v>94080142.666319698</v>
      </c>
      <c r="N931" s="80">
        <f t="shared" si="440"/>
        <v>57502885.278740078</v>
      </c>
      <c r="O931" s="80">
        <f>O855</f>
        <v>3533727.9913782105</v>
      </c>
      <c r="P931" s="80">
        <f t="shared" si="440"/>
        <v>14556329.796979185</v>
      </c>
      <c r="Q931" s="80">
        <f t="shared" si="440"/>
        <v>207556.45276575527</v>
      </c>
      <c r="R931" s="80">
        <f t="shared" si="440"/>
        <v>244250.17962745481</v>
      </c>
      <c r="S931" s="80">
        <f t="shared" si="440"/>
        <v>3815.2474000899574</v>
      </c>
      <c r="T931" s="80">
        <f t="shared" si="440"/>
        <v>45263.258993696436</v>
      </c>
      <c r="U931" s="80">
        <f t="shared" si="440"/>
        <v>153855.85858076424</v>
      </c>
      <c r="V931" s="80">
        <f t="shared" si="440"/>
        <v>12591.246284675426</v>
      </c>
      <c r="W931" s="80">
        <f t="shared" si="440"/>
        <v>0</v>
      </c>
      <c r="X931" s="80">
        <f t="shared" si="440"/>
        <v>0</v>
      </c>
      <c r="Y931" s="80">
        <f t="shared" si="440"/>
        <v>0</v>
      </c>
      <c r="Z931" s="80">
        <f t="shared" si="440"/>
        <v>0</v>
      </c>
      <c r="AA931" s="151">
        <f>ROUND(SUM(G931:Z931),2)</f>
        <v>969736807.38</v>
      </c>
      <c r="AB931" s="152" t="str">
        <f>IF(ABS(F931-AA931)&lt;0.01,"ok","err")</f>
        <v>ok</v>
      </c>
    </row>
    <row r="932" spans="1:28" s="150" customFormat="1">
      <c r="A932" s="60"/>
      <c r="B932" s="60"/>
      <c r="C932" s="60"/>
      <c r="D932" s="60"/>
      <c r="E932" s="6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151"/>
      <c r="AB932" s="152"/>
    </row>
    <row r="933" spans="1:28" s="60" customFormat="1">
      <c r="A933" s="60" t="s">
        <v>670</v>
      </c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80"/>
      <c r="AB933" s="93"/>
    </row>
    <row r="934" spans="1:28" s="60" customFormat="1">
      <c r="A934" s="60" t="s">
        <v>1385</v>
      </c>
      <c r="E934" s="434">
        <v>1.82E-3</v>
      </c>
      <c r="F934" s="79">
        <f>SUM(F919:F924)*$E$934</f>
        <v>238844.21651999999</v>
      </c>
      <c r="G934" s="79">
        <f t="shared" ref="G934:U934" si="441">SUM(G919:G924)*$E$934</f>
        <v>96746.346029541455</v>
      </c>
      <c r="H934" s="79">
        <f t="shared" si="441"/>
        <v>157.63193538097937</v>
      </c>
      <c r="I934" s="79">
        <f t="shared" si="441"/>
        <v>34779.852082236299</v>
      </c>
      <c r="J934" s="79">
        <f t="shared" si="441"/>
        <v>2230.6809412314501</v>
      </c>
      <c r="K934" s="79">
        <f t="shared" si="441"/>
        <v>32611.698977285007</v>
      </c>
      <c r="L934" s="79">
        <f t="shared" si="441"/>
        <v>29779.027883621853</v>
      </c>
      <c r="M934" s="79">
        <f t="shared" si="441"/>
        <v>22235.094078490361</v>
      </c>
      <c r="N934" s="79">
        <f t="shared" si="441"/>
        <v>13996.872538788868</v>
      </c>
      <c r="O934" s="79">
        <f t="shared" si="441"/>
        <v>791.924830759629</v>
      </c>
      <c r="P934" s="79">
        <f t="shared" si="441"/>
        <v>5198.6279752559885</v>
      </c>
      <c r="Q934" s="79">
        <f t="shared" si="441"/>
        <v>6.8557101836990977E-3</v>
      </c>
      <c r="R934" s="79">
        <f t="shared" si="441"/>
        <v>-2.3802756202189218E-2</v>
      </c>
      <c r="S934" s="79">
        <f t="shared" si="441"/>
        <v>-2.9811255458662815</v>
      </c>
      <c r="T934" s="79">
        <f t="shared" si="441"/>
        <v>100.47492</v>
      </c>
      <c r="U934" s="79">
        <f t="shared" si="441"/>
        <v>201.91444000000001</v>
      </c>
      <c r="V934" s="79">
        <f t="shared" ref="V934" si="442">SUM(V919:V924)*$E$934</f>
        <v>17.067959999999999</v>
      </c>
      <c r="W934" s="76"/>
      <c r="X934" s="79"/>
      <c r="Y934" s="79"/>
      <c r="Z934" s="79"/>
      <c r="AA934" s="80">
        <f t="shared" ref="AA934:AA935" si="443">ROUND(SUM(G934:Z934),2)</f>
        <v>238844.22</v>
      </c>
      <c r="AB934" s="93" t="str">
        <f t="shared" ref="AB934:AB935" si="444">IF(ABS(F934-AA934)&lt;0.01,"ok","err")</f>
        <v>ok</v>
      </c>
    </row>
    <row r="935" spans="1:28" s="60" customFormat="1">
      <c r="A935" s="60" t="s">
        <v>1386</v>
      </c>
      <c r="E935" s="434">
        <v>2E-3</v>
      </c>
      <c r="F935" s="79">
        <f>SUM(F919:F924)*$E$935</f>
        <v>262466.17200000002</v>
      </c>
      <c r="G935" s="79">
        <f t="shared" ref="G935:U935" si="445">SUM(G919:G924)*$E$935</f>
        <v>106314.66596652908</v>
      </c>
      <c r="H935" s="79">
        <f t="shared" si="445"/>
        <v>173.22190701206523</v>
      </c>
      <c r="I935" s="79">
        <f t="shared" si="445"/>
        <v>38219.617672787143</v>
      </c>
      <c r="J935" s="79">
        <f t="shared" si="445"/>
        <v>2451.2977376169783</v>
      </c>
      <c r="K935" s="79">
        <f t="shared" si="445"/>
        <v>35837.031843170342</v>
      </c>
      <c r="L935" s="79">
        <f t="shared" si="445"/>
        <v>32724.20646551852</v>
      </c>
      <c r="M935" s="79">
        <f t="shared" si="445"/>
        <v>24434.169317022377</v>
      </c>
      <c r="N935" s="79">
        <f t="shared" si="445"/>
        <v>15381.178614053702</v>
      </c>
      <c r="O935" s="79">
        <f t="shared" si="445"/>
        <v>870.24706676882306</v>
      </c>
      <c r="P935" s="79">
        <f t="shared" si="445"/>
        <v>5712.7779947868012</v>
      </c>
      <c r="Q935" s="79">
        <f t="shared" si="445"/>
        <v>7.5337474546143934E-3</v>
      </c>
      <c r="R935" s="79">
        <f t="shared" si="445"/>
        <v>-2.6156874947460679E-2</v>
      </c>
      <c r="S935" s="79">
        <f t="shared" si="445"/>
        <v>-3.2759621383145952</v>
      </c>
      <c r="T935" s="79">
        <f t="shared" si="445"/>
        <v>110.41200000000001</v>
      </c>
      <c r="U935" s="79">
        <f t="shared" si="445"/>
        <v>221.88400000000001</v>
      </c>
      <c r="V935" s="79">
        <f t="shared" ref="V935" si="446">SUM(V919:V924)*$E$935</f>
        <v>18.756</v>
      </c>
      <c r="W935" s="76"/>
      <c r="X935" s="79"/>
      <c r="Y935" s="79"/>
      <c r="Z935" s="79"/>
      <c r="AA935" s="80">
        <f t="shared" si="443"/>
        <v>262466.17</v>
      </c>
      <c r="AB935" s="93" t="str">
        <f t="shared" si="444"/>
        <v>ok</v>
      </c>
    </row>
    <row r="936" spans="1:28" s="150" customFormat="1">
      <c r="A936" s="60"/>
      <c r="B936" s="60"/>
      <c r="C936" s="60"/>
      <c r="D936" s="60"/>
      <c r="E936" s="60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55"/>
      <c r="Y936" s="155"/>
      <c r="Z936" s="155"/>
      <c r="AA936" s="151"/>
      <c r="AB936" s="152"/>
    </row>
    <row r="937" spans="1:28" s="150" customFormat="1">
      <c r="A937" s="60" t="s">
        <v>671</v>
      </c>
      <c r="B937" s="60"/>
      <c r="C937" s="60"/>
      <c r="D937" s="60"/>
      <c r="E937" s="148">
        <v>0.24849452</v>
      </c>
      <c r="F937" s="112">
        <f>SUM(F919:F924)*$E$937</f>
        <v>32610702.71368872</v>
      </c>
      <c r="G937" s="112">
        <f t="shared" ref="G937:V937" si="447">SUM(G919:G924)*$E$937</f>
        <v>13209305.944156488</v>
      </c>
      <c r="H937" s="112">
        <f t="shared" si="447"/>
        <v>21522.347318223892</v>
      </c>
      <c r="I937" s="112">
        <f t="shared" si="447"/>
        <v>4748682.7740913788</v>
      </c>
      <c r="J937" s="112">
        <f t="shared" si="447"/>
        <v>304567.02734310844</v>
      </c>
      <c r="K937" s="112">
        <f t="shared" si="447"/>
        <v>4452653.0130466642</v>
      </c>
      <c r="L937" s="112">
        <f t="shared" si="447"/>
        <v>4065892.9890149604</v>
      </c>
      <c r="M937" s="112">
        <f t="shared" si="447"/>
        <v>3035878.5880161016</v>
      </c>
      <c r="N937" s="112">
        <f t="shared" si="447"/>
        <v>1911069.2983667699</v>
      </c>
      <c r="O937" s="112">
        <f t="shared" si="447"/>
        <v>108125.81356906332</v>
      </c>
      <c r="P937" s="112">
        <f t="shared" si="447"/>
        <v>709797.01284055423</v>
      </c>
      <c r="Q937" s="112">
        <f t="shared" si="447"/>
        <v>0.93604747876781269</v>
      </c>
      <c r="R937" s="112">
        <f t="shared" si="447"/>
        <v>-3.2499200423846331</v>
      </c>
      <c r="S937" s="112">
        <f t="shared" si="447"/>
        <v>-407.02931954932944</v>
      </c>
      <c r="T937" s="112">
        <f t="shared" si="447"/>
        <v>13718.388471119999</v>
      </c>
      <c r="U937" s="112">
        <f t="shared" si="447"/>
        <v>27568.479037839999</v>
      </c>
      <c r="V937" s="112">
        <f t="shared" si="447"/>
        <v>2330.3816085600001</v>
      </c>
      <c r="W937" s="112">
        <f>(W919+W924)*0.407634</f>
        <v>0</v>
      </c>
      <c r="X937" s="155">
        <f>(X919+X924)*0.407634</f>
        <v>0</v>
      </c>
      <c r="Y937" s="155">
        <f>(Y919+Y924)*0.407634</f>
        <v>0</v>
      </c>
      <c r="Z937" s="155">
        <f>(Z919+Z924)*0.407634</f>
        <v>0</v>
      </c>
      <c r="AA937" s="151">
        <f>ROUND(SUM(G937:Z937),2)</f>
        <v>32610702.710000001</v>
      </c>
      <c r="AB937" s="152" t="str">
        <f>IF(ABS(F937-AA937)&lt;0.01,"ok","err")</f>
        <v>ok</v>
      </c>
    </row>
    <row r="938" spans="1:28" s="150" customFormat="1">
      <c r="A938" s="68"/>
      <c r="B938" s="60"/>
      <c r="C938" s="60"/>
      <c r="D938" s="60"/>
      <c r="E938" s="60"/>
      <c r="F938" s="79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153"/>
      <c r="Y938" s="153"/>
      <c r="Z938" s="153"/>
      <c r="AA938" s="151"/>
      <c r="AB938" s="152"/>
    </row>
    <row r="939" spans="1:28" s="150" customFormat="1">
      <c r="A939" s="60" t="s">
        <v>136</v>
      </c>
      <c r="B939" s="60"/>
      <c r="C939" s="60"/>
      <c r="D939" s="60"/>
      <c r="E939" s="60"/>
      <c r="F939" s="80">
        <f t="shared" ref="F939:Z939" si="448">SUM(F931:F938)</f>
        <v>1002848820.4837153</v>
      </c>
      <c r="G939" s="80">
        <f t="shared" si="448"/>
        <v>445558542.26414442</v>
      </c>
      <c r="H939" s="80">
        <f t="shared" si="448"/>
        <v>1058782.3756364288</v>
      </c>
      <c r="I939" s="80">
        <f t="shared" si="448"/>
        <v>119762810.72772397</v>
      </c>
      <c r="J939" s="80">
        <f t="shared" si="448"/>
        <v>7912808.6238390906</v>
      </c>
      <c r="K939" s="80">
        <f t="shared" si="448"/>
        <v>124121895.63756739</v>
      </c>
      <c r="L939" s="80">
        <f t="shared" si="448"/>
        <v>128196199.14993854</v>
      </c>
      <c r="M939" s="80">
        <f t="shared" si="448"/>
        <v>97162690.517731324</v>
      </c>
      <c r="N939" s="80">
        <f t="shared" si="448"/>
        <v>59443332.628259689</v>
      </c>
      <c r="O939" s="80">
        <f>SUM(O931:O938)</f>
        <v>3643515.976844802</v>
      </c>
      <c r="P939" s="80">
        <f t="shared" si="448"/>
        <v>15277038.215789782</v>
      </c>
      <c r="Q939" s="80">
        <f t="shared" si="448"/>
        <v>207557.40320269164</v>
      </c>
      <c r="R939" s="80">
        <f t="shared" si="448"/>
        <v>244246.87974778126</v>
      </c>
      <c r="S939" s="80">
        <f t="shared" si="448"/>
        <v>3401.9609928564469</v>
      </c>
      <c r="T939" s="80">
        <f t="shared" si="448"/>
        <v>59192.534384816434</v>
      </c>
      <c r="U939" s="80">
        <f t="shared" si="448"/>
        <v>181848.13605860423</v>
      </c>
      <c r="V939" s="80">
        <f t="shared" si="448"/>
        <v>14957.451853235427</v>
      </c>
      <c r="W939" s="80">
        <f t="shared" si="448"/>
        <v>0</v>
      </c>
      <c r="X939" s="151">
        <f t="shared" si="448"/>
        <v>0</v>
      </c>
      <c r="Y939" s="151">
        <f t="shared" si="448"/>
        <v>0</v>
      </c>
      <c r="Z939" s="151">
        <f t="shared" si="448"/>
        <v>0</v>
      </c>
      <c r="AA939" s="151">
        <f>ROUND(SUM(G939:Z939),2)</f>
        <v>1002848820.48</v>
      </c>
      <c r="AB939" s="152" t="str">
        <f>IF(ABS(F939-AA939)&lt;0.01,"ok","err")</f>
        <v>ok</v>
      </c>
    </row>
    <row r="940" spans="1:28" s="150" customFormat="1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</row>
    <row r="941" spans="1:28" s="150" customFormat="1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</row>
    <row r="942" spans="1:28" s="150" customFormat="1" ht="14.1">
      <c r="A942" s="65" t="s">
        <v>822</v>
      </c>
      <c r="B942" s="60"/>
      <c r="C942" s="60"/>
      <c r="D942" s="60"/>
      <c r="E942" s="60"/>
      <c r="F942" s="80">
        <f t="shared" ref="F942:Z942" si="449">F926-F939</f>
        <v>248460200.76360822</v>
      </c>
      <c r="G942" s="80">
        <f>G926-G939</f>
        <v>63013329.675767124</v>
      </c>
      <c r="H942" s="80">
        <f t="shared" si="449"/>
        <v>-288886.00610111665</v>
      </c>
      <c r="I942" s="80">
        <f t="shared" si="449"/>
        <v>53369249.786711797</v>
      </c>
      <c r="J942" s="80">
        <f t="shared" si="449"/>
        <v>3811290.669399743</v>
      </c>
      <c r="K942" s="80">
        <f t="shared" si="449"/>
        <v>48289311.822019681</v>
      </c>
      <c r="L942" s="80">
        <f t="shared" si="449"/>
        <v>32499483.638234898</v>
      </c>
      <c r="M942" s="80">
        <f t="shared" si="449"/>
        <v>22351945.64576976</v>
      </c>
      <c r="N942" s="80">
        <f t="shared" si="449"/>
        <v>14161161.878249869</v>
      </c>
      <c r="O942" s="80">
        <f t="shared" si="449"/>
        <v>651593.0789398686</v>
      </c>
      <c r="P942" s="80">
        <f t="shared" si="449"/>
        <v>10273924.82019488</v>
      </c>
      <c r="Q942" s="80">
        <f t="shared" si="449"/>
        <v>51101.136205852614</v>
      </c>
      <c r="R942" s="80">
        <f t="shared" si="449"/>
        <v>86788.844112883555</v>
      </c>
      <c r="S942" s="80">
        <f t="shared" si="449"/>
        <v>10650.694353883766</v>
      </c>
      <c r="T942" s="80">
        <f t="shared" si="449"/>
        <v>8708.6676609025017</v>
      </c>
      <c r="U942" s="80">
        <f t="shared" si="449"/>
        <v>166189.86394139577</v>
      </c>
      <c r="V942" s="80">
        <f t="shared" si="449"/>
        <v>4356.5481467645732</v>
      </c>
      <c r="W942" s="80">
        <f t="shared" si="449"/>
        <v>0</v>
      </c>
      <c r="X942" s="151">
        <f t="shared" si="449"/>
        <v>0</v>
      </c>
      <c r="Y942" s="151">
        <f t="shared" si="449"/>
        <v>0</v>
      </c>
      <c r="Z942" s="151">
        <f t="shared" si="449"/>
        <v>0</v>
      </c>
      <c r="AA942" s="151">
        <f>ROUND(SUM(G942:Z942),2)</f>
        <v>248460200.75999999</v>
      </c>
      <c r="AB942" s="152" t="str">
        <f>IF(ABS(F942-AA942)&lt;0.01,"ok","err")</f>
        <v>ok</v>
      </c>
    </row>
    <row r="943" spans="1:28" s="150" customFormat="1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</row>
    <row r="944" spans="1:28" s="150" customFormat="1" ht="14.1">
      <c r="A944" s="65" t="s">
        <v>1026</v>
      </c>
      <c r="B944" s="60"/>
      <c r="C944" s="60"/>
      <c r="D944" s="60"/>
      <c r="E944" s="60"/>
      <c r="F944" s="80">
        <f>F866</f>
        <v>3460077816.1601419</v>
      </c>
      <c r="G944" s="80">
        <f t="shared" ref="G944:Z944" si="450">G866</f>
        <v>1749779989.101094</v>
      </c>
      <c r="H944" s="80">
        <f t="shared" si="450"/>
        <v>2804049.0308775981</v>
      </c>
      <c r="I944" s="80">
        <f t="shared" si="450"/>
        <v>403377509.80225503</v>
      </c>
      <c r="J944" s="80">
        <f t="shared" si="450"/>
        <v>22807737.128033813</v>
      </c>
      <c r="K944" s="80">
        <f t="shared" si="450"/>
        <v>389970355.05789894</v>
      </c>
      <c r="L944" s="80">
        <f t="shared" si="450"/>
        <v>335231274.66265321</v>
      </c>
      <c r="M944" s="80">
        <f t="shared" si="450"/>
        <v>295971692.74197924</v>
      </c>
      <c r="N944" s="80">
        <f t="shared" si="450"/>
        <v>145201940.52601016</v>
      </c>
      <c r="O944" s="80">
        <f>O866</f>
        <v>9829885.2741891239</v>
      </c>
      <c r="P944" s="80">
        <f t="shared" si="450"/>
        <v>101453118.33768603</v>
      </c>
      <c r="Q944" s="80">
        <f t="shared" si="450"/>
        <v>518687.22011027404</v>
      </c>
      <c r="R944" s="80">
        <f t="shared" si="450"/>
        <v>623313.44507924758</v>
      </c>
      <c r="S944" s="80">
        <f t="shared" si="450"/>
        <v>12804.176001885042</v>
      </c>
      <c r="T944" s="80">
        <f t="shared" si="450"/>
        <v>120161.0262732144</v>
      </c>
      <c r="U944" s="80">
        <f t="shared" si="450"/>
        <v>2314621.8400000003</v>
      </c>
      <c r="V944" s="80">
        <f t="shared" si="450"/>
        <v>60676.790000000008</v>
      </c>
      <c r="W944" s="80">
        <f t="shared" si="450"/>
        <v>0</v>
      </c>
      <c r="X944" s="80">
        <f t="shared" si="450"/>
        <v>0</v>
      </c>
      <c r="Y944" s="80">
        <f t="shared" si="450"/>
        <v>0</v>
      </c>
      <c r="Z944" s="80">
        <f t="shared" si="450"/>
        <v>0</v>
      </c>
      <c r="AA944" s="151">
        <f>ROUND(SUM(G944:Z944),2)</f>
        <v>3460077816.1599998</v>
      </c>
      <c r="AB944" s="152" t="str">
        <f>IF(ABS(F944-AA944)&lt;0.01,"ok","err")</f>
        <v>ok</v>
      </c>
    </row>
    <row r="945" spans="1:28" s="150" customFormat="1" ht="14.1" thickBot="1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</row>
    <row r="946" spans="1:28" s="150" customFormat="1" ht="14.4" thickBot="1">
      <c r="A946" s="281" t="s">
        <v>1044</v>
      </c>
      <c r="B946" s="146"/>
      <c r="C946" s="146"/>
      <c r="D946" s="146"/>
      <c r="E946" s="146"/>
      <c r="F946" s="147">
        <f t="shared" ref="F946:P946" si="451">F942/F944</f>
        <v>7.1807691608317514E-2</v>
      </c>
      <c r="G946" s="147">
        <f t="shared" si="451"/>
        <v>3.6012144422876077E-2</v>
      </c>
      <c r="H946" s="147">
        <f t="shared" si="451"/>
        <v>-0.10302459155313075</v>
      </c>
      <c r="I946" s="147">
        <f t="shared" si="451"/>
        <v>0.1323059627515541</v>
      </c>
      <c r="J946" s="147">
        <f t="shared" si="451"/>
        <v>0.16710516470812653</v>
      </c>
      <c r="K946" s="147">
        <f t="shared" si="451"/>
        <v>0.12382816077096466</v>
      </c>
      <c r="L946" s="147">
        <f t="shared" si="451"/>
        <v>9.6946454864449846E-2</v>
      </c>
      <c r="M946" s="147">
        <f t="shared" si="451"/>
        <v>7.5520552113257769E-2</v>
      </c>
      <c r="N946" s="147">
        <f t="shared" si="451"/>
        <v>9.752735966853808E-2</v>
      </c>
      <c r="O946" s="147">
        <f>O942/O944</f>
        <v>6.628694646628204E-2</v>
      </c>
      <c r="P946" s="147">
        <f t="shared" si="451"/>
        <v>0.10126770855872748</v>
      </c>
      <c r="Q946" s="147">
        <f>Q942/Q944</f>
        <v>9.8520137424994589E-2</v>
      </c>
      <c r="R946" s="147">
        <f t="shared" ref="R946:Z946" si="452">R942/R944</f>
        <v>0.13923788231753814</v>
      </c>
      <c r="S946" s="147">
        <f t="shared" si="452"/>
        <v>0.83181411691902407</v>
      </c>
      <c r="T946" s="147">
        <f t="shared" si="452"/>
        <v>7.2474977378283151E-2</v>
      </c>
      <c r="U946" s="147">
        <f t="shared" si="452"/>
        <v>7.1800006838869085E-2</v>
      </c>
      <c r="V946" s="147">
        <f t="shared" si="452"/>
        <v>7.1799252181345988E-2</v>
      </c>
      <c r="W946" s="147" t="e">
        <f t="shared" si="452"/>
        <v>#DIV/0!</v>
      </c>
      <c r="X946" s="156" t="e">
        <f t="shared" si="452"/>
        <v>#DIV/0!</v>
      </c>
      <c r="Y946" s="156" t="e">
        <f t="shared" si="452"/>
        <v>#DIV/0!</v>
      </c>
      <c r="Z946" s="156" t="e">
        <f t="shared" si="452"/>
        <v>#DIV/0!</v>
      </c>
      <c r="AA946" s="157"/>
      <c r="AB946" s="157"/>
    </row>
    <row r="947" spans="1:28" s="150" customFormat="1" ht="14.1">
      <c r="A947" s="65"/>
      <c r="B947" s="65"/>
      <c r="C947" s="60"/>
      <c r="D947" s="60"/>
      <c r="E947" s="60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54"/>
      <c r="Y947" s="154"/>
      <c r="Z947" s="154"/>
    </row>
    <row r="948" spans="1:28">
      <c r="F948" s="80"/>
    </row>
    <row r="949" spans="1:28" s="170" customFormat="1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</row>
    <row r="950" spans="1:28" s="170" customFormat="1" ht="14.1">
      <c r="A950" s="65" t="s">
        <v>132</v>
      </c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</row>
    <row r="951" spans="1:28" s="170" customFormat="1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</row>
    <row r="952" spans="1:28" s="170" customFormat="1" ht="14.1">
      <c r="A952" s="65" t="s">
        <v>1045</v>
      </c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</row>
    <row r="953" spans="1:28" s="170" customFormat="1">
      <c r="A953" s="60" t="s">
        <v>1046</v>
      </c>
      <c r="B953" s="60"/>
      <c r="C953" s="60"/>
      <c r="D953" s="60" t="s">
        <v>1015</v>
      </c>
      <c r="E953" s="60" t="s">
        <v>854</v>
      </c>
      <c r="F953" s="110">
        <v>1</v>
      </c>
      <c r="G953" s="110">
        <f t="shared" ref="G953:Z953" si="453">IF(VLOOKUP($E953,$D$6:$AN$1150,3,)=0,0,(VLOOKUP($E953,$D$6:$AN$1150,G$2,)/VLOOKUP($E953,$D$6:$AN$1150,3,))*$F953)</f>
        <v>0.35898407571087204</v>
      </c>
      <c r="H953" s="110">
        <f t="shared" si="453"/>
        <v>4.6101049545170189E-4</v>
      </c>
      <c r="I953" s="110">
        <f t="shared" si="453"/>
        <v>0.10626724766131081</v>
      </c>
      <c r="J953" s="110">
        <f t="shared" si="453"/>
        <v>9.0031326761925937E-3</v>
      </c>
      <c r="K953" s="110">
        <f t="shared" si="453"/>
        <v>0.13394483453706754</v>
      </c>
      <c r="L953" s="110">
        <f t="shared" si="453"/>
        <v>0.17314700951944603</v>
      </c>
      <c r="M953" s="110">
        <f t="shared" si="453"/>
        <v>0.11434927306388884</v>
      </c>
      <c r="N953" s="110">
        <f t="shared" si="453"/>
        <v>8.956428802798358E-2</v>
      </c>
      <c r="O953" s="110">
        <f t="shared" si="453"/>
        <v>4.8964208141970373E-3</v>
      </c>
      <c r="P953" s="110">
        <f t="shared" si="453"/>
        <v>8.7884953119310751E-3</v>
      </c>
      <c r="Q953" s="110">
        <f t="shared" si="453"/>
        <v>3.0610347100140173E-4</v>
      </c>
      <c r="R953" s="110">
        <f t="shared" si="453"/>
        <v>2.8546332313996332E-4</v>
      </c>
      <c r="S953" s="110">
        <f t="shared" si="453"/>
        <v>1.0253095914550137E-6</v>
      </c>
      <c r="T953" s="110">
        <f t="shared" si="453"/>
        <v>1.6200779258921212E-6</v>
      </c>
      <c r="U953" s="110">
        <f t="shared" si="453"/>
        <v>0</v>
      </c>
      <c r="V953" s="110">
        <f t="shared" si="453"/>
        <v>0</v>
      </c>
      <c r="W953" s="110">
        <f t="shared" si="453"/>
        <v>0</v>
      </c>
      <c r="X953" s="171">
        <f t="shared" si="453"/>
        <v>0</v>
      </c>
      <c r="Y953" s="171">
        <f t="shared" si="453"/>
        <v>0</v>
      </c>
      <c r="Z953" s="171">
        <f t="shared" si="453"/>
        <v>0</v>
      </c>
      <c r="AA953" s="175">
        <f>SUM(G953:Z953)</f>
        <v>0.99999999999999989</v>
      </c>
      <c r="AB953" s="172" t="str">
        <f>IF(ABS(F953-AA953)&lt;0.01,"ok","err")</f>
        <v>ok</v>
      </c>
    </row>
    <row r="954" spans="1:28" s="170" customFormat="1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</row>
    <row r="955" spans="1:28" s="170" customFormat="1" ht="14.1">
      <c r="A955" s="65" t="s">
        <v>1047</v>
      </c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</row>
    <row r="956" spans="1:28" s="170" customFormat="1">
      <c r="A956" s="60" t="s">
        <v>1048</v>
      </c>
      <c r="B956" s="60"/>
      <c r="C956" s="60"/>
      <c r="D956" s="60" t="s">
        <v>1018</v>
      </c>
      <c r="E956" s="60" t="s">
        <v>658</v>
      </c>
      <c r="F956" s="81">
        <v>1</v>
      </c>
      <c r="G956" s="83">
        <f t="shared" ref="G956:Z956" si="454">IF(VLOOKUP($E956,$D$6:$AN$1150,3,)=0,0,(VLOOKUP($E956,$D$6:$AN$1150,G$2,)/VLOOKUP($E956,$D$6:$AN$1150,3,))*$F956)</f>
        <v>0.8625326036879557</v>
      </c>
      <c r="H956" s="83">
        <f t="shared" si="454"/>
        <v>2.1290299334280794E-3</v>
      </c>
      <c r="I956" s="83">
        <f t="shared" si="454"/>
        <v>0.10386809038934489</v>
      </c>
      <c r="J956" s="83">
        <f t="shared" si="454"/>
        <v>1.6029265430488363E-4</v>
      </c>
      <c r="K956" s="83">
        <f t="shared" si="454"/>
        <v>6.3713977454278748E-3</v>
      </c>
      <c r="L956" s="83">
        <f t="shared" si="454"/>
        <v>3.0133764272298122E-4</v>
      </c>
      <c r="M956" s="83">
        <f t="shared" si="454"/>
        <v>1.1564095534268605E-3</v>
      </c>
      <c r="N956" s="83">
        <f t="shared" si="454"/>
        <v>0</v>
      </c>
      <c r="O956" s="83">
        <f t="shared" si="454"/>
        <v>4.579790122996675E-6</v>
      </c>
      <c r="P956" s="83">
        <f t="shared" si="454"/>
        <v>2.3155673294655801E-2</v>
      </c>
      <c r="Q956" s="83">
        <f t="shared" si="454"/>
        <v>4.0963678322359153E-5</v>
      </c>
      <c r="R956" s="83">
        <f t="shared" si="454"/>
        <v>2.5443278461092638E-4</v>
      </c>
      <c r="S956" s="83">
        <f t="shared" si="454"/>
        <v>2.2898950614983375E-6</v>
      </c>
      <c r="T956" s="83">
        <f t="shared" si="454"/>
        <v>2.2898950614983378E-5</v>
      </c>
      <c r="U956" s="83">
        <f t="shared" si="454"/>
        <v>0</v>
      </c>
      <c r="V956" s="83">
        <f t="shared" si="454"/>
        <v>0</v>
      </c>
      <c r="W956" s="83">
        <f t="shared" si="454"/>
        <v>0</v>
      </c>
      <c r="X956" s="171">
        <f t="shared" si="454"/>
        <v>0</v>
      </c>
      <c r="Y956" s="171">
        <f t="shared" si="454"/>
        <v>0</v>
      </c>
      <c r="Z956" s="171">
        <f t="shared" si="454"/>
        <v>0</v>
      </c>
      <c r="AA956" s="176">
        <f t="shared" ref="AA956:AA961" si="455">SUM(G956:Z956)</f>
        <v>0.99999999999999989</v>
      </c>
      <c r="AB956" s="172" t="str">
        <f t="shared" ref="AB956:AB961" si="456">IF(ABS(F956-AA956)&lt;0.01,"ok","err")</f>
        <v>ok</v>
      </c>
    </row>
    <row r="957" spans="1:28" s="170" customFormat="1">
      <c r="A957" s="60" t="s">
        <v>183</v>
      </c>
      <c r="B957" s="60"/>
      <c r="C957" s="60"/>
      <c r="D957" s="60" t="s">
        <v>1019</v>
      </c>
      <c r="E957" s="60"/>
      <c r="F957" s="81">
        <v>1</v>
      </c>
      <c r="G957" s="83">
        <f>Services!F10</f>
        <v>0.85920091333043136</v>
      </c>
      <c r="H957" s="83">
        <f>Services!F12</f>
        <v>2.1208061648774717E-3</v>
      </c>
      <c r="I957" s="83">
        <f>Services!F14</f>
        <v>0.12267300237995889</v>
      </c>
      <c r="J957" s="83">
        <f>Services!F16</f>
        <v>0</v>
      </c>
      <c r="K957" s="83">
        <f>Services!F18</f>
        <v>1.2618002541728851E-2</v>
      </c>
      <c r="L957" s="83">
        <f>Services!$F20</f>
        <v>0</v>
      </c>
      <c r="M957" s="83">
        <f>Services!$F22</f>
        <v>3.3827406437543727E-3</v>
      </c>
      <c r="N957" s="83">
        <f>Services!$F24</f>
        <v>0</v>
      </c>
      <c r="O957" s="83">
        <f>Services!$F26</f>
        <v>0</v>
      </c>
      <c r="P957" s="83">
        <f>Services!$F28</f>
        <v>0</v>
      </c>
      <c r="Q957" s="83">
        <f>Services!$F30</f>
        <v>0</v>
      </c>
      <c r="R957" s="83">
        <f>Services!$F32</f>
        <v>0</v>
      </c>
      <c r="S957" s="83">
        <f>Services!$F34</f>
        <v>4.534939248928961E-6</v>
      </c>
      <c r="T957" s="83">
        <f>Services!$F36</f>
        <v>0</v>
      </c>
      <c r="U957" s="83">
        <f>Services!$F38</f>
        <v>0</v>
      </c>
      <c r="V957" s="83">
        <f>Services!$F40</f>
        <v>0</v>
      </c>
      <c r="W957" s="83">
        <v>0</v>
      </c>
      <c r="X957" s="83">
        <v>0</v>
      </c>
      <c r="Y957" s="83">
        <v>0</v>
      </c>
      <c r="Z957" s="83">
        <v>0</v>
      </c>
      <c r="AA957" s="176">
        <f t="shared" si="455"/>
        <v>0.99999999999999978</v>
      </c>
      <c r="AB957" s="172" t="str">
        <f t="shared" si="456"/>
        <v>ok</v>
      </c>
    </row>
    <row r="958" spans="1:28" s="170" customFormat="1">
      <c r="A958" s="60" t="s">
        <v>1049</v>
      </c>
      <c r="B958" s="60"/>
      <c r="C958" s="60"/>
      <c r="D958" s="60" t="s">
        <v>1020</v>
      </c>
      <c r="E958" s="60"/>
      <c r="F958" s="81">
        <v>1</v>
      </c>
      <c r="G958" s="83">
        <f>Meters!$H$10</f>
        <v>0.68186317292471232</v>
      </c>
      <c r="H958" s="83">
        <f>Meters!$H$12</f>
        <v>1.6830750506726976E-3</v>
      </c>
      <c r="I958" s="83">
        <f>Meters!$H$14</f>
        <v>0.21238041616295206</v>
      </c>
      <c r="J958" s="83">
        <f>Meters!$H$16</f>
        <v>6.9419165936484275E-3</v>
      </c>
      <c r="K958" s="83">
        <f>Meters!$H$18</f>
        <v>5.9391661663426243E-2</v>
      </c>
      <c r="L958" s="83">
        <f>Meters!$H$20</f>
        <v>1.3865762664287819E-2</v>
      </c>
      <c r="M958" s="83">
        <f>Meters!$H$22</f>
        <v>1.1741363749713249E-2</v>
      </c>
      <c r="N958" s="83">
        <f>Meters!$H$24</f>
        <v>9.7988568917879437E-3</v>
      </c>
      <c r="O958" s="83">
        <f>Meters!$H$26</f>
        <v>2.1073465075220914E-4</v>
      </c>
      <c r="P958" s="83">
        <f>Meters!$H$28</f>
        <v>0</v>
      </c>
      <c r="Q958" s="83">
        <f>Meters!$H$30</f>
        <v>2.9144940377338457E-4</v>
      </c>
      <c r="R958" s="83">
        <f>Meters!$H$32</f>
        <v>1.8102447439340657E-3</v>
      </c>
      <c r="S958" s="83">
        <f>Meters!$H$34</f>
        <v>2.1345500339364968E-5</v>
      </c>
      <c r="T958" s="83">
        <f>Meters!$H$36</f>
        <v>0</v>
      </c>
      <c r="U958" s="83">
        <f>Meters!$H$38</f>
        <v>0</v>
      </c>
      <c r="V958" s="83">
        <f>Meters!$H$40</f>
        <v>0</v>
      </c>
      <c r="W958" s="83">
        <v>0</v>
      </c>
      <c r="X958" s="176">
        <v>0</v>
      </c>
      <c r="Y958" s="176">
        <v>0</v>
      </c>
      <c r="Z958" s="176">
        <v>0</v>
      </c>
      <c r="AA958" s="176">
        <f>SUM(G958:Z958)</f>
        <v>0.99999999999999967</v>
      </c>
      <c r="AB958" s="172" t="str">
        <f t="shared" si="456"/>
        <v>ok</v>
      </c>
    </row>
    <row r="959" spans="1:28" s="170" customFormat="1">
      <c r="A959" s="60" t="s">
        <v>1050</v>
      </c>
      <c r="B959" s="60"/>
      <c r="C959" s="60"/>
      <c r="D959" s="60" t="s">
        <v>1021</v>
      </c>
      <c r="E959" s="60" t="s">
        <v>131</v>
      </c>
      <c r="F959" s="81">
        <v>1</v>
      </c>
      <c r="G959" s="83">
        <f t="shared" ref="G959:R961" si="457">IF(VLOOKUP($E959,$D$6:$AN$1150,3,)=0,0,(VLOOKUP($E959,$D$6:$AN$1150,G$2,)/VLOOKUP($E959,$D$6:$AN$1150,3,))*$F959)</f>
        <v>0</v>
      </c>
      <c r="H959" s="83">
        <f t="shared" si="457"/>
        <v>0</v>
      </c>
      <c r="I959" s="83">
        <f t="shared" si="457"/>
        <v>0</v>
      </c>
      <c r="J959" s="83">
        <f t="shared" si="457"/>
        <v>0</v>
      </c>
      <c r="K959" s="83">
        <f t="shared" si="457"/>
        <v>0</v>
      </c>
      <c r="L959" s="83">
        <f t="shared" si="457"/>
        <v>0</v>
      </c>
      <c r="M959" s="83">
        <f t="shared" si="457"/>
        <v>0</v>
      </c>
      <c r="N959" s="83">
        <f t="shared" si="457"/>
        <v>0</v>
      </c>
      <c r="O959" s="83">
        <f t="shared" si="457"/>
        <v>0</v>
      </c>
      <c r="P959" s="83">
        <f t="shared" si="457"/>
        <v>1</v>
      </c>
      <c r="Q959" s="83">
        <f t="shared" si="457"/>
        <v>0</v>
      </c>
      <c r="R959" s="83">
        <f t="shared" si="457"/>
        <v>0</v>
      </c>
      <c r="S959" s="83">
        <v>0</v>
      </c>
      <c r="T959" s="83">
        <v>0</v>
      </c>
      <c r="U959" s="83">
        <v>0</v>
      </c>
      <c r="V959" s="83">
        <f t="shared" ref="V959:Z961" si="458">IF(VLOOKUP($E959,$D$6:$AN$1150,3,)=0,0,(VLOOKUP($E959,$D$6:$AN$1150,V$2,)/VLOOKUP($E959,$D$6:$AN$1150,3,))*$F959)</f>
        <v>0</v>
      </c>
      <c r="W959" s="83">
        <f t="shared" si="458"/>
        <v>0</v>
      </c>
      <c r="X959" s="171">
        <f t="shared" si="458"/>
        <v>0</v>
      </c>
      <c r="Y959" s="171">
        <f t="shared" si="458"/>
        <v>0</v>
      </c>
      <c r="Z959" s="171">
        <f t="shared" si="458"/>
        <v>0</v>
      </c>
      <c r="AA959" s="176">
        <f t="shared" si="455"/>
        <v>1</v>
      </c>
      <c r="AB959" s="172" t="str">
        <f t="shared" si="456"/>
        <v>ok</v>
      </c>
    </row>
    <row r="960" spans="1:28" s="170" customFormat="1">
      <c r="A960" s="60" t="s">
        <v>1051</v>
      </c>
      <c r="B960" s="60"/>
      <c r="C960" s="60"/>
      <c r="D960" s="60" t="s">
        <v>1022</v>
      </c>
      <c r="E960" s="60" t="s">
        <v>154</v>
      </c>
      <c r="F960" s="81">
        <v>1</v>
      </c>
      <c r="G960" s="83">
        <f t="shared" si="457"/>
        <v>0.73987889927724404</v>
      </c>
      <c r="H960" s="83">
        <f t="shared" si="457"/>
        <v>1.8262780061157563E-3</v>
      </c>
      <c r="I960" s="83">
        <f t="shared" si="457"/>
        <v>0.17819571818783159</v>
      </c>
      <c r="J960" s="83">
        <f t="shared" si="457"/>
        <v>6.8749373717721398E-4</v>
      </c>
      <c r="K960" s="83">
        <f t="shared" si="457"/>
        <v>2.7326867011105642E-2</v>
      </c>
      <c r="L960" s="83">
        <f t="shared" si="457"/>
        <v>6.4621720516821798E-3</v>
      </c>
      <c r="M960" s="83">
        <f t="shared" si="457"/>
        <v>2.4799150311675993E-2</v>
      </c>
      <c r="N960" s="83">
        <f t="shared" si="457"/>
        <v>6.3838704166455584E-4</v>
      </c>
      <c r="O960" s="83">
        <f t="shared" si="457"/>
        <v>1.9642678205063259E-5</v>
      </c>
      <c r="P960" s="83">
        <f t="shared" si="457"/>
        <v>1.9862894452940021E-2</v>
      </c>
      <c r="Q960" s="83">
        <f t="shared" si="457"/>
        <v>3.5138568789057603E-5</v>
      </c>
      <c r="R960" s="83">
        <f t="shared" si="457"/>
        <v>2.1825198005625841E-4</v>
      </c>
      <c r="S960" s="83">
        <f t="shared" ref="S960:U961" si="459">IF(VLOOKUP($E960,$D$6:$AN$1150,3,)=0,0,(VLOOKUP($E960,$D$6:$AN$1150,S$2,)/VLOOKUP($E960,$D$6:$AN$1150,3,))*$F960)</f>
        <v>9.8213391025316293E-6</v>
      </c>
      <c r="T960" s="83">
        <f t="shared" si="459"/>
        <v>3.9285356410126517E-5</v>
      </c>
      <c r="U960" s="83">
        <f t="shared" si="459"/>
        <v>0</v>
      </c>
      <c r="V960" s="83">
        <f t="shared" si="458"/>
        <v>0</v>
      </c>
      <c r="W960" s="83">
        <f t="shared" si="458"/>
        <v>0</v>
      </c>
      <c r="X960" s="171">
        <f t="shared" si="458"/>
        <v>0</v>
      </c>
      <c r="Y960" s="171">
        <f t="shared" si="458"/>
        <v>0</v>
      </c>
      <c r="Z960" s="171">
        <f t="shared" si="458"/>
        <v>0</v>
      </c>
      <c r="AA960" s="176">
        <f t="shared" si="455"/>
        <v>1</v>
      </c>
      <c r="AB960" s="172" t="str">
        <f t="shared" si="456"/>
        <v>ok</v>
      </c>
    </row>
    <row r="961" spans="1:29" s="170" customFormat="1">
      <c r="A961" s="60" t="s">
        <v>170</v>
      </c>
      <c r="B961" s="60"/>
      <c r="C961" s="60"/>
      <c r="D961" s="60" t="s">
        <v>1023</v>
      </c>
      <c r="E961" s="60" t="s">
        <v>155</v>
      </c>
      <c r="F961" s="81">
        <v>1</v>
      </c>
      <c r="G961" s="83">
        <f t="shared" si="457"/>
        <v>0.8625069280333405</v>
      </c>
      <c r="H961" s="83">
        <f t="shared" si="457"/>
        <v>2.1289665569980149E-3</v>
      </c>
      <c r="I961" s="83">
        <f t="shared" si="457"/>
        <v>0.10386499847003312</v>
      </c>
      <c r="J961" s="83">
        <f t="shared" si="457"/>
        <v>1.6028788275327887E-4</v>
      </c>
      <c r="K961" s="83">
        <f t="shared" si="457"/>
        <v>6.371208083254842E-3</v>
      </c>
      <c r="L961" s="83">
        <f t="shared" si="457"/>
        <v>3.0132867257947124E-4</v>
      </c>
      <c r="M961" s="83">
        <f t="shared" si="457"/>
        <v>1.1563751297167765E-3</v>
      </c>
      <c r="N961" s="83">
        <f t="shared" si="457"/>
        <v>2.9767749654180364E-5</v>
      </c>
      <c r="O961" s="83">
        <f t="shared" si="457"/>
        <v>4.5796537929508255E-6</v>
      </c>
      <c r="P961" s="83">
        <f t="shared" si="457"/>
        <v>2.3154984002370094E-2</v>
      </c>
      <c r="Q961" s="83">
        <f t="shared" si="457"/>
        <v>4.0962458925837936E-5</v>
      </c>
      <c r="R961" s="83">
        <f t="shared" si="457"/>
        <v>2.5442521071949027E-4</v>
      </c>
      <c r="S961" s="83">
        <f t="shared" si="459"/>
        <v>2.2898268964754127E-6</v>
      </c>
      <c r="T961" s="83">
        <f t="shared" si="459"/>
        <v>2.2898268964754128E-5</v>
      </c>
      <c r="U961" s="83">
        <f t="shared" si="459"/>
        <v>0</v>
      </c>
      <c r="V961" s="83">
        <f t="shared" si="458"/>
        <v>0</v>
      </c>
      <c r="W961" s="83">
        <f t="shared" si="458"/>
        <v>0</v>
      </c>
      <c r="X961" s="171">
        <f t="shared" si="458"/>
        <v>0</v>
      </c>
      <c r="Y961" s="171">
        <f t="shared" si="458"/>
        <v>0</v>
      </c>
      <c r="Z961" s="171">
        <f t="shared" si="458"/>
        <v>0</v>
      </c>
      <c r="AA961" s="176">
        <f t="shared" si="455"/>
        <v>0.99999999999999978</v>
      </c>
      <c r="AB961" s="172" t="str">
        <f t="shared" si="456"/>
        <v>ok</v>
      </c>
    </row>
    <row r="962" spans="1:29" s="170" customFormat="1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</row>
    <row r="963" spans="1:29" s="60" customFormat="1">
      <c r="A963" s="60" t="s">
        <v>1190</v>
      </c>
      <c r="D963" s="60" t="s">
        <v>129</v>
      </c>
      <c r="F963" s="79">
        <f>'Billing Det'!D39</f>
        <v>1066653012.4400001</v>
      </c>
      <c r="G963" s="79">
        <f>'Billing Det'!$D$8</f>
        <v>431190869.32348835</v>
      </c>
      <c r="H963" s="79">
        <f>'Billing Det'!$D10</f>
        <v>633867.12651165912</v>
      </c>
      <c r="I963" s="79">
        <f>'Billing Det'!$D12</f>
        <v>148100588.18000001</v>
      </c>
      <c r="J963" s="79">
        <f>'Billing Det'!$D$14</f>
        <v>10054861.74</v>
      </c>
      <c r="K963" s="79">
        <f>'Billing Det'!$D$16</f>
        <v>147448878.13999999</v>
      </c>
      <c r="L963" s="79">
        <f>'Billing Det'!$D$18</f>
        <v>136688084.54999998</v>
      </c>
      <c r="M963" s="79">
        <f>'Billing Det'!$D$20</f>
        <v>101626163.23</v>
      </c>
      <c r="N963" s="79">
        <f>'Billing Det'!$D$22</f>
        <v>64286866.589999996</v>
      </c>
      <c r="O963" s="79">
        <f>'Billing Det'!$D$24</f>
        <v>3635159.88</v>
      </c>
      <c r="P963" s="79">
        <f>'Billing Det'!$D$26</f>
        <v>22160939.829999998</v>
      </c>
      <c r="Q963" s="79">
        <f>'Billing Det'!$D$28</f>
        <v>243958.97</v>
      </c>
      <c r="R963" s="79">
        <f>'Billing Det'!$D$30</f>
        <v>318741.55000000005</v>
      </c>
      <c r="S963" s="79">
        <f>'Billing Det'!$D$32</f>
        <v>15468.33</v>
      </c>
      <c r="T963" s="79">
        <f>'Billing Det'!$D$34</f>
        <v>1533</v>
      </c>
      <c r="U963" s="79">
        <f>'Billing Det'!$D$36</f>
        <v>237096</v>
      </c>
      <c r="V963" s="79">
        <f>'Billing Det'!$D$38</f>
        <v>9936</v>
      </c>
      <c r="W963" s="79">
        <v>0</v>
      </c>
      <c r="X963" s="79">
        <v>0</v>
      </c>
      <c r="Y963" s="79">
        <v>0</v>
      </c>
      <c r="Z963" s="79">
        <v>0</v>
      </c>
      <c r="AA963" s="79">
        <f>SUM(G963:Z963)</f>
        <v>1066653012.4400001</v>
      </c>
      <c r="AB963" s="93" t="str">
        <f>IF(ABS(F963-AA963)&lt;0.01,"ok","err")</f>
        <v>ok</v>
      </c>
      <c r="AC963" s="112">
        <f>+AA963-F963</f>
        <v>0</v>
      </c>
    </row>
    <row r="964" spans="1:29" s="170" customFormat="1">
      <c r="A964" s="60" t="s">
        <v>854</v>
      </c>
      <c r="B964" s="60"/>
      <c r="C964" s="60"/>
      <c r="D964" s="60"/>
      <c r="E964" s="60"/>
      <c r="F964" s="79">
        <f>'Billing Det'!C39</f>
        <v>11352592560.98</v>
      </c>
      <c r="G964" s="79">
        <f>'Billing Det'!$C8</f>
        <v>4043916207.3736367</v>
      </c>
      <c r="H964" s="79">
        <f>'Billing Det'!$C10</f>
        <v>5193232.6263630604</v>
      </c>
      <c r="I964" s="79">
        <f>'Billing Det'!$C12</f>
        <v>1197088880</v>
      </c>
      <c r="J964" s="79">
        <f>'Billing Det'!$C14</f>
        <v>103621086</v>
      </c>
      <c r="K964" s="79">
        <f>'Billing Det'!$C16</f>
        <v>1508873858</v>
      </c>
      <c r="L964" s="79">
        <f>'Billing Det'!$C18</f>
        <v>1992826476</v>
      </c>
      <c r="M964" s="79">
        <f>'Billing Det'!$C20</f>
        <v>1288132009</v>
      </c>
      <c r="N964" s="79">
        <f>'Billing Det'!$C22</f>
        <v>1050890542</v>
      </c>
      <c r="O964" s="79">
        <f>'Billing Det'!$C24</f>
        <v>56355100</v>
      </c>
      <c r="P964" s="79">
        <f>'Billing Det'!$C26</f>
        <v>99001434.980000019</v>
      </c>
      <c r="Q964" s="79">
        <f>'Billing Det'!$C28</f>
        <v>3448222</v>
      </c>
      <c r="R964" s="79">
        <f>'Billing Det'!$C30</f>
        <v>3215713</v>
      </c>
      <c r="S964" s="79">
        <f>'Billing Det'!$C32</f>
        <v>11550</v>
      </c>
      <c r="T964" s="79">
        <f>'Billing Det'!$C34</f>
        <v>18250</v>
      </c>
      <c r="U964" s="79">
        <f>'Billing Det'!$C36</f>
        <v>0</v>
      </c>
      <c r="V964" s="79">
        <f>'Billing Det'!$C38</f>
        <v>0</v>
      </c>
      <c r="W964" s="79">
        <v>0</v>
      </c>
      <c r="X964" s="171">
        <v>0</v>
      </c>
      <c r="Y964" s="171">
        <v>0</v>
      </c>
      <c r="Z964" s="171">
        <v>0</v>
      </c>
      <c r="AA964" s="171">
        <f t="shared" ref="AA964:AA974" si="460">SUM(G964:Z964)</f>
        <v>11352592560.98</v>
      </c>
      <c r="AB964" s="172" t="str">
        <f>IF(ABS(F964-AA964)&lt;0.01,"ok","err")</f>
        <v>ok</v>
      </c>
    </row>
    <row r="965" spans="1:29" s="60" customFormat="1">
      <c r="A965" s="60" t="s">
        <v>669</v>
      </c>
      <c r="D965" s="60" t="s">
        <v>854</v>
      </c>
      <c r="F965" s="79">
        <v>11999883068.421787</v>
      </c>
      <c r="G965" s="79">
        <f>G964/0.93875</f>
        <v>4307766931.9559383</v>
      </c>
      <c r="H965" s="79">
        <f>H964/0.93875</f>
        <v>5532072.038735617</v>
      </c>
      <c r="I965" s="79">
        <f>I964/0.93875</f>
        <v>1275194545.9387484</v>
      </c>
      <c r="J965" s="79">
        <f>J964/0.95913</f>
        <v>108036539.36379844</v>
      </c>
      <c r="K965" s="79">
        <f>K964/0.93875</f>
        <v>1607322352.0639148</v>
      </c>
      <c r="L965" s="79">
        <f>L964/0.95913</f>
        <v>2077743867.8802664</v>
      </c>
      <c r="M965" s="79">
        <f>M964/0.93875</f>
        <v>1372177905.7256992</v>
      </c>
      <c r="N965" s="79">
        <f>N964/0.97779</f>
        <v>1074760983.4422524</v>
      </c>
      <c r="O965" s="79">
        <f>O964/0.95913</f>
        <v>58756477.224151053</v>
      </c>
      <c r="P965" s="79">
        <f t="shared" ref="P965:V965" si="461">P964/0.93875</f>
        <v>105460916.09054597</v>
      </c>
      <c r="Q965" s="79">
        <f t="shared" si="461"/>
        <v>3673205.8588548601</v>
      </c>
      <c r="R965" s="79">
        <f t="shared" si="461"/>
        <v>3425526.4980026633</v>
      </c>
      <c r="S965" s="79">
        <f t="shared" si="461"/>
        <v>12303.595206391479</v>
      </c>
      <c r="T965" s="79">
        <f t="shared" si="461"/>
        <v>19440.745672436751</v>
      </c>
      <c r="U965" s="79">
        <f t="shared" si="461"/>
        <v>0</v>
      </c>
      <c r="V965" s="79">
        <f t="shared" si="461"/>
        <v>0</v>
      </c>
      <c r="W965" s="79">
        <f>W964/(1-0.061646)</f>
        <v>0</v>
      </c>
      <c r="X965" s="79">
        <v>0</v>
      </c>
      <c r="Y965" s="79">
        <v>0</v>
      </c>
      <c r="Z965" s="79">
        <v>0</v>
      </c>
      <c r="AA965" s="79">
        <f>SUM(G965:Z965)</f>
        <v>11999883068.421787</v>
      </c>
      <c r="AB965" s="93" t="str">
        <f>IF(ABS(F965-AA965)&lt;0.01,"ok","err")</f>
        <v>ok</v>
      </c>
      <c r="AC965" s="112">
        <f>+AA965-F965</f>
        <v>0</v>
      </c>
    </row>
    <row r="966" spans="1:29" s="170" customFormat="1">
      <c r="A966" s="60"/>
      <c r="B966" s="60"/>
      <c r="C966" s="60"/>
      <c r="D966" s="60"/>
      <c r="E966" s="60"/>
      <c r="F966" s="79"/>
      <c r="G966" s="79"/>
      <c r="H966" s="79"/>
      <c r="I966" s="79"/>
      <c r="J966" s="79"/>
      <c r="K966" s="79"/>
      <c r="L966" s="79"/>
      <c r="M966" s="79"/>
      <c r="N966" s="79"/>
      <c r="O966" s="110"/>
      <c r="P966" s="110"/>
      <c r="Q966" s="79"/>
      <c r="R966" s="79"/>
      <c r="S966" s="79"/>
      <c r="T966" s="79"/>
      <c r="U966" s="79"/>
      <c r="V966" s="79"/>
      <c r="W966" s="79"/>
      <c r="X966" s="171"/>
      <c r="Y966" s="171"/>
      <c r="Z966" s="171"/>
      <c r="AA966" s="171"/>
      <c r="AB966" s="172"/>
    </row>
    <row r="967" spans="1:29" s="170" customFormat="1" ht="14.1">
      <c r="A967" s="65" t="s">
        <v>820</v>
      </c>
      <c r="B967" s="60"/>
      <c r="C967" s="60"/>
      <c r="D967" s="60"/>
      <c r="E967" s="60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171"/>
      <c r="Y967" s="171"/>
      <c r="Z967" s="171"/>
      <c r="AA967" s="171"/>
      <c r="AB967" s="172"/>
    </row>
    <row r="968" spans="1:29" s="170" customFormat="1">
      <c r="A968" s="60" t="s">
        <v>126</v>
      </c>
      <c r="B968" s="60"/>
      <c r="C968" s="60"/>
      <c r="D968" s="60"/>
      <c r="E968" s="60"/>
      <c r="F968" s="79">
        <v>6223717.4794520549</v>
      </c>
      <c r="G968" s="79">
        <f>'Billing Det'!$B8*12</f>
        <v>4520028.6328767128</v>
      </c>
      <c r="H968" s="79">
        <f>'Billing Det'!$B10*12</f>
        <v>11157</v>
      </c>
      <c r="I968" s="79">
        <f>'Billing Det'!$B12*12</f>
        <v>544311.87945205474</v>
      </c>
      <c r="J968" s="79">
        <f>'Billing Det'!$B14*12</f>
        <v>840</v>
      </c>
      <c r="K968" s="79">
        <f>'Billing Det'!$B16*12</f>
        <v>33388.767123287675</v>
      </c>
      <c r="L968" s="79">
        <f>'Billing Det'!$B18*12</f>
        <v>1579.1342465753423</v>
      </c>
      <c r="M968" s="79">
        <f>'Billing Det'!$B20*12</f>
        <v>6060.0657534246575</v>
      </c>
      <c r="N968" s="79">
        <f>'Billing Det'!$B22*12</f>
        <v>156</v>
      </c>
      <c r="O968" s="79">
        <f>'Billing Det'!$B24*12</f>
        <v>24</v>
      </c>
      <c r="P968" s="79">
        <f>'Billing Det'!$B26*12</f>
        <v>1092108</v>
      </c>
      <c r="Q968" s="79">
        <f>'Billing Det'!$B28*12</f>
        <v>1932</v>
      </c>
      <c r="R968" s="79">
        <f>'Billing Det'!$B30*12</f>
        <v>12000</v>
      </c>
      <c r="S968" s="79">
        <f>'Billing Det'!$B32*12</f>
        <v>12</v>
      </c>
      <c r="T968" s="79">
        <f>'Billing Det'!$B34*12</f>
        <v>120</v>
      </c>
      <c r="U968" s="79">
        <f>'Billing Det'!$B36*12</f>
        <v>0</v>
      </c>
      <c r="V968" s="79">
        <f>'Billing Det'!$B38*12</f>
        <v>0</v>
      </c>
      <c r="W968" s="79">
        <v>0</v>
      </c>
      <c r="X968" s="171">
        <v>0</v>
      </c>
      <c r="Y968" s="171">
        <v>0</v>
      </c>
      <c r="Z968" s="171">
        <v>0</v>
      </c>
      <c r="AA968" s="171">
        <f t="shared" si="460"/>
        <v>6223717.4794520549</v>
      </c>
      <c r="AB968" s="172" t="str">
        <f t="shared" ref="AB968:AB976" si="462">IF(ABS(F968-AA968)&lt;0.01,"ok","err")</f>
        <v>ok</v>
      </c>
    </row>
    <row r="969" spans="1:29" s="170" customFormat="1">
      <c r="A969" s="60" t="s">
        <v>127</v>
      </c>
      <c r="B969" s="60"/>
      <c r="C969" s="60"/>
      <c r="D969" s="60"/>
      <c r="E969" s="60"/>
      <c r="F969" s="79">
        <v>518643.12328767136</v>
      </c>
      <c r="G969" s="79">
        <f>G968/12</f>
        <v>376669.05273972609</v>
      </c>
      <c r="H969" s="79">
        <f t="shared" ref="H969:P969" si="463">H968/12</f>
        <v>929.75</v>
      </c>
      <c r="I969" s="79">
        <f t="shared" si="463"/>
        <v>45359.323287671228</v>
      </c>
      <c r="J969" s="79">
        <f t="shared" si="463"/>
        <v>70</v>
      </c>
      <c r="K969" s="79">
        <f t="shared" si="463"/>
        <v>2782.3972602739727</v>
      </c>
      <c r="L969" s="79">
        <f t="shared" si="463"/>
        <v>131.59452054794519</v>
      </c>
      <c r="M969" s="79">
        <f t="shared" si="463"/>
        <v>505.00547945205477</v>
      </c>
      <c r="N969" s="79">
        <f t="shared" si="463"/>
        <v>13</v>
      </c>
      <c r="O969" s="79">
        <f>O968/12</f>
        <v>2</v>
      </c>
      <c r="P969" s="79">
        <f t="shared" si="463"/>
        <v>91009</v>
      </c>
      <c r="Q969" s="79">
        <f>Q968/12</f>
        <v>161</v>
      </c>
      <c r="R969" s="79">
        <f>R968/12</f>
        <v>1000</v>
      </c>
      <c r="S969" s="79">
        <f>S968/12</f>
        <v>1</v>
      </c>
      <c r="T969" s="79">
        <f>T968/12</f>
        <v>10</v>
      </c>
      <c r="U969" s="79">
        <f t="shared" ref="U969:Z969" si="464">U968/12</f>
        <v>0</v>
      </c>
      <c r="V969" s="79">
        <f t="shared" si="464"/>
        <v>0</v>
      </c>
      <c r="W969" s="79">
        <f t="shared" si="464"/>
        <v>0</v>
      </c>
      <c r="X969" s="171">
        <f t="shared" si="464"/>
        <v>0</v>
      </c>
      <c r="Y969" s="171">
        <f t="shared" si="464"/>
        <v>0</v>
      </c>
      <c r="Z969" s="171">
        <f t="shared" si="464"/>
        <v>0</v>
      </c>
      <c r="AA969" s="171">
        <f t="shared" si="460"/>
        <v>518643.12328767136</v>
      </c>
      <c r="AB969" s="172" t="str">
        <f t="shared" si="462"/>
        <v>ok</v>
      </c>
    </row>
    <row r="970" spans="1:29" s="170" customFormat="1">
      <c r="A970" s="60" t="s">
        <v>128</v>
      </c>
      <c r="B970" s="60"/>
      <c r="C970" s="60"/>
      <c r="D970" s="60"/>
      <c r="E970" s="60"/>
      <c r="F970" s="79">
        <v>518643.12328767136</v>
      </c>
      <c r="G970" s="112">
        <f>G969</f>
        <v>376669.05273972609</v>
      </c>
      <c r="H970" s="112">
        <f t="shared" ref="H970:M970" si="465">H969</f>
        <v>929.75</v>
      </c>
      <c r="I970" s="112">
        <f t="shared" si="465"/>
        <v>45359.323287671228</v>
      </c>
      <c r="J970" s="112">
        <f t="shared" si="465"/>
        <v>70</v>
      </c>
      <c r="K970" s="112">
        <f t="shared" si="465"/>
        <v>2782.3972602739727</v>
      </c>
      <c r="L970" s="112">
        <f t="shared" si="465"/>
        <v>131.59452054794519</v>
      </c>
      <c r="M970" s="112">
        <f t="shared" si="465"/>
        <v>505.00547945205477</v>
      </c>
      <c r="N970" s="112">
        <f t="shared" ref="N970:T970" si="466">N969</f>
        <v>13</v>
      </c>
      <c r="O970" s="112">
        <f>O969</f>
        <v>2</v>
      </c>
      <c r="P970" s="112">
        <f t="shared" si="466"/>
        <v>91009</v>
      </c>
      <c r="Q970" s="112">
        <f t="shared" si="466"/>
        <v>161</v>
      </c>
      <c r="R970" s="112">
        <f t="shared" si="466"/>
        <v>1000</v>
      </c>
      <c r="S970" s="112">
        <f t="shared" si="466"/>
        <v>1</v>
      </c>
      <c r="T970" s="112">
        <f t="shared" si="466"/>
        <v>10</v>
      </c>
      <c r="U970" s="112">
        <f t="shared" ref="U970:Z971" si="467">U969</f>
        <v>0</v>
      </c>
      <c r="V970" s="112">
        <f t="shared" si="467"/>
        <v>0</v>
      </c>
      <c r="W970" s="112">
        <f t="shared" si="467"/>
        <v>0</v>
      </c>
      <c r="X970" s="174">
        <f t="shared" si="467"/>
        <v>0</v>
      </c>
      <c r="Y970" s="174">
        <f t="shared" si="467"/>
        <v>0</v>
      </c>
      <c r="Z970" s="174">
        <f t="shared" si="467"/>
        <v>0</v>
      </c>
      <c r="AA970" s="171">
        <f t="shared" si="460"/>
        <v>518643.12328767136</v>
      </c>
      <c r="AB970" s="172" t="str">
        <f t="shared" si="462"/>
        <v>ok</v>
      </c>
    </row>
    <row r="971" spans="1:29" s="170" customFormat="1">
      <c r="A971" s="60" t="s">
        <v>1199</v>
      </c>
      <c r="B971" s="60"/>
      <c r="C971" s="60"/>
      <c r="D971" s="60" t="s">
        <v>154</v>
      </c>
      <c r="E971" s="60"/>
      <c r="F971" s="79">
        <v>509095.54672754952</v>
      </c>
      <c r="G971" s="112">
        <f>G970</f>
        <v>376669.05273972609</v>
      </c>
      <c r="H971" s="112">
        <f>H970</f>
        <v>929.75</v>
      </c>
      <c r="I971" s="112">
        <f>I970*2</f>
        <v>90718.646575342456</v>
      </c>
      <c r="J971" s="112">
        <f>J970*5</f>
        <v>350</v>
      </c>
      <c r="K971" s="112">
        <f>K970*5</f>
        <v>13911.986301369863</v>
      </c>
      <c r="L971" s="112">
        <f>L970*25</f>
        <v>3289.8630136986299</v>
      </c>
      <c r="M971" s="112">
        <f>M970*25</f>
        <v>12625.13698630137</v>
      </c>
      <c r="N971" s="112">
        <f>N970*25</f>
        <v>325</v>
      </c>
      <c r="O971" s="112">
        <f>O970*5</f>
        <v>10</v>
      </c>
      <c r="P971" s="112">
        <f>P970*(1/9)</f>
        <v>10112.111111111111</v>
      </c>
      <c r="Q971" s="112">
        <f>Q970*(1/9)</f>
        <v>17.888888888888889</v>
      </c>
      <c r="R971" s="112">
        <f>R970*(1/9)</f>
        <v>111.1111111111111</v>
      </c>
      <c r="S971" s="112">
        <f>S970*5</f>
        <v>5</v>
      </c>
      <c r="T971" s="112">
        <f>T970*2</f>
        <v>20</v>
      </c>
      <c r="U971" s="112">
        <f>U970</f>
        <v>0</v>
      </c>
      <c r="V971" s="112">
        <f t="shared" si="467"/>
        <v>0</v>
      </c>
      <c r="W971" s="112">
        <f t="shared" si="467"/>
        <v>0</v>
      </c>
      <c r="X971" s="174">
        <f t="shared" si="467"/>
        <v>0</v>
      </c>
      <c r="Y971" s="174">
        <f t="shared" si="467"/>
        <v>0</v>
      </c>
      <c r="Z971" s="174">
        <f t="shared" si="467"/>
        <v>0</v>
      </c>
      <c r="AA971" s="171">
        <f t="shared" si="460"/>
        <v>509095.54672754952</v>
      </c>
      <c r="AB971" s="172" t="str">
        <f t="shared" si="462"/>
        <v>ok</v>
      </c>
    </row>
    <row r="972" spans="1:29" s="170" customFormat="1">
      <c r="A972" s="60" t="s">
        <v>1010</v>
      </c>
      <c r="B972" s="60"/>
      <c r="C972" s="60"/>
      <c r="D972" s="60" t="s">
        <v>131</v>
      </c>
      <c r="E972" s="60"/>
      <c r="F972" s="79">
        <v>91009</v>
      </c>
      <c r="G972" s="60"/>
      <c r="H972" s="60"/>
      <c r="I972" s="60"/>
      <c r="J972" s="60"/>
      <c r="K972" s="112"/>
      <c r="L972" s="79">
        <v>0</v>
      </c>
      <c r="M972" s="60"/>
      <c r="N972" s="112">
        <v>0</v>
      </c>
      <c r="O972" s="112">
        <v>0</v>
      </c>
      <c r="P972" s="112">
        <f>P970</f>
        <v>91009</v>
      </c>
      <c r="Q972" s="112">
        <v>0</v>
      </c>
      <c r="R972" s="112">
        <v>0</v>
      </c>
      <c r="S972" s="112"/>
      <c r="T972" s="112"/>
      <c r="U972" s="112"/>
      <c r="V972" s="112"/>
      <c r="W972" s="112"/>
      <c r="X972" s="174"/>
      <c r="Y972" s="174"/>
      <c r="Z972" s="174"/>
      <c r="AA972" s="171">
        <f t="shared" si="460"/>
        <v>91009</v>
      </c>
      <c r="AB972" s="172" t="str">
        <f t="shared" si="462"/>
        <v>ok</v>
      </c>
    </row>
    <row r="973" spans="1:29" s="170" customFormat="1">
      <c r="A973" s="60" t="s">
        <v>153</v>
      </c>
      <c r="B973" s="60"/>
      <c r="C973" s="60"/>
      <c r="D973" s="60" t="s">
        <v>130</v>
      </c>
      <c r="E973" s="60"/>
      <c r="F973" s="79">
        <v>518643.12328767136</v>
      </c>
      <c r="G973" s="112">
        <f>G970</f>
        <v>376669.05273972609</v>
      </c>
      <c r="H973" s="112">
        <f t="shared" ref="H973:U973" si="468">H970</f>
        <v>929.75</v>
      </c>
      <c r="I973" s="112">
        <f t="shared" si="468"/>
        <v>45359.323287671228</v>
      </c>
      <c r="J973" s="112">
        <f t="shared" si="468"/>
        <v>70</v>
      </c>
      <c r="K973" s="112">
        <f t="shared" si="468"/>
        <v>2782.3972602739727</v>
      </c>
      <c r="L973" s="112">
        <f t="shared" si="468"/>
        <v>131.59452054794519</v>
      </c>
      <c r="M973" s="112">
        <f t="shared" si="468"/>
        <v>505.00547945205477</v>
      </c>
      <c r="N973" s="112">
        <f t="shared" si="468"/>
        <v>13</v>
      </c>
      <c r="O973" s="112">
        <f t="shared" si="468"/>
        <v>2</v>
      </c>
      <c r="P973" s="112">
        <f>P970</f>
        <v>91009</v>
      </c>
      <c r="Q973" s="112">
        <f t="shared" si="468"/>
        <v>161</v>
      </c>
      <c r="R973" s="112">
        <f t="shared" si="468"/>
        <v>1000</v>
      </c>
      <c r="S973" s="112">
        <f t="shared" si="468"/>
        <v>1</v>
      </c>
      <c r="T973" s="112">
        <f t="shared" si="468"/>
        <v>10</v>
      </c>
      <c r="U973" s="112">
        <f t="shared" si="468"/>
        <v>0</v>
      </c>
      <c r="V973" s="112">
        <f t="shared" ref="V973:W973" si="469">V970</f>
        <v>0</v>
      </c>
      <c r="W973" s="112">
        <f t="shared" si="469"/>
        <v>0</v>
      </c>
      <c r="X973" s="174">
        <f>X971</f>
        <v>0</v>
      </c>
      <c r="Y973" s="174">
        <f>Y971</f>
        <v>0</v>
      </c>
      <c r="Z973" s="174">
        <f>Z971</f>
        <v>0</v>
      </c>
      <c r="AA973" s="171">
        <f t="shared" si="460"/>
        <v>518643.12328767136</v>
      </c>
      <c r="AB973" s="172" t="str">
        <f t="shared" si="462"/>
        <v>ok</v>
      </c>
    </row>
    <row r="974" spans="1:29" s="170" customFormat="1">
      <c r="A974" s="60" t="s">
        <v>1200</v>
      </c>
      <c r="B974" s="60"/>
      <c r="C974" s="60"/>
      <c r="D974" s="60" t="s">
        <v>155</v>
      </c>
      <c r="E974" s="60"/>
      <c r="F974" s="79">
        <v>436714.23439878249</v>
      </c>
      <c r="G974" s="112">
        <f>G970</f>
        <v>376669.05273972609</v>
      </c>
      <c r="H974" s="112">
        <f t="shared" ref="H974:N974" si="470">H970</f>
        <v>929.75</v>
      </c>
      <c r="I974" s="112">
        <f t="shared" si="470"/>
        <v>45359.323287671228</v>
      </c>
      <c r="J974" s="112">
        <f t="shared" si="470"/>
        <v>70</v>
      </c>
      <c r="K974" s="112">
        <f t="shared" si="470"/>
        <v>2782.3972602739727</v>
      </c>
      <c r="L974" s="112">
        <f t="shared" si="470"/>
        <v>131.59452054794519</v>
      </c>
      <c r="M974" s="112">
        <f t="shared" si="470"/>
        <v>505.00547945205477</v>
      </c>
      <c r="N974" s="112">
        <f t="shared" si="470"/>
        <v>13</v>
      </c>
      <c r="O974" s="112">
        <f>O973</f>
        <v>2</v>
      </c>
      <c r="P974" s="112">
        <f>P970/9</f>
        <v>10112.111111111111</v>
      </c>
      <c r="Q974" s="112">
        <f>Q970/9</f>
        <v>17.888888888888889</v>
      </c>
      <c r="R974" s="112">
        <f>R971</f>
        <v>111.1111111111111</v>
      </c>
      <c r="S974" s="112">
        <f t="shared" ref="S974:U974" si="471">S970</f>
        <v>1</v>
      </c>
      <c r="T974" s="112">
        <f t="shared" si="471"/>
        <v>10</v>
      </c>
      <c r="U974" s="112">
        <f t="shared" si="471"/>
        <v>0</v>
      </c>
      <c r="V974" s="112">
        <f t="shared" ref="V974:W974" si="472">V973</f>
        <v>0</v>
      </c>
      <c r="W974" s="112">
        <f t="shared" si="472"/>
        <v>0</v>
      </c>
      <c r="X974" s="174"/>
      <c r="Y974" s="174"/>
      <c r="Z974" s="174"/>
      <c r="AA974" s="171">
        <f t="shared" si="460"/>
        <v>436714.23439878249</v>
      </c>
      <c r="AB974" s="172" t="str">
        <f t="shared" si="462"/>
        <v>ok</v>
      </c>
    </row>
    <row r="975" spans="1:29" s="170" customFormat="1">
      <c r="A975" s="60" t="s">
        <v>809</v>
      </c>
      <c r="B975" s="60"/>
      <c r="C975" s="60"/>
      <c r="D975" s="60" t="s">
        <v>657</v>
      </c>
      <c r="E975" s="60"/>
      <c r="F975" s="79">
        <v>433209.23713850847</v>
      </c>
      <c r="G975" s="112">
        <f>G974</f>
        <v>376669.05273972609</v>
      </c>
      <c r="H975" s="112">
        <f>H974</f>
        <v>929.75</v>
      </c>
      <c r="I975" s="112">
        <f>I973</f>
        <v>45359.323287671228</v>
      </c>
      <c r="J975" s="112">
        <v>0</v>
      </c>
      <c r="K975" s="112">
        <v>0</v>
      </c>
      <c r="L975" s="112">
        <v>0</v>
      </c>
      <c r="M975" s="112">
        <v>0</v>
      </c>
      <c r="N975" s="112">
        <v>0</v>
      </c>
      <c r="O975" s="112">
        <v>0</v>
      </c>
      <c r="P975" s="112">
        <f>P974</f>
        <v>10112.111111111111</v>
      </c>
      <c r="Q975" s="112">
        <f>Q974</f>
        <v>17.888888888888889</v>
      </c>
      <c r="R975" s="112">
        <f>R974</f>
        <v>111.1111111111111</v>
      </c>
      <c r="S975" s="112">
        <v>0</v>
      </c>
      <c r="T975" s="112">
        <f>T973</f>
        <v>10</v>
      </c>
      <c r="U975" s="112">
        <f>U973</f>
        <v>0</v>
      </c>
      <c r="V975" s="112">
        <v>0</v>
      </c>
      <c r="W975" s="112">
        <f>W974</f>
        <v>0</v>
      </c>
      <c r="X975" s="174"/>
      <c r="Y975" s="174"/>
      <c r="Z975" s="174"/>
      <c r="AA975" s="171">
        <f>SUM(G975:Z975)</f>
        <v>433209.23713850847</v>
      </c>
      <c r="AB975" s="172" t="str">
        <f t="shared" si="462"/>
        <v>ok</v>
      </c>
    </row>
    <row r="976" spans="1:29" s="170" customFormat="1">
      <c r="A976" s="60" t="s">
        <v>810</v>
      </c>
      <c r="B976" s="60"/>
      <c r="C976" s="60"/>
      <c r="D976" s="60" t="s">
        <v>658</v>
      </c>
      <c r="E976" s="60"/>
      <c r="F976" s="79">
        <v>436701.23439878249</v>
      </c>
      <c r="G976" s="112">
        <f>G974</f>
        <v>376669.05273972609</v>
      </c>
      <c r="H976" s="112">
        <f t="shared" ref="H976:U976" si="473">H974</f>
        <v>929.75</v>
      </c>
      <c r="I976" s="112">
        <f t="shared" si="473"/>
        <v>45359.323287671228</v>
      </c>
      <c r="J976" s="112">
        <f t="shared" si="473"/>
        <v>70</v>
      </c>
      <c r="K976" s="112">
        <f t="shared" si="473"/>
        <v>2782.3972602739727</v>
      </c>
      <c r="L976" s="112">
        <f t="shared" si="473"/>
        <v>131.59452054794519</v>
      </c>
      <c r="M976" s="112">
        <f t="shared" si="473"/>
        <v>505.00547945205477</v>
      </c>
      <c r="N976" s="112">
        <v>0</v>
      </c>
      <c r="O976" s="112">
        <f t="shared" si="473"/>
        <v>2</v>
      </c>
      <c r="P976" s="112">
        <f t="shared" ref="P976:Q976" si="474">P974</f>
        <v>10112.111111111111</v>
      </c>
      <c r="Q976" s="112">
        <f t="shared" si="474"/>
        <v>17.888888888888889</v>
      </c>
      <c r="R976" s="112">
        <f t="shared" si="473"/>
        <v>111.1111111111111</v>
      </c>
      <c r="S976" s="112">
        <f t="shared" si="473"/>
        <v>1</v>
      </c>
      <c r="T976" s="112">
        <f t="shared" si="473"/>
        <v>10</v>
      </c>
      <c r="U976" s="112">
        <f t="shared" si="473"/>
        <v>0</v>
      </c>
      <c r="V976" s="112">
        <f>V973</f>
        <v>0</v>
      </c>
      <c r="W976" s="112">
        <f>W973</f>
        <v>0</v>
      </c>
      <c r="X976" s="174">
        <f>X975</f>
        <v>0</v>
      </c>
      <c r="Y976" s="174">
        <f>Y975</f>
        <v>0</v>
      </c>
      <c r="Z976" s="174">
        <f>Z975</f>
        <v>0</v>
      </c>
      <c r="AA976" s="171">
        <f>SUM(G976:Z976)</f>
        <v>436701.23439878249</v>
      </c>
      <c r="AB976" s="172" t="str">
        <f t="shared" si="462"/>
        <v>ok</v>
      </c>
    </row>
    <row r="977" spans="1:29" s="170" customFormat="1">
      <c r="A977" s="60" t="s">
        <v>1204</v>
      </c>
      <c r="B977" s="60"/>
      <c r="C977" s="60"/>
      <c r="D977" s="60" t="s">
        <v>1205</v>
      </c>
      <c r="E977" s="60"/>
      <c r="F977" s="79">
        <v>436497.63987823453</v>
      </c>
      <c r="G977" s="112">
        <f>G976</f>
        <v>376669.05273972609</v>
      </c>
      <c r="H977" s="112">
        <f>H976</f>
        <v>929.75</v>
      </c>
      <c r="I977" s="112">
        <f>I976</f>
        <v>45359.323287671228</v>
      </c>
      <c r="J977" s="112">
        <v>0</v>
      </c>
      <c r="K977" s="112">
        <f>K976</f>
        <v>2782.3972602739727</v>
      </c>
      <c r="L977" s="112">
        <v>0</v>
      </c>
      <c r="M977" s="112">
        <f>M976</f>
        <v>505.00547945205477</v>
      </c>
      <c r="N977" s="112">
        <v>0</v>
      </c>
      <c r="O977" s="112">
        <v>0</v>
      </c>
      <c r="P977" s="112">
        <f t="shared" ref="P977:Q977" si="475">P976</f>
        <v>10112.111111111111</v>
      </c>
      <c r="Q977" s="112">
        <f t="shared" si="475"/>
        <v>17.888888888888889</v>
      </c>
      <c r="R977" s="112">
        <f t="shared" ref="R977:U977" si="476">R976</f>
        <v>111.1111111111111</v>
      </c>
      <c r="S977" s="112">
        <f t="shared" si="476"/>
        <v>1</v>
      </c>
      <c r="T977" s="112">
        <f t="shared" si="476"/>
        <v>10</v>
      </c>
      <c r="U977" s="112">
        <f t="shared" si="476"/>
        <v>0</v>
      </c>
      <c r="V977" s="112"/>
      <c r="W977" s="112"/>
      <c r="X977" s="174"/>
      <c r="Y977" s="174"/>
      <c r="Z977" s="174"/>
      <c r="AA977" s="171">
        <f>SUM(G977:Z977)</f>
        <v>436497.63987823453</v>
      </c>
      <c r="AB977" s="172" t="str">
        <f>IF(ABS(F977-AA977)&lt;0.01,"ok","err")</f>
        <v>ok</v>
      </c>
    </row>
    <row r="978" spans="1:29" s="170" customFormat="1">
      <c r="A978" s="60"/>
      <c r="B978" s="60"/>
      <c r="C978" s="60"/>
      <c r="D978" s="60"/>
      <c r="E978" s="60"/>
      <c r="F978" s="79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74"/>
      <c r="Y978" s="174"/>
      <c r="Z978" s="174"/>
      <c r="AA978" s="171"/>
      <c r="AB978" s="172"/>
    </row>
    <row r="979" spans="1:29" s="170" customFormat="1" ht="14.1">
      <c r="A979" s="65" t="s">
        <v>1363</v>
      </c>
      <c r="B979" s="60"/>
      <c r="C979" s="60"/>
      <c r="D979" s="60"/>
      <c r="E979" s="60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171"/>
      <c r="Y979" s="171"/>
      <c r="Z979" s="171"/>
      <c r="AA979" s="171"/>
      <c r="AB979" s="172"/>
    </row>
    <row r="980" spans="1:29" s="170" customFormat="1">
      <c r="A980" s="60" t="s">
        <v>1202</v>
      </c>
      <c r="B980" s="60"/>
      <c r="C980" s="60"/>
      <c r="D980" s="60"/>
      <c r="E980" s="60"/>
      <c r="F980" s="79">
        <v>518575</v>
      </c>
      <c r="G980" s="79">
        <f>377394+163-H980</f>
        <v>376627.25</v>
      </c>
      <c r="H980" s="79">
        <f>H969</f>
        <v>929.75</v>
      </c>
      <c r="I980" s="79">
        <f>16565+28767</f>
        <v>45332</v>
      </c>
      <c r="J980" s="79">
        <v>70</v>
      </c>
      <c r="K980" s="79">
        <v>2783</v>
      </c>
      <c r="L980" s="79">
        <f>132</f>
        <v>132</v>
      </c>
      <c r="M980" s="79">
        <f>505</f>
        <v>505</v>
      </c>
      <c r="N980" s="79">
        <f>13</f>
        <v>13</v>
      </c>
      <c r="O980" s="79">
        <v>2</v>
      </c>
      <c r="P980" s="79">
        <f t="shared" ref="P980:S980" si="477">P969</f>
        <v>91009</v>
      </c>
      <c r="Q980" s="79">
        <f t="shared" si="477"/>
        <v>161</v>
      </c>
      <c r="R980" s="79">
        <f t="shared" si="477"/>
        <v>1000</v>
      </c>
      <c r="S980" s="79">
        <f t="shared" si="477"/>
        <v>1</v>
      </c>
      <c r="T980" s="79">
        <f>T969</f>
        <v>10</v>
      </c>
      <c r="U980" s="79">
        <f>U969</f>
        <v>0</v>
      </c>
      <c r="V980" s="79">
        <f>V969</f>
        <v>0</v>
      </c>
      <c r="W980" s="79">
        <v>0</v>
      </c>
      <c r="X980" s="171">
        <v>0</v>
      </c>
      <c r="Y980" s="171">
        <v>0</v>
      </c>
      <c r="Z980" s="171">
        <v>0</v>
      </c>
      <c r="AA980" s="171">
        <f t="shared" ref="AA980:AA985" si="478">SUM(G980:Z980)</f>
        <v>518575</v>
      </c>
      <c r="AB980" s="172" t="str">
        <f t="shared" ref="AB980:AB987" si="479">IF(ABS(F980-AA980)&lt;0.01,"ok","err")</f>
        <v>ok</v>
      </c>
    </row>
    <row r="981" spans="1:29" s="170" customFormat="1">
      <c r="A981" s="60" t="s">
        <v>1331</v>
      </c>
      <c r="B981" s="60"/>
      <c r="C981" s="60"/>
      <c r="D981" s="60"/>
      <c r="E981" s="60"/>
      <c r="F981" s="79">
        <v>435622</v>
      </c>
      <c r="G981" s="112">
        <f>G980</f>
        <v>376627.25</v>
      </c>
      <c r="H981" s="112">
        <f t="shared" ref="H981:U981" si="480">H980</f>
        <v>929.75</v>
      </c>
      <c r="I981" s="112">
        <f t="shared" si="480"/>
        <v>45332</v>
      </c>
      <c r="J981" s="112">
        <f t="shared" si="480"/>
        <v>70</v>
      </c>
      <c r="K981" s="112">
        <f t="shared" si="480"/>
        <v>2783</v>
      </c>
      <c r="L981" s="112">
        <f t="shared" si="480"/>
        <v>132</v>
      </c>
      <c r="M981" s="112">
        <f t="shared" si="480"/>
        <v>505</v>
      </c>
      <c r="N981" s="112">
        <f t="shared" si="480"/>
        <v>13</v>
      </c>
      <c r="O981" s="112">
        <f>O980</f>
        <v>2</v>
      </c>
      <c r="P981" s="112">
        <f t="shared" ref="P981:R981" si="481">P980/10</f>
        <v>9100.9</v>
      </c>
      <c r="Q981" s="112">
        <f t="shared" si="481"/>
        <v>16.100000000000001</v>
      </c>
      <c r="R981" s="112">
        <f t="shared" si="481"/>
        <v>100</v>
      </c>
      <c r="S981" s="112">
        <f>S980</f>
        <v>1</v>
      </c>
      <c r="T981" s="112">
        <f t="shared" si="480"/>
        <v>10</v>
      </c>
      <c r="U981" s="112">
        <f t="shared" si="480"/>
        <v>0</v>
      </c>
      <c r="V981" s="112">
        <f t="shared" ref="V981:Z982" si="482">V980</f>
        <v>0</v>
      </c>
      <c r="W981" s="112">
        <f t="shared" si="482"/>
        <v>0</v>
      </c>
      <c r="X981" s="174">
        <f t="shared" si="482"/>
        <v>0</v>
      </c>
      <c r="Y981" s="174">
        <f t="shared" si="482"/>
        <v>0</v>
      </c>
      <c r="Z981" s="174">
        <f t="shared" si="482"/>
        <v>0</v>
      </c>
      <c r="AA981" s="171">
        <f t="shared" si="478"/>
        <v>435622</v>
      </c>
      <c r="AB981" s="172" t="str">
        <f t="shared" si="479"/>
        <v>ok</v>
      </c>
    </row>
    <row r="982" spans="1:29" s="170" customFormat="1">
      <c r="A982" s="60" t="s">
        <v>1203</v>
      </c>
      <c r="B982" s="60"/>
      <c r="C982" s="60"/>
      <c r="D982" s="60" t="s">
        <v>1364</v>
      </c>
      <c r="E982" s="60"/>
      <c r="F982" s="79">
        <v>507988</v>
      </c>
      <c r="G982" s="112">
        <f>G981</f>
        <v>376627.25</v>
      </c>
      <c r="H982" s="112">
        <f>H981</f>
        <v>929.75</v>
      </c>
      <c r="I982" s="112">
        <f>I981*2</f>
        <v>90664</v>
      </c>
      <c r="J982" s="112">
        <f>J981*5</f>
        <v>350</v>
      </c>
      <c r="K982" s="112">
        <f>K981*5</f>
        <v>13915</v>
      </c>
      <c r="L982" s="112">
        <f>L981*25</f>
        <v>3300</v>
      </c>
      <c r="M982" s="112">
        <f>M981*25</f>
        <v>12625</v>
      </c>
      <c r="N982" s="112">
        <f>N981*25</f>
        <v>325</v>
      </c>
      <c r="O982" s="112">
        <f>O981*5</f>
        <v>10</v>
      </c>
      <c r="P982" s="112">
        <f t="shared" ref="P982:Q982" si="483">P981</f>
        <v>9100.9</v>
      </c>
      <c r="Q982" s="112">
        <f t="shared" si="483"/>
        <v>16.100000000000001</v>
      </c>
      <c r="R982" s="112">
        <f>R981</f>
        <v>100</v>
      </c>
      <c r="S982" s="112">
        <f>S981*5</f>
        <v>5</v>
      </c>
      <c r="T982" s="112">
        <f>T981*2</f>
        <v>20</v>
      </c>
      <c r="U982" s="112">
        <f>U981</f>
        <v>0</v>
      </c>
      <c r="V982" s="112">
        <f t="shared" si="482"/>
        <v>0</v>
      </c>
      <c r="W982" s="112">
        <f t="shared" si="482"/>
        <v>0</v>
      </c>
      <c r="X982" s="174">
        <f t="shared" si="482"/>
        <v>0</v>
      </c>
      <c r="Y982" s="174">
        <f t="shared" si="482"/>
        <v>0</v>
      </c>
      <c r="Z982" s="174">
        <f t="shared" si="482"/>
        <v>0</v>
      </c>
      <c r="AA982" s="171">
        <f t="shared" si="478"/>
        <v>507988</v>
      </c>
      <c r="AB982" s="172" t="str">
        <f t="shared" si="479"/>
        <v>ok</v>
      </c>
    </row>
    <row r="983" spans="1:29" s="170" customFormat="1">
      <c r="A983" s="111" t="s">
        <v>609</v>
      </c>
      <c r="B983" s="60"/>
      <c r="C983" s="60"/>
      <c r="D983" s="60" t="s">
        <v>1365</v>
      </c>
      <c r="E983" s="60"/>
      <c r="F983" s="112">
        <v>126670914.05123466</v>
      </c>
      <c r="G983" s="60"/>
      <c r="H983" s="60"/>
      <c r="I983" s="60"/>
      <c r="J983" s="60"/>
      <c r="K983" s="112"/>
      <c r="L983" s="79">
        <v>0</v>
      </c>
      <c r="M983" s="60"/>
      <c r="N983" s="112">
        <v>0</v>
      </c>
      <c r="O983" s="112"/>
      <c r="P983" s="112">
        <f>F983</f>
        <v>126670914.05123466</v>
      </c>
      <c r="Q983" s="112">
        <v>0</v>
      </c>
      <c r="R983" s="112">
        <v>0</v>
      </c>
      <c r="S983" s="112">
        <v>0</v>
      </c>
      <c r="T983" s="112">
        <v>0</v>
      </c>
      <c r="U983" s="112">
        <v>0</v>
      </c>
      <c r="V983" s="112">
        <v>0</v>
      </c>
      <c r="W983" s="112">
        <v>0</v>
      </c>
      <c r="X983" s="174"/>
      <c r="Y983" s="174"/>
      <c r="Z983" s="174"/>
      <c r="AA983" s="171">
        <f t="shared" si="478"/>
        <v>126670914.05123466</v>
      </c>
      <c r="AB983" s="172" t="str">
        <f t="shared" si="479"/>
        <v>ok</v>
      </c>
    </row>
    <row r="984" spans="1:29" s="170" customFormat="1">
      <c r="A984" s="60" t="s">
        <v>153</v>
      </c>
      <c r="B984" s="60"/>
      <c r="C984" s="60"/>
      <c r="D984" s="60" t="s">
        <v>1366</v>
      </c>
      <c r="E984" s="60"/>
      <c r="F984" s="79">
        <v>518575</v>
      </c>
      <c r="G984" s="112">
        <f>G980</f>
        <v>376627.25</v>
      </c>
      <c r="H984" s="112">
        <f>H981</f>
        <v>929.75</v>
      </c>
      <c r="I984" s="112">
        <f>I981</f>
        <v>45332</v>
      </c>
      <c r="J984" s="112">
        <f>J981</f>
        <v>70</v>
      </c>
      <c r="K984" s="112">
        <f t="shared" ref="K984:W984" si="484">K981</f>
        <v>2783</v>
      </c>
      <c r="L984" s="112">
        <f t="shared" si="484"/>
        <v>132</v>
      </c>
      <c r="M984" s="112">
        <f t="shared" si="484"/>
        <v>505</v>
      </c>
      <c r="N984" s="112">
        <f t="shared" si="484"/>
        <v>13</v>
      </c>
      <c r="O984" s="112">
        <f t="shared" si="484"/>
        <v>2</v>
      </c>
      <c r="P984" s="112">
        <f t="shared" ref="P984:R984" si="485">P980</f>
        <v>91009</v>
      </c>
      <c r="Q984" s="112">
        <f t="shared" si="485"/>
        <v>161</v>
      </c>
      <c r="R984" s="112">
        <f t="shared" si="485"/>
        <v>1000</v>
      </c>
      <c r="S984" s="112">
        <f>S980</f>
        <v>1</v>
      </c>
      <c r="T984" s="112">
        <f t="shared" si="484"/>
        <v>10</v>
      </c>
      <c r="U984" s="112">
        <f t="shared" si="484"/>
        <v>0</v>
      </c>
      <c r="V984" s="112">
        <f t="shared" si="484"/>
        <v>0</v>
      </c>
      <c r="W984" s="112">
        <f t="shared" si="484"/>
        <v>0</v>
      </c>
      <c r="X984" s="174">
        <f>X982</f>
        <v>0</v>
      </c>
      <c r="Y984" s="174">
        <f>Y982</f>
        <v>0</v>
      </c>
      <c r="Z984" s="174">
        <f>Z982</f>
        <v>0</v>
      </c>
      <c r="AA984" s="171">
        <f t="shared" si="478"/>
        <v>518575</v>
      </c>
      <c r="AB984" s="172" t="str">
        <f t="shared" si="479"/>
        <v>ok</v>
      </c>
    </row>
    <row r="985" spans="1:29" s="170" customFormat="1">
      <c r="A985" s="60" t="s">
        <v>1200</v>
      </c>
      <c r="B985" s="60"/>
      <c r="C985" s="60"/>
      <c r="D985" s="60" t="s">
        <v>1370</v>
      </c>
      <c r="E985" s="60"/>
      <c r="F985" s="79">
        <v>435622</v>
      </c>
      <c r="G985" s="112">
        <f>G981</f>
        <v>376627.25</v>
      </c>
      <c r="H985" s="112">
        <f t="shared" ref="H985:N985" si="486">H981</f>
        <v>929.75</v>
      </c>
      <c r="I985" s="112">
        <f t="shared" si="486"/>
        <v>45332</v>
      </c>
      <c r="J985" s="112">
        <f t="shared" si="486"/>
        <v>70</v>
      </c>
      <c r="K985" s="112">
        <f t="shared" si="486"/>
        <v>2783</v>
      </c>
      <c r="L985" s="112">
        <f t="shared" si="486"/>
        <v>132</v>
      </c>
      <c r="M985" s="112">
        <f t="shared" si="486"/>
        <v>505</v>
      </c>
      <c r="N985" s="112">
        <f t="shared" si="486"/>
        <v>13</v>
      </c>
      <c r="O985" s="112">
        <f>O981</f>
        <v>2</v>
      </c>
      <c r="P985" s="112">
        <f t="shared" ref="P985:R985" si="487">P981</f>
        <v>9100.9</v>
      </c>
      <c r="Q985" s="112">
        <f t="shared" si="487"/>
        <v>16.100000000000001</v>
      </c>
      <c r="R985" s="112">
        <f t="shared" si="487"/>
        <v>100</v>
      </c>
      <c r="S985" s="112">
        <f>S984</f>
        <v>1</v>
      </c>
      <c r="T985" s="112">
        <f>T984</f>
        <v>10</v>
      </c>
      <c r="U985" s="112">
        <f>U984/9</f>
        <v>0</v>
      </c>
      <c r="V985" s="112">
        <f>V984</f>
        <v>0</v>
      </c>
      <c r="W985" s="112">
        <f>W984</f>
        <v>0</v>
      </c>
      <c r="X985" s="174"/>
      <c r="Y985" s="174"/>
      <c r="Z985" s="174"/>
      <c r="AA985" s="171">
        <f t="shared" si="478"/>
        <v>435622</v>
      </c>
      <c r="AB985" s="172" t="str">
        <f t="shared" si="479"/>
        <v>ok</v>
      </c>
    </row>
    <row r="986" spans="1:29" s="170" customFormat="1">
      <c r="A986" s="60" t="s">
        <v>809</v>
      </c>
      <c r="B986" s="60"/>
      <c r="C986" s="60"/>
      <c r="D986" s="60" t="s">
        <v>1367</v>
      </c>
      <c r="E986" s="60"/>
      <c r="F986" s="79">
        <v>432318</v>
      </c>
      <c r="G986" s="112">
        <f>G985</f>
        <v>376627.25</v>
      </c>
      <c r="H986" s="112">
        <f>H985</f>
        <v>929.75</v>
      </c>
      <c r="I986" s="112">
        <f>I985</f>
        <v>45332</v>
      </c>
      <c r="J986" s="112">
        <f>+J980</f>
        <v>70</v>
      </c>
      <c r="K986" s="112">
        <v>0</v>
      </c>
      <c r="L986" s="112">
        <f>L985</f>
        <v>132</v>
      </c>
      <c r="M986" s="112">
        <v>0</v>
      </c>
      <c r="N986" s="112">
        <v>0</v>
      </c>
      <c r="O986" s="112">
        <v>0</v>
      </c>
      <c r="P986" s="112">
        <f t="shared" ref="P986:R986" si="488">P985</f>
        <v>9100.9</v>
      </c>
      <c r="Q986" s="112">
        <f t="shared" si="488"/>
        <v>16.100000000000001</v>
      </c>
      <c r="R986" s="112">
        <f t="shared" si="488"/>
        <v>100</v>
      </c>
      <c r="S986" s="112">
        <v>0</v>
      </c>
      <c r="T986" s="112">
        <f>T984</f>
        <v>10</v>
      </c>
      <c r="U986" s="112">
        <f>U984/9</f>
        <v>0</v>
      </c>
      <c r="V986" s="112">
        <v>0</v>
      </c>
      <c r="W986" s="112">
        <f>W985</f>
        <v>0</v>
      </c>
      <c r="X986" s="174"/>
      <c r="Y986" s="174"/>
      <c r="Z986" s="174"/>
      <c r="AA986" s="171">
        <f>SUM(G986:Z986)</f>
        <v>432318</v>
      </c>
      <c r="AB986" s="172" t="str">
        <f t="shared" si="479"/>
        <v>ok</v>
      </c>
    </row>
    <row r="987" spans="1:29" s="170" customFormat="1">
      <c r="A987" s="60" t="s">
        <v>810</v>
      </c>
      <c r="B987" s="60"/>
      <c r="C987" s="60"/>
      <c r="D987" s="60" t="s">
        <v>1368</v>
      </c>
      <c r="E987" s="60"/>
      <c r="F987" s="79">
        <v>435622</v>
      </c>
      <c r="G987" s="112">
        <f>G985</f>
        <v>376627.25</v>
      </c>
      <c r="H987" s="112">
        <f t="shared" ref="H987:Z987" si="489">+H980</f>
        <v>929.75</v>
      </c>
      <c r="I987" s="112">
        <f t="shared" si="489"/>
        <v>45332</v>
      </c>
      <c r="J987" s="112">
        <f t="shared" si="489"/>
        <v>70</v>
      </c>
      <c r="K987" s="112">
        <f t="shared" si="489"/>
        <v>2783</v>
      </c>
      <c r="L987" s="112">
        <f t="shared" si="489"/>
        <v>132</v>
      </c>
      <c r="M987" s="112">
        <f t="shared" si="489"/>
        <v>505</v>
      </c>
      <c r="N987" s="112">
        <f t="shared" si="489"/>
        <v>13</v>
      </c>
      <c r="O987" s="112">
        <f>+O981</f>
        <v>2</v>
      </c>
      <c r="P987" s="112">
        <f t="shared" ref="P987:R987" si="490">+P981</f>
        <v>9100.9</v>
      </c>
      <c r="Q987" s="112">
        <f t="shared" si="490"/>
        <v>16.100000000000001</v>
      </c>
      <c r="R987" s="112">
        <f t="shared" si="490"/>
        <v>100</v>
      </c>
      <c r="S987" s="112">
        <f>+S980</f>
        <v>1</v>
      </c>
      <c r="T987" s="112">
        <f>+T980</f>
        <v>10</v>
      </c>
      <c r="U987" s="112">
        <f>+U980/9</f>
        <v>0</v>
      </c>
      <c r="V987" s="112">
        <f t="shared" si="489"/>
        <v>0</v>
      </c>
      <c r="W987" s="112">
        <f t="shared" si="489"/>
        <v>0</v>
      </c>
      <c r="X987" s="174">
        <f t="shared" si="489"/>
        <v>0</v>
      </c>
      <c r="Y987" s="174">
        <f t="shared" si="489"/>
        <v>0</v>
      </c>
      <c r="Z987" s="174">
        <f t="shared" si="489"/>
        <v>0</v>
      </c>
      <c r="AA987" s="171">
        <f>SUM(G987:Z987)</f>
        <v>435622</v>
      </c>
      <c r="AB987" s="172" t="str">
        <f t="shared" si="479"/>
        <v>ok</v>
      </c>
    </row>
    <row r="988" spans="1:29" s="170" customFormat="1">
      <c r="A988" s="60" t="s">
        <v>1204</v>
      </c>
      <c r="B988" s="60"/>
      <c r="C988" s="60"/>
      <c r="D988" s="60" t="s">
        <v>1369</v>
      </c>
      <c r="E988" s="60"/>
      <c r="F988" s="79">
        <v>435405.00547945208</v>
      </c>
      <c r="G988" s="112">
        <f>G987</f>
        <v>376627.25</v>
      </c>
      <c r="H988" s="112">
        <f>H987</f>
        <v>929.75</v>
      </c>
      <c r="I988" s="112">
        <f>I987</f>
        <v>45332</v>
      </c>
      <c r="J988" s="112">
        <v>0</v>
      </c>
      <c r="K988" s="112">
        <f>K987</f>
        <v>2783</v>
      </c>
      <c r="L988" s="112">
        <v>0</v>
      </c>
      <c r="M988" s="112">
        <f t="shared" ref="M988:V988" si="491">M977</f>
        <v>505.00547945205477</v>
      </c>
      <c r="N988" s="112">
        <v>0</v>
      </c>
      <c r="O988" s="112">
        <v>0</v>
      </c>
      <c r="P988" s="112">
        <f t="shared" ref="P988:R988" si="492">P981</f>
        <v>9100.9</v>
      </c>
      <c r="Q988" s="112">
        <f t="shared" si="492"/>
        <v>16.100000000000001</v>
      </c>
      <c r="R988" s="112">
        <f t="shared" si="492"/>
        <v>100</v>
      </c>
      <c r="S988" s="112">
        <f t="shared" si="491"/>
        <v>1</v>
      </c>
      <c r="T988" s="112">
        <f t="shared" si="491"/>
        <v>10</v>
      </c>
      <c r="U988" s="112">
        <f t="shared" si="491"/>
        <v>0</v>
      </c>
      <c r="V988" s="112">
        <f t="shared" si="491"/>
        <v>0</v>
      </c>
      <c r="W988" s="112"/>
      <c r="X988" s="174"/>
      <c r="Y988" s="174"/>
      <c r="Z988" s="174"/>
      <c r="AA988" s="171">
        <f>SUM(G988:Z988)</f>
        <v>435405.00547945208</v>
      </c>
      <c r="AB988" s="172" t="str">
        <f>IF(ABS(F988-AA988)&lt;0.01,"ok","err")</f>
        <v>ok</v>
      </c>
    </row>
    <row r="989" spans="1:29" s="170" customFormat="1">
      <c r="A989" s="60"/>
      <c r="B989" s="60"/>
      <c r="C989" s="60"/>
      <c r="D989" s="60"/>
      <c r="E989" s="60"/>
      <c r="F989" s="79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74"/>
      <c r="Y989" s="174"/>
      <c r="Z989" s="174"/>
      <c r="AA989" s="171"/>
      <c r="AB989" s="172"/>
    </row>
    <row r="990" spans="1:29" s="170" customFormat="1" ht="14.1">
      <c r="A990" s="59" t="s">
        <v>811</v>
      </c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</row>
    <row r="991" spans="1:29" s="170" customFormat="1">
      <c r="A991" s="60" t="s">
        <v>1227</v>
      </c>
      <c r="B991" s="60"/>
      <c r="C991" s="60"/>
      <c r="D991" s="60" t="s">
        <v>1229</v>
      </c>
      <c r="E991" s="60"/>
      <c r="F991" s="79">
        <v>2986622.8179967981</v>
      </c>
      <c r="G991" s="79">
        <f>'Billing Det'!F8</f>
        <v>1409969.6727640391</v>
      </c>
      <c r="H991" s="79">
        <f>'Billing Det'!F10</f>
        <v>5163.1440000000002</v>
      </c>
      <c r="I991" s="79">
        <f>'Billing Det'!F12</f>
        <v>344696.92663794034</v>
      </c>
      <c r="J991" s="79">
        <f>'Billing Det'!F14</f>
        <v>22626.988030432454</v>
      </c>
      <c r="K991" s="79">
        <f>'Billing Det'!F16</f>
        <v>383541.39107749885</v>
      </c>
      <c r="L991" s="79">
        <f>'Billing Det'!F18</f>
        <v>321647.06388980895</v>
      </c>
      <c r="M991" s="79">
        <f>'Billing Det'!F20</f>
        <v>304516.00456533756</v>
      </c>
      <c r="N991" s="79">
        <f>'Billing Det'!F22</f>
        <v>158799.74271764961</v>
      </c>
      <c r="O991" s="79">
        <f>'Billing Det'!F24</f>
        <v>10204.58234420671</v>
      </c>
      <c r="P991" s="79">
        <f>'Billing Det'!F26</f>
        <v>24182.110712100763</v>
      </c>
      <c r="Q991" s="79">
        <f>'Billing Det'!F28</f>
        <v>842.2634094387754</v>
      </c>
      <c r="R991" s="79">
        <f>'Billing Det'!F30</f>
        <v>386.63809557648403</v>
      </c>
      <c r="S991" s="79">
        <f>'Billing Det'!F32</f>
        <v>42.076752768819269</v>
      </c>
      <c r="T991" s="79">
        <f>'Billing Det'!F34</f>
        <v>4.2130000000000001</v>
      </c>
      <c r="U991" s="79">
        <f>'Billing Det'!F36</f>
        <v>0</v>
      </c>
      <c r="V991" s="79">
        <f>'Billing Det'!F38</f>
        <v>0</v>
      </c>
      <c r="W991" s="79">
        <v>0</v>
      </c>
      <c r="X991" s="171">
        <v>0</v>
      </c>
      <c r="Y991" s="171">
        <v>0</v>
      </c>
      <c r="Z991" s="171">
        <v>0</v>
      </c>
      <c r="AA991" s="171">
        <f t="shared" ref="AA991" si="493">SUM(G991:Z991)</f>
        <v>2986622.8179967981</v>
      </c>
      <c r="AB991" s="172" t="str">
        <f t="shared" ref="AB991" si="494">IF(ABS(F991-AA991)&lt;0.01,"ok","err")</f>
        <v>ok</v>
      </c>
      <c r="AC991" s="174"/>
    </row>
    <row r="992" spans="1:29" s="170" customFormat="1">
      <c r="A992" s="60" t="s">
        <v>1228</v>
      </c>
      <c r="B992" s="60"/>
      <c r="C992" s="60"/>
      <c r="D992" s="60" t="s">
        <v>1230</v>
      </c>
      <c r="E992" s="60"/>
      <c r="F992" s="79">
        <v>2827823.0752791483</v>
      </c>
      <c r="G992" s="79">
        <f>'Billing Det'!F8</f>
        <v>1409969.6727640391</v>
      </c>
      <c r="H992" s="79">
        <f>'Billing Det'!F10</f>
        <v>5163.1440000000002</v>
      </c>
      <c r="I992" s="79">
        <f>'Billing Det'!F12</f>
        <v>344696.92663794034</v>
      </c>
      <c r="J992" s="79">
        <f>'Billing Det'!F14</f>
        <v>22626.988030432454</v>
      </c>
      <c r="K992" s="79">
        <f>'Billing Det'!F16</f>
        <v>383541.39107749885</v>
      </c>
      <c r="L992" s="79">
        <f>'Billing Det'!F18</f>
        <v>321647.06388980895</v>
      </c>
      <c r="M992" s="79">
        <f>'Billing Det'!F20</f>
        <v>304516.00456533756</v>
      </c>
      <c r="N992" s="79">
        <v>0</v>
      </c>
      <c r="O992" s="79">
        <f>'Billing Det'!F24</f>
        <v>10204.58234420671</v>
      </c>
      <c r="P992" s="79">
        <f>'Billing Det'!F26</f>
        <v>24182.110712100763</v>
      </c>
      <c r="Q992" s="79">
        <f>'Billing Det'!F28</f>
        <v>842.2634094387754</v>
      </c>
      <c r="R992" s="79">
        <f>'Billing Det'!F30</f>
        <v>386.63809557648403</v>
      </c>
      <c r="S992" s="79">
        <f>'Billing Det'!F32</f>
        <v>42.076752768819269</v>
      </c>
      <c r="T992" s="79">
        <f>'Billing Det'!F34</f>
        <v>4.2130000000000001</v>
      </c>
      <c r="U992" s="79">
        <f>'Billing Det'!F36</f>
        <v>0</v>
      </c>
      <c r="V992" s="79">
        <f>'Billing Det'!F38</f>
        <v>0</v>
      </c>
      <c r="W992" s="79">
        <v>0</v>
      </c>
      <c r="X992" s="171">
        <v>0</v>
      </c>
      <c r="Y992" s="171">
        <v>0</v>
      </c>
      <c r="Z992" s="171">
        <v>0</v>
      </c>
      <c r="AA992" s="171">
        <f t="shared" ref="AA992:AA994" si="495">SUM(G992:Z992)</f>
        <v>2827823.0752791483</v>
      </c>
      <c r="AB992" s="172" t="str">
        <f t="shared" ref="AB992:AB997" si="496">IF(ABS(F992-AA992)&lt;0.01,"ok","err")</f>
        <v>ok</v>
      </c>
      <c r="AC992" s="174"/>
    </row>
    <row r="993" spans="1:29" s="164" customFormat="1">
      <c r="A993" s="60" t="s">
        <v>1206</v>
      </c>
      <c r="B993" s="60"/>
      <c r="C993" s="60"/>
      <c r="D993" s="60" t="s">
        <v>1207</v>
      </c>
      <c r="E993" s="60"/>
      <c r="F993" s="79">
        <v>4564220.2995416755</v>
      </c>
      <c r="G993" s="79">
        <f>'Billing Det'!G8</f>
        <v>3152145.0858106511</v>
      </c>
      <c r="H993" s="79">
        <f>'Billing Det'!G10</f>
        <v>6548.8008</v>
      </c>
      <c r="I993" s="79">
        <f>'Billing Det'!G12</f>
        <v>504189.40375760838</v>
      </c>
      <c r="J993" s="79">
        <v>0</v>
      </c>
      <c r="K993" s="79">
        <f>'Billing Det'!G16</f>
        <v>477537.689536402</v>
      </c>
      <c r="L993" s="79">
        <v>0</v>
      </c>
      <c r="M993" s="79">
        <f>'Billing Det'!G20</f>
        <v>398342.01766712911</v>
      </c>
      <c r="N993" s="79">
        <v>0</v>
      </c>
      <c r="O993" s="79">
        <v>0</v>
      </c>
      <c r="P993" s="79">
        <f>'Billing Det'!G26</f>
        <v>24182.110712100763</v>
      </c>
      <c r="Q993" s="79">
        <f>'Billing Det'!G28</f>
        <v>842.2634094387754</v>
      </c>
      <c r="R993" s="79">
        <f>'Billing Det'!G30</f>
        <v>386.63809557648403</v>
      </c>
      <c r="S993" s="79">
        <f>'Billing Det'!G32</f>
        <v>42.076752768819269</v>
      </c>
      <c r="T993" s="79">
        <f>'Billing Det'!G34</f>
        <v>4.2130000000000001</v>
      </c>
      <c r="U993" s="79">
        <f>'Billing Det'!G36</f>
        <v>0</v>
      </c>
      <c r="V993" s="79">
        <f>'Billing Det'!G38</f>
        <v>0</v>
      </c>
      <c r="W993" s="79">
        <v>0</v>
      </c>
      <c r="X993" s="160">
        <v>0</v>
      </c>
      <c r="Y993" s="160">
        <v>0</v>
      </c>
      <c r="Z993" s="160">
        <v>0</v>
      </c>
      <c r="AA993" s="160">
        <f t="shared" si="495"/>
        <v>4564220.2995416755</v>
      </c>
      <c r="AB993" s="163" t="str">
        <f t="shared" si="496"/>
        <v>ok</v>
      </c>
    </row>
    <row r="994" spans="1:29" s="164" customFormat="1">
      <c r="A994" s="60" t="s">
        <v>645</v>
      </c>
      <c r="B994" s="60"/>
      <c r="C994" s="60"/>
      <c r="D994" s="60" t="s">
        <v>646</v>
      </c>
      <c r="E994" s="60"/>
      <c r="F994" s="79">
        <v>4165878.2818745458</v>
      </c>
      <c r="G994" s="79">
        <f>'Billing Det'!G8</f>
        <v>3152145.0858106511</v>
      </c>
      <c r="H994" s="79">
        <f>'Billing Det'!G10</f>
        <v>6548.8008</v>
      </c>
      <c r="I994" s="79">
        <f>'Billing Det'!G12</f>
        <v>504189.40375760838</v>
      </c>
      <c r="J994" s="79">
        <v>0</v>
      </c>
      <c r="K994" s="79">
        <f>'Billing Det'!G16</f>
        <v>477537.689536402</v>
      </c>
      <c r="L994" s="79">
        <v>0</v>
      </c>
      <c r="M994" s="79">
        <v>0</v>
      </c>
      <c r="N994" s="79">
        <v>0</v>
      </c>
      <c r="O994" s="79">
        <v>0</v>
      </c>
      <c r="P994" s="79">
        <f>'Billing Det'!G26</f>
        <v>24182.110712100763</v>
      </c>
      <c r="Q994" s="79">
        <f>'Billing Det'!G28</f>
        <v>842.2634094387754</v>
      </c>
      <c r="R994" s="79">
        <f>'Billing Det'!G30</f>
        <v>386.63809557648403</v>
      </c>
      <c r="S994" s="79">
        <f>'Billing Det'!G32</f>
        <v>42.076752768819269</v>
      </c>
      <c r="T994" s="79">
        <f>'Billing Det'!G34</f>
        <v>4.2130000000000001</v>
      </c>
      <c r="U994" s="79">
        <f>'Billing Det'!G36</f>
        <v>0</v>
      </c>
      <c r="V994" s="79">
        <f>'Billing Det'!G38</f>
        <v>0</v>
      </c>
      <c r="W994" s="79">
        <v>0</v>
      </c>
      <c r="X994" s="160">
        <v>0</v>
      </c>
      <c r="Y994" s="160">
        <v>0</v>
      </c>
      <c r="Z994" s="160">
        <v>0</v>
      </c>
      <c r="AA994" s="160">
        <f t="shared" si="495"/>
        <v>4165878.2818745458</v>
      </c>
      <c r="AB994" s="163" t="str">
        <f t="shared" si="496"/>
        <v>ok</v>
      </c>
    </row>
    <row r="995" spans="1:29" s="164" customFormat="1" hidden="1">
      <c r="A995" s="60" t="s">
        <v>804</v>
      </c>
      <c r="B995" s="60"/>
      <c r="C995" s="60"/>
      <c r="D995" s="60" t="s">
        <v>174</v>
      </c>
      <c r="E995" s="60"/>
      <c r="F995" s="438">
        <v>34305.024476596634</v>
      </c>
      <c r="G995" s="79">
        <f t="shared" ref="G995:U995" si="497">G997</f>
        <v>5849160.1867402587</v>
      </c>
      <c r="H995" s="79">
        <f t="shared" si="497"/>
        <v>2227.3110000000001</v>
      </c>
      <c r="I995" s="79">
        <f t="shared" si="497"/>
        <v>1634205.716666779</v>
      </c>
      <c r="J995" s="79">
        <f t="shared" si="497"/>
        <v>110740.70185862978</v>
      </c>
      <c r="K995" s="79">
        <f t="shared" si="497"/>
        <v>1821912.2399021527</v>
      </c>
      <c r="L995" s="79">
        <f t="shared" si="497"/>
        <v>1644584.7917555904</v>
      </c>
      <c r="M995" s="79">
        <f t="shared" si="497"/>
        <v>1399190.6020020954</v>
      </c>
      <c r="N995" s="79">
        <f t="shared" si="497"/>
        <v>794954.55162196734</v>
      </c>
      <c r="O995" s="79">
        <f t="shared" si="497"/>
        <v>47189.380547033208</v>
      </c>
      <c r="P995" s="79">
        <f t="shared" si="497"/>
        <v>48364.221424201525</v>
      </c>
      <c r="Q995" s="79">
        <f t="shared" si="497"/>
        <v>1684.5268188775508</v>
      </c>
      <c r="R995" s="79">
        <f t="shared" si="497"/>
        <v>2319.828573458904</v>
      </c>
      <c r="S995" s="79">
        <f t="shared" si="497"/>
        <v>2.2853442260420227</v>
      </c>
      <c r="T995" s="79">
        <f t="shared" si="497"/>
        <v>21.065000000000001</v>
      </c>
      <c r="U995" s="79">
        <f t="shared" si="497"/>
        <v>0</v>
      </c>
      <c r="V995" s="79">
        <v>0</v>
      </c>
      <c r="W995" s="79">
        <v>0</v>
      </c>
      <c r="X995" s="160"/>
      <c r="Y995" s="160"/>
      <c r="Z995" s="160"/>
      <c r="AA995" s="160">
        <v>34305.024476596634</v>
      </c>
      <c r="AB995" s="163" t="str">
        <f t="shared" si="496"/>
        <v>ok</v>
      </c>
      <c r="AC995" s="165"/>
    </row>
    <row r="996" spans="1:29" s="164" customFormat="1" hidden="1">
      <c r="A996" s="60" t="s">
        <v>805</v>
      </c>
      <c r="B996" s="60"/>
      <c r="C996" s="60"/>
      <c r="D996" s="60" t="s">
        <v>175</v>
      </c>
      <c r="E996" s="60"/>
      <c r="F996" s="438">
        <v>34305.024476596634</v>
      </c>
      <c r="G996" s="79">
        <f t="shared" ref="G996:U996" si="498">G997</f>
        <v>5849160.1867402587</v>
      </c>
      <c r="H996" s="79">
        <f t="shared" si="498"/>
        <v>2227.3110000000001</v>
      </c>
      <c r="I996" s="79">
        <f t="shared" si="498"/>
        <v>1634205.716666779</v>
      </c>
      <c r="J996" s="79">
        <f t="shared" si="498"/>
        <v>110740.70185862978</v>
      </c>
      <c r="K996" s="79">
        <f t="shared" si="498"/>
        <v>1821912.2399021527</v>
      </c>
      <c r="L996" s="79">
        <f t="shared" si="498"/>
        <v>1644584.7917555904</v>
      </c>
      <c r="M996" s="79">
        <f t="shared" si="498"/>
        <v>1399190.6020020954</v>
      </c>
      <c r="N996" s="79">
        <f t="shared" si="498"/>
        <v>794954.55162196734</v>
      </c>
      <c r="O996" s="79">
        <f t="shared" si="498"/>
        <v>47189.380547033208</v>
      </c>
      <c r="P996" s="79">
        <f t="shared" si="498"/>
        <v>48364.221424201525</v>
      </c>
      <c r="Q996" s="79">
        <f t="shared" si="498"/>
        <v>1684.5268188775508</v>
      </c>
      <c r="R996" s="79">
        <f t="shared" si="498"/>
        <v>2319.828573458904</v>
      </c>
      <c r="S996" s="79">
        <f t="shared" si="498"/>
        <v>2.2853442260420227</v>
      </c>
      <c r="T996" s="79">
        <f t="shared" si="498"/>
        <v>21.065000000000001</v>
      </c>
      <c r="U996" s="79">
        <f t="shared" si="498"/>
        <v>0</v>
      </c>
      <c r="V996" s="79">
        <v>0</v>
      </c>
      <c r="W996" s="79">
        <v>0</v>
      </c>
      <c r="X996" s="160"/>
      <c r="Y996" s="160"/>
      <c r="Z996" s="160"/>
      <c r="AA996" s="160">
        <v>34305.024476596634</v>
      </c>
      <c r="AB996" s="163" t="str">
        <f t="shared" si="496"/>
        <v>ok</v>
      </c>
    </row>
    <row r="997" spans="1:29" s="164" customFormat="1">
      <c r="A997" s="44" t="s">
        <v>1409</v>
      </c>
      <c r="B997" s="44"/>
      <c r="C997" s="44"/>
      <c r="D997" s="44" t="s">
        <v>1410</v>
      </c>
      <c r="E997" s="44"/>
      <c r="F997" s="79">
        <v>13356557.409255272</v>
      </c>
      <c r="G997" s="79">
        <v>5849160.1867402587</v>
      </c>
      <c r="H997" s="79">
        <v>2227.3110000000001</v>
      </c>
      <c r="I997" s="79">
        <v>1634205.716666779</v>
      </c>
      <c r="J997" s="79">
        <v>110740.70185862978</v>
      </c>
      <c r="K997" s="79">
        <v>1821912.2399021527</v>
      </c>
      <c r="L997" s="79">
        <v>1644584.7917555904</v>
      </c>
      <c r="M997" s="79">
        <v>1399190.6020020954</v>
      </c>
      <c r="N997" s="79">
        <v>794954.55162196734</v>
      </c>
      <c r="O997" s="79">
        <v>47189.380547033208</v>
      </c>
      <c r="P997" s="79">
        <v>48364.221424201525</v>
      </c>
      <c r="Q997" s="79">
        <v>1684.5268188775508</v>
      </c>
      <c r="R997" s="79">
        <v>2319.828573458904</v>
      </c>
      <c r="S997" s="79">
        <v>2.2853442260420227</v>
      </c>
      <c r="T997" s="79">
        <v>21.065000000000001</v>
      </c>
      <c r="U997" s="79">
        <f>'[13]Billing Det'!F36</f>
        <v>0</v>
      </c>
      <c r="V997" s="79">
        <f>'[13]Billing Det'!F38</f>
        <v>0</v>
      </c>
      <c r="W997" s="79">
        <v>0</v>
      </c>
      <c r="X997" s="160"/>
      <c r="Y997" s="160"/>
      <c r="Z997" s="160"/>
      <c r="AA997" s="160">
        <f t="shared" ref="AA997" si="499">SUM(G997:Z997)</f>
        <v>13356557.409255272</v>
      </c>
      <c r="AB997" s="163" t="str">
        <f t="shared" si="496"/>
        <v>ok</v>
      </c>
      <c r="AC997" s="169"/>
    </row>
    <row r="998" spans="1:29" s="164" customFormat="1">
      <c r="A998" s="60"/>
      <c r="B998" s="60"/>
      <c r="C998" s="60"/>
      <c r="D998" s="60"/>
      <c r="E998" s="60"/>
      <c r="F998" s="110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167"/>
      <c r="Y998" s="167"/>
      <c r="Z998" s="167"/>
      <c r="AA998" s="167"/>
      <c r="AB998" s="163"/>
    </row>
    <row r="999" spans="1:29" s="164" customFormat="1" ht="14.1">
      <c r="A999" s="65" t="s">
        <v>1162</v>
      </c>
      <c r="B999" s="60"/>
      <c r="C999" s="60"/>
      <c r="D999" s="60"/>
      <c r="E999" s="60"/>
      <c r="F999" s="110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167"/>
      <c r="Y999" s="167"/>
      <c r="Z999" s="167"/>
      <c r="AA999" s="167"/>
      <c r="AB999" s="163"/>
    </row>
    <row r="1000" spans="1:29" s="164" customFormat="1">
      <c r="A1000" s="60"/>
      <c r="B1000" s="60"/>
      <c r="C1000" s="60"/>
      <c r="D1000" s="60"/>
      <c r="E1000" s="60"/>
      <c r="F1000" s="110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167"/>
      <c r="Y1000" s="167"/>
      <c r="Z1000" s="167"/>
      <c r="AA1000" s="167"/>
      <c r="AB1000" s="163"/>
    </row>
    <row r="1001" spans="1:29" s="164" customFormat="1" ht="14.1">
      <c r="A1001" s="218" t="s">
        <v>1357</v>
      </c>
      <c r="B1001" s="60"/>
      <c r="C1001" s="60"/>
      <c r="D1001" s="60"/>
      <c r="E1001" s="60"/>
      <c r="F1001" s="110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167"/>
      <c r="Y1001" s="167"/>
      <c r="Z1001" s="167"/>
      <c r="AA1001" s="167"/>
      <c r="AB1001" s="163"/>
    </row>
    <row r="1002" spans="1:29" s="164" customFormat="1">
      <c r="A1002" s="60" t="s">
        <v>1351</v>
      </c>
      <c r="B1002" s="60"/>
      <c r="C1002" s="60"/>
      <c r="D1002" s="44" t="s">
        <v>1413</v>
      </c>
      <c r="E1002" s="44"/>
      <c r="F1002" s="79">
        <f>F997</f>
        <v>13356557.409255272</v>
      </c>
      <c r="G1002" s="79">
        <f t="shared" ref="G1002:Z1002" si="500">G996</f>
        <v>5849160.1867402587</v>
      </c>
      <c r="H1002" s="79">
        <f t="shared" si="500"/>
        <v>2227.3110000000001</v>
      </c>
      <c r="I1002" s="79">
        <f t="shared" si="500"/>
        <v>1634205.716666779</v>
      </c>
      <c r="J1002" s="79">
        <f t="shared" si="500"/>
        <v>110740.70185862978</v>
      </c>
      <c r="K1002" s="79">
        <f t="shared" si="500"/>
        <v>1821912.2399021527</v>
      </c>
      <c r="L1002" s="79">
        <f t="shared" si="500"/>
        <v>1644584.7917555904</v>
      </c>
      <c r="M1002" s="79">
        <f t="shared" si="500"/>
        <v>1399190.6020020954</v>
      </c>
      <c r="N1002" s="79">
        <f t="shared" si="500"/>
        <v>794954.55162196734</v>
      </c>
      <c r="O1002" s="79">
        <f>O996</f>
        <v>47189.380547033208</v>
      </c>
      <c r="P1002" s="79">
        <f t="shared" si="500"/>
        <v>48364.221424201525</v>
      </c>
      <c r="Q1002" s="79">
        <f t="shared" si="500"/>
        <v>1684.5268188775508</v>
      </c>
      <c r="R1002" s="79">
        <f t="shared" si="500"/>
        <v>2319.828573458904</v>
      </c>
      <c r="S1002" s="79">
        <f t="shared" si="500"/>
        <v>2.2853442260420227</v>
      </c>
      <c r="T1002" s="79">
        <f t="shared" si="500"/>
        <v>21.065000000000001</v>
      </c>
      <c r="U1002" s="79">
        <f t="shared" si="500"/>
        <v>0</v>
      </c>
      <c r="V1002" s="79">
        <f t="shared" si="500"/>
        <v>0</v>
      </c>
      <c r="W1002" s="79">
        <f t="shared" si="500"/>
        <v>0</v>
      </c>
      <c r="X1002" s="160">
        <f t="shared" si="500"/>
        <v>0</v>
      </c>
      <c r="Y1002" s="160">
        <f t="shared" si="500"/>
        <v>0</v>
      </c>
      <c r="Z1002" s="160">
        <f t="shared" si="500"/>
        <v>0</v>
      </c>
      <c r="AA1002" s="160">
        <f>SUM(G1002:Z1002)</f>
        <v>13356557.409255272</v>
      </c>
      <c r="AB1002" s="163" t="str">
        <f t="shared" ref="AB1002:AB1007" si="501">IF(ABS(F1002-AA1002)&lt;0.01,"ok","err")</f>
        <v>ok</v>
      </c>
    </row>
    <row r="1003" spans="1:29" s="164" customFormat="1">
      <c r="A1003" s="60" t="s">
        <v>1352</v>
      </c>
      <c r="B1003" s="60"/>
      <c r="C1003" s="60"/>
      <c r="D1003" s="44"/>
      <c r="E1003" s="44"/>
      <c r="F1003" s="80">
        <f>F9</f>
        <v>3865573604.4296021</v>
      </c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AA1003" s="166">
        <f>F1003</f>
        <v>3865573604.4296021</v>
      </c>
      <c r="AB1003" s="163" t="str">
        <f t="shared" si="501"/>
        <v>ok</v>
      </c>
    </row>
    <row r="1004" spans="1:29" s="164" customFormat="1">
      <c r="A1004" s="60" t="s">
        <v>152</v>
      </c>
      <c r="B1004" s="60"/>
      <c r="C1004" s="60"/>
      <c r="D1004" s="44"/>
      <c r="E1004" s="44"/>
      <c r="F1004" s="80">
        <v>2715714.11</v>
      </c>
      <c r="G1004" s="60"/>
      <c r="H1004" s="79">
        <v>0</v>
      </c>
      <c r="I1004" s="76">
        <v>0</v>
      </c>
      <c r="J1004" s="79">
        <v>0</v>
      </c>
      <c r="K1004" s="79">
        <v>0</v>
      </c>
      <c r="L1004" s="112">
        <v>0</v>
      </c>
      <c r="M1004" s="79">
        <v>0</v>
      </c>
      <c r="N1004" s="79">
        <v>0</v>
      </c>
      <c r="O1004" s="79">
        <v>0</v>
      </c>
      <c r="P1004" s="79">
        <v>0</v>
      </c>
      <c r="Q1004" s="60"/>
      <c r="R1004" s="60"/>
      <c r="S1004" s="60"/>
      <c r="T1004" s="79">
        <v>0</v>
      </c>
      <c r="U1004" s="79">
        <f>2200391.61+430350.97</f>
        <v>2630742.58</v>
      </c>
      <c r="V1004" s="375">
        <v>84971.530000000013</v>
      </c>
      <c r="W1004" s="79">
        <v>0</v>
      </c>
      <c r="AA1004" s="166">
        <f>SUM(G1004:Z1004)</f>
        <v>2715714.11</v>
      </c>
      <c r="AB1004" s="163" t="str">
        <f t="shared" si="501"/>
        <v>ok</v>
      </c>
    </row>
    <row r="1005" spans="1:29" s="164" customFormat="1">
      <c r="A1005" s="60" t="s">
        <v>1353</v>
      </c>
      <c r="B1005" s="60"/>
      <c r="C1005" s="60"/>
      <c r="D1005" s="44"/>
      <c r="E1005" s="44" t="s">
        <v>1413</v>
      </c>
      <c r="F1005" s="80">
        <f>F1003-F1004</f>
        <v>3862857890.319602</v>
      </c>
      <c r="G1005" s="76">
        <f t="shared" ref="G1005:Z1005" si="502">IF(VLOOKUP($E1005,$D$6:$AN$1150,3,)=0,0,(VLOOKUP($E1005,$D$6:$AN$1150,G$2,)/VLOOKUP($E1005,$D$6:$AN$1150,3,))*$F1005)</f>
        <v>1691639086.838073</v>
      </c>
      <c r="H1005" s="76">
        <f t="shared" si="502"/>
        <v>644161.93536395463</v>
      </c>
      <c r="I1005" s="76">
        <f t="shared" si="502"/>
        <v>472629604.59087694</v>
      </c>
      <c r="J1005" s="76">
        <f t="shared" si="502"/>
        <v>32027384.066624567</v>
      </c>
      <c r="K1005" s="76">
        <f t="shared" si="502"/>
        <v>526916319.50753546</v>
      </c>
      <c r="L1005" s="76">
        <f t="shared" si="502"/>
        <v>475631343.05330837</v>
      </c>
      <c r="M1005" s="76">
        <f t="shared" si="502"/>
        <v>404660743.88746178</v>
      </c>
      <c r="N1005" s="76">
        <f t="shared" si="502"/>
        <v>229909277.3749114</v>
      </c>
      <c r="O1005" s="76">
        <f t="shared" si="502"/>
        <v>13647668.736787571</v>
      </c>
      <c r="P1005" s="76">
        <f t="shared" si="502"/>
        <v>13987445.163690427</v>
      </c>
      <c r="Q1005" s="76">
        <f t="shared" si="502"/>
        <v>487183.00040750887</v>
      </c>
      <c r="R1005" s="76">
        <f t="shared" si="502"/>
        <v>670918.99765766412</v>
      </c>
      <c r="S1005" s="76">
        <f t="shared" si="502"/>
        <v>660.94575908800709</v>
      </c>
      <c r="T1005" s="76">
        <f t="shared" si="502"/>
        <v>6092.2211439900866</v>
      </c>
      <c r="U1005" s="76">
        <f t="shared" si="502"/>
        <v>0</v>
      </c>
      <c r="V1005" s="76">
        <f t="shared" si="502"/>
        <v>0</v>
      </c>
      <c r="W1005" s="76">
        <f t="shared" si="502"/>
        <v>0</v>
      </c>
      <c r="X1005" s="161">
        <f t="shared" si="502"/>
        <v>0</v>
      </c>
      <c r="Y1005" s="161">
        <f t="shared" si="502"/>
        <v>0</v>
      </c>
      <c r="Z1005" s="161">
        <f t="shared" si="502"/>
        <v>0</v>
      </c>
      <c r="AA1005" s="166">
        <f>SUM(G1005:Z1005)</f>
        <v>3862857890.319603</v>
      </c>
      <c r="AB1005" s="163" t="str">
        <f t="shared" si="501"/>
        <v>ok</v>
      </c>
    </row>
    <row r="1006" spans="1:29" s="164" customFormat="1">
      <c r="A1006" s="60" t="s">
        <v>1354</v>
      </c>
      <c r="B1006" s="60"/>
      <c r="C1006" s="60"/>
      <c r="D1006" s="44" t="s">
        <v>1414</v>
      </c>
      <c r="E1006" s="44"/>
      <c r="F1006" s="80">
        <f t="shared" ref="F1006" si="503">F1004+F1005</f>
        <v>3865573604.4296021</v>
      </c>
      <c r="G1006" s="80">
        <f t="shared" ref="G1006:W1006" si="504">G1004+G1005</f>
        <v>1691639086.838073</v>
      </c>
      <c r="H1006" s="80">
        <f t="shared" si="504"/>
        <v>644161.93536395463</v>
      </c>
      <c r="I1006" s="80">
        <f t="shared" si="504"/>
        <v>472629604.59087694</v>
      </c>
      <c r="J1006" s="80">
        <f t="shared" si="504"/>
        <v>32027384.066624567</v>
      </c>
      <c r="K1006" s="80">
        <f t="shared" si="504"/>
        <v>526916319.50753546</v>
      </c>
      <c r="L1006" s="80">
        <f t="shared" si="504"/>
        <v>475631343.05330837</v>
      </c>
      <c r="M1006" s="80">
        <f t="shared" si="504"/>
        <v>404660743.88746178</v>
      </c>
      <c r="N1006" s="80">
        <f t="shared" si="504"/>
        <v>229909277.3749114</v>
      </c>
      <c r="O1006" s="80">
        <f>O1004+O1005</f>
        <v>13647668.736787571</v>
      </c>
      <c r="P1006" s="80">
        <f t="shared" si="504"/>
        <v>13987445.163690427</v>
      </c>
      <c r="Q1006" s="80">
        <f t="shared" si="504"/>
        <v>487183.00040750887</v>
      </c>
      <c r="R1006" s="80">
        <f t="shared" si="504"/>
        <v>670918.99765766412</v>
      </c>
      <c r="S1006" s="80">
        <f t="shared" si="504"/>
        <v>660.94575908800709</v>
      </c>
      <c r="T1006" s="80">
        <f t="shared" si="504"/>
        <v>6092.2211439900866</v>
      </c>
      <c r="U1006" s="80">
        <f t="shared" si="504"/>
        <v>2630742.58</v>
      </c>
      <c r="V1006" s="80">
        <f t="shared" si="504"/>
        <v>84971.530000000013</v>
      </c>
      <c r="W1006" s="80">
        <f t="shared" si="504"/>
        <v>0</v>
      </c>
      <c r="X1006" s="166">
        <f>X1004+X1005</f>
        <v>0</v>
      </c>
      <c r="Y1006" s="166">
        <f>Y1004+Y1005</f>
        <v>0</v>
      </c>
      <c r="Z1006" s="166">
        <f>Z1004+Z1005</f>
        <v>0</v>
      </c>
      <c r="AA1006" s="166">
        <f>SUM(G1006:Z1006)</f>
        <v>3865573604.4296031</v>
      </c>
      <c r="AB1006" s="163" t="str">
        <f t="shared" si="501"/>
        <v>ok</v>
      </c>
    </row>
    <row r="1007" spans="1:29" s="164" customFormat="1">
      <c r="A1007" s="60" t="s">
        <v>1355</v>
      </c>
      <c r="B1007" s="60"/>
      <c r="C1007" s="60"/>
      <c r="D1007" s="44" t="s">
        <v>1412</v>
      </c>
      <c r="E1007" s="44" t="s">
        <v>1414</v>
      </c>
      <c r="F1007" s="110">
        <v>1</v>
      </c>
      <c r="G1007" s="83">
        <f t="shared" ref="G1007:Z1007" si="505">IF(VLOOKUP($E1007,$D$6:$AN$1150,3,)=0,0,(VLOOKUP($E1007,$D$6:$AN$1150,G$2,)/VLOOKUP($E1007,$D$6:$AN$1150,3,))*$F1007)</f>
        <v>0.43761657646347896</v>
      </c>
      <c r="H1007" s="83">
        <f t="shared" si="505"/>
        <v>1.6664071138777504E-4</v>
      </c>
      <c r="I1007" s="83">
        <f t="shared" si="505"/>
        <v>0.12226635758514225</v>
      </c>
      <c r="J1007" s="83">
        <f t="shared" si="505"/>
        <v>8.2852863104001025E-3</v>
      </c>
      <c r="K1007" s="83">
        <f t="shared" si="505"/>
        <v>0.13630999521099182</v>
      </c>
      <c r="L1007" s="83">
        <f t="shared" si="505"/>
        <v>0.12304288877290484</v>
      </c>
      <c r="M1007" s="83">
        <f t="shared" si="505"/>
        <v>0.10468323340778111</v>
      </c>
      <c r="N1007" s="83">
        <f t="shared" si="505"/>
        <v>5.9476109085455232E-2</v>
      </c>
      <c r="O1007" s="83">
        <f t="shared" si="505"/>
        <v>3.5305675517725392E-3</v>
      </c>
      <c r="P1007" s="83">
        <f t="shared" si="505"/>
        <v>3.6184656133987627E-3</v>
      </c>
      <c r="Q1007" s="83">
        <f t="shared" si="505"/>
        <v>1.2603123113455675E-4</v>
      </c>
      <c r="R1007" s="83">
        <f t="shared" si="505"/>
        <v>1.7356259802913876E-4</v>
      </c>
      <c r="S1007" s="83">
        <f t="shared" si="505"/>
        <v>1.7098258285151323E-7</v>
      </c>
      <c r="T1007" s="83">
        <f t="shared" si="505"/>
        <v>1.5760199565231265E-6</v>
      </c>
      <c r="U1007" s="83">
        <f t="shared" si="505"/>
        <v>6.8055684594529615E-4</v>
      </c>
      <c r="V1007" s="83">
        <f t="shared" si="505"/>
        <v>2.198160963812207E-5</v>
      </c>
      <c r="W1007" s="83">
        <f t="shared" si="505"/>
        <v>0</v>
      </c>
      <c r="X1007" s="167">
        <f t="shared" si="505"/>
        <v>0</v>
      </c>
      <c r="Y1007" s="167">
        <f t="shared" si="505"/>
        <v>0</v>
      </c>
      <c r="Z1007" s="167">
        <f t="shared" si="505"/>
        <v>0</v>
      </c>
      <c r="AA1007" s="167">
        <f>SUM(G1007:Z1007)</f>
        <v>0.99999999999999978</v>
      </c>
      <c r="AB1007" s="163" t="str">
        <f t="shared" si="501"/>
        <v>ok</v>
      </c>
    </row>
    <row r="1008" spans="1:29" s="164" customFormat="1">
      <c r="A1008" s="60"/>
      <c r="B1008" s="60"/>
      <c r="C1008" s="60"/>
      <c r="D1008" s="44"/>
      <c r="E1008" s="44"/>
      <c r="F1008" s="110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167"/>
      <c r="Y1008" s="167"/>
      <c r="Z1008" s="167"/>
      <c r="AA1008" s="167"/>
      <c r="AB1008" s="163"/>
    </row>
    <row r="1009" spans="1:28" s="164" customFormat="1">
      <c r="A1009" s="60" t="s">
        <v>1336</v>
      </c>
      <c r="B1009" s="60"/>
      <c r="C1009" s="60"/>
      <c r="D1009" s="44" t="s">
        <v>1415</v>
      </c>
      <c r="E1009" s="44"/>
      <c r="F1009" s="79">
        <f>F997</f>
        <v>13356557.409255272</v>
      </c>
      <c r="G1009" s="79">
        <f t="shared" ref="G1009:Z1009" si="506">G995</f>
        <v>5849160.1867402587</v>
      </c>
      <c r="H1009" s="79">
        <f t="shared" si="506"/>
        <v>2227.3110000000001</v>
      </c>
      <c r="I1009" s="79">
        <f t="shared" si="506"/>
        <v>1634205.716666779</v>
      </c>
      <c r="J1009" s="79">
        <f t="shared" si="506"/>
        <v>110740.70185862978</v>
      </c>
      <c r="K1009" s="79">
        <f t="shared" si="506"/>
        <v>1821912.2399021527</v>
      </c>
      <c r="L1009" s="79">
        <f t="shared" si="506"/>
        <v>1644584.7917555904</v>
      </c>
      <c r="M1009" s="79">
        <f t="shared" si="506"/>
        <v>1399190.6020020954</v>
      </c>
      <c r="N1009" s="79">
        <f t="shared" si="506"/>
        <v>794954.55162196734</v>
      </c>
      <c r="O1009" s="79">
        <f>O995</f>
        <v>47189.380547033208</v>
      </c>
      <c r="P1009" s="79">
        <f t="shared" si="506"/>
        <v>48364.221424201525</v>
      </c>
      <c r="Q1009" s="79">
        <f t="shared" si="506"/>
        <v>1684.5268188775508</v>
      </c>
      <c r="R1009" s="79">
        <f t="shared" si="506"/>
        <v>2319.828573458904</v>
      </c>
      <c r="S1009" s="79">
        <f t="shared" si="506"/>
        <v>2.2853442260420227</v>
      </c>
      <c r="T1009" s="79">
        <f t="shared" si="506"/>
        <v>21.065000000000001</v>
      </c>
      <c r="U1009" s="79">
        <f t="shared" si="506"/>
        <v>0</v>
      </c>
      <c r="V1009" s="79">
        <f t="shared" si="506"/>
        <v>0</v>
      </c>
      <c r="W1009" s="79">
        <f t="shared" si="506"/>
        <v>0</v>
      </c>
      <c r="X1009" s="160">
        <f t="shared" si="506"/>
        <v>0</v>
      </c>
      <c r="Y1009" s="160">
        <f t="shared" si="506"/>
        <v>0</v>
      </c>
      <c r="Z1009" s="160">
        <f t="shared" si="506"/>
        <v>0</v>
      </c>
      <c r="AA1009" s="160">
        <f>SUM(G1009:Z1009)</f>
        <v>13356557.409255272</v>
      </c>
      <c r="AB1009" s="163" t="str">
        <f t="shared" ref="AB1009:AB1014" si="507">IF(ABS(F1009-AA1009)&lt;0.01,"ok","err")</f>
        <v>ok</v>
      </c>
    </row>
    <row r="1010" spans="1:28" s="164" customFormat="1">
      <c r="A1010" s="60" t="s">
        <v>1337</v>
      </c>
      <c r="B1010" s="60"/>
      <c r="C1010" s="60"/>
      <c r="D1010" s="44"/>
      <c r="E1010" s="44"/>
      <c r="F1010" s="80">
        <f>F68</f>
        <v>2495383412.90588</v>
      </c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AA1010" s="166">
        <f>F1010</f>
        <v>2495383412.90588</v>
      </c>
      <c r="AB1010" s="163" t="str">
        <f t="shared" si="507"/>
        <v>ok</v>
      </c>
    </row>
    <row r="1011" spans="1:28" s="164" customFormat="1">
      <c r="A1011" s="60" t="s">
        <v>152</v>
      </c>
      <c r="B1011" s="60"/>
      <c r="C1011" s="60"/>
      <c r="D1011" s="44"/>
      <c r="E1011" s="44"/>
      <c r="F1011" s="80">
        <v>2559062.9700000002</v>
      </c>
      <c r="G1011" s="60"/>
      <c r="H1011" s="79">
        <v>0</v>
      </c>
      <c r="I1011" s="76">
        <v>0</v>
      </c>
      <c r="J1011" s="79">
        <v>0</v>
      </c>
      <c r="K1011" s="79">
        <v>0</v>
      </c>
      <c r="L1011" s="112">
        <v>0</v>
      </c>
      <c r="M1011" s="79">
        <v>0</v>
      </c>
      <c r="N1011" s="79">
        <v>0</v>
      </c>
      <c r="O1011" s="79">
        <v>0</v>
      </c>
      <c r="P1011" s="79">
        <v>0</v>
      </c>
      <c r="Q1011" s="60"/>
      <c r="R1011" s="60"/>
      <c r="S1011" s="60"/>
      <c r="T1011" s="79">
        <v>0</v>
      </c>
      <c r="U1011" s="79">
        <f>U1004-144008.4</f>
        <v>2486734.1800000002</v>
      </c>
      <c r="V1011" s="375">
        <f>V1004-12642.74</f>
        <v>72328.790000000008</v>
      </c>
      <c r="W1011" s="79">
        <v>0</v>
      </c>
      <c r="AA1011" s="166">
        <f>SUM(G1011:Z1011)</f>
        <v>2559062.9700000002</v>
      </c>
      <c r="AB1011" s="163" t="str">
        <f t="shared" si="507"/>
        <v>ok</v>
      </c>
    </row>
    <row r="1012" spans="1:28" s="164" customFormat="1">
      <c r="A1012" s="60" t="s">
        <v>1338</v>
      </c>
      <c r="B1012" s="60"/>
      <c r="C1012" s="60"/>
      <c r="D1012" s="44"/>
      <c r="E1012" s="44" t="s">
        <v>1415</v>
      </c>
      <c r="F1012" s="80">
        <f>F1010-F1011</f>
        <v>2492824349.9358802</v>
      </c>
      <c r="G1012" s="76">
        <f t="shared" ref="G1012:Z1012" si="508">IF(VLOOKUP($E1012,$D$6:$AN$1150,3,)=0,0,(VLOOKUP($E1012,$D$6:$AN$1150,G$2,)/VLOOKUP($E1012,$D$6:$AN$1150,3,))*$F1012)</f>
        <v>1091668196.6326091</v>
      </c>
      <c r="H1012" s="76">
        <f t="shared" si="508"/>
        <v>415698.06691600318</v>
      </c>
      <c r="I1012" s="76">
        <f t="shared" si="508"/>
        <v>305002829.58305395</v>
      </c>
      <c r="J1012" s="76">
        <f t="shared" si="508"/>
        <v>20668283.724883426</v>
      </c>
      <c r="K1012" s="76">
        <f t="shared" si="508"/>
        <v>340035763.40166694</v>
      </c>
      <c r="L1012" s="76">
        <f t="shared" si="508"/>
        <v>306939946.33540463</v>
      </c>
      <c r="M1012" s="76">
        <f t="shared" si="508"/>
        <v>261140374.4242765</v>
      </c>
      <c r="N1012" s="76">
        <f t="shared" si="508"/>
        <v>148367727.00145146</v>
      </c>
      <c r="O1012" s="76">
        <f t="shared" si="508"/>
        <v>8807272.2095681056</v>
      </c>
      <c r="P1012" s="76">
        <f t="shared" si="508"/>
        <v>9026540.6824364085</v>
      </c>
      <c r="Q1012" s="76">
        <f t="shared" si="508"/>
        <v>314394.59611862106</v>
      </c>
      <c r="R1012" s="76">
        <f t="shared" si="508"/>
        <v>432965.24533995276</v>
      </c>
      <c r="S1012" s="76">
        <f t="shared" si="508"/>
        <v>426.52919911198666</v>
      </c>
      <c r="T1012" s="76">
        <f t="shared" si="508"/>
        <v>3931.5029556203003</v>
      </c>
      <c r="U1012" s="76">
        <f t="shared" si="508"/>
        <v>0</v>
      </c>
      <c r="V1012" s="76">
        <f t="shared" si="508"/>
        <v>0</v>
      </c>
      <c r="W1012" s="76">
        <f t="shared" si="508"/>
        <v>0</v>
      </c>
      <c r="X1012" s="161">
        <f t="shared" si="508"/>
        <v>0</v>
      </c>
      <c r="Y1012" s="161">
        <f t="shared" si="508"/>
        <v>0</v>
      </c>
      <c r="Z1012" s="161">
        <f t="shared" si="508"/>
        <v>0</v>
      </c>
      <c r="AA1012" s="166">
        <f>SUM(G1012:Z1012)</f>
        <v>2492824349.9358792</v>
      </c>
      <c r="AB1012" s="163" t="str">
        <f t="shared" si="507"/>
        <v>ok</v>
      </c>
    </row>
    <row r="1013" spans="1:28" s="164" customFormat="1">
      <c r="A1013" s="60" t="s">
        <v>1339</v>
      </c>
      <c r="B1013" s="60"/>
      <c r="C1013" s="60"/>
      <c r="D1013" s="44" t="s">
        <v>1416</v>
      </c>
      <c r="E1013" s="44"/>
      <c r="F1013" s="80">
        <f t="shared" ref="F1013:Z1013" si="509">F1011+F1012</f>
        <v>2495383412.90588</v>
      </c>
      <c r="G1013" s="80">
        <f t="shared" si="509"/>
        <v>1091668196.6326091</v>
      </c>
      <c r="H1013" s="80">
        <f t="shared" si="509"/>
        <v>415698.06691600318</v>
      </c>
      <c r="I1013" s="80">
        <f t="shared" si="509"/>
        <v>305002829.58305395</v>
      </c>
      <c r="J1013" s="80">
        <f t="shared" si="509"/>
        <v>20668283.724883426</v>
      </c>
      <c r="K1013" s="80">
        <f t="shared" si="509"/>
        <v>340035763.40166694</v>
      </c>
      <c r="L1013" s="80">
        <f t="shared" si="509"/>
        <v>306939946.33540463</v>
      </c>
      <c r="M1013" s="80">
        <f t="shared" si="509"/>
        <v>261140374.4242765</v>
      </c>
      <c r="N1013" s="80">
        <f t="shared" si="509"/>
        <v>148367727.00145146</v>
      </c>
      <c r="O1013" s="80">
        <f>O1011+O1012</f>
        <v>8807272.2095681056</v>
      </c>
      <c r="P1013" s="80">
        <f t="shared" si="509"/>
        <v>9026540.6824364085</v>
      </c>
      <c r="Q1013" s="80">
        <f t="shared" si="509"/>
        <v>314394.59611862106</v>
      </c>
      <c r="R1013" s="80">
        <f t="shared" si="509"/>
        <v>432965.24533995276</v>
      </c>
      <c r="S1013" s="80">
        <f t="shared" si="509"/>
        <v>426.52919911198666</v>
      </c>
      <c r="T1013" s="80">
        <f t="shared" si="509"/>
        <v>3931.5029556203003</v>
      </c>
      <c r="U1013" s="80">
        <f t="shared" si="509"/>
        <v>2486734.1800000002</v>
      </c>
      <c r="V1013" s="80">
        <f t="shared" si="509"/>
        <v>72328.790000000008</v>
      </c>
      <c r="W1013" s="80">
        <f t="shared" si="509"/>
        <v>0</v>
      </c>
      <c r="X1013" s="166">
        <f t="shared" si="509"/>
        <v>0</v>
      </c>
      <c r="Y1013" s="166">
        <f t="shared" si="509"/>
        <v>0</v>
      </c>
      <c r="Z1013" s="166">
        <f t="shared" si="509"/>
        <v>0</v>
      </c>
      <c r="AA1013" s="166">
        <f>SUM(G1013:Z1013)</f>
        <v>2495383412.905879</v>
      </c>
      <c r="AB1013" s="163" t="str">
        <f t="shared" si="507"/>
        <v>ok</v>
      </c>
    </row>
    <row r="1014" spans="1:28" s="164" customFormat="1">
      <c r="A1014" s="60" t="s">
        <v>1340</v>
      </c>
      <c r="B1014" s="60"/>
      <c r="C1014" s="60"/>
      <c r="D1014" s="44" t="s">
        <v>1417</v>
      </c>
      <c r="E1014" s="44" t="s">
        <v>1416</v>
      </c>
      <c r="F1014" s="110">
        <v>1</v>
      </c>
      <c r="G1014" s="83">
        <f t="shared" ref="G1014:Z1014" si="510">IF(VLOOKUP($E1014,$D$6:$AN$1150,3,)=0,0,(VLOOKUP($E1014,$D$6:$AN$1150,G$2,)/VLOOKUP($E1014,$D$6:$AN$1150,3,))*$F1014)</f>
        <v>0.43747513547882361</v>
      </c>
      <c r="H1014" s="83">
        <f t="shared" si="510"/>
        <v>1.6658685185052256E-4</v>
      </c>
      <c r="I1014" s="83">
        <f t="shared" si="510"/>
        <v>0.12222684017438323</v>
      </c>
      <c r="J1014" s="83">
        <f t="shared" si="510"/>
        <v>8.2826084432512763E-3</v>
      </c>
      <c r="K1014" s="83">
        <f t="shared" si="510"/>
        <v>0.13626593879042198</v>
      </c>
      <c r="L1014" s="83">
        <f t="shared" si="510"/>
        <v>0.12300312038139756</v>
      </c>
      <c r="M1014" s="83">
        <f t="shared" si="510"/>
        <v>0.10464939899563487</v>
      </c>
      <c r="N1014" s="83">
        <f t="shared" si="510"/>
        <v>5.9456885957527822E-2</v>
      </c>
      <c r="O1014" s="83">
        <f t="shared" si="510"/>
        <v>3.5294264456587118E-3</v>
      </c>
      <c r="P1014" s="83">
        <f t="shared" si="510"/>
        <v>3.6172960979671577E-3</v>
      </c>
      <c r="Q1014" s="83">
        <f t="shared" si="510"/>
        <v>1.259904968882148E-4</v>
      </c>
      <c r="R1014" s="83">
        <f t="shared" si="510"/>
        <v>1.7350650128581391E-4</v>
      </c>
      <c r="S1014" s="83">
        <f t="shared" si="510"/>
        <v>1.7092731998859139E-7</v>
      </c>
      <c r="T1014" s="83">
        <f t="shared" si="510"/>
        <v>1.5755105749629295E-6</v>
      </c>
      <c r="U1014" s="83">
        <f t="shared" si="510"/>
        <v>9.9653390622813851E-4</v>
      </c>
      <c r="V1014" s="83">
        <f t="shared" si="510"/>
        <v>2.8985040786086237E-5</v>
      </c>
      <c r="W1014" s="83">
        <f t="shared" si="510"/>
        <v>0</v>
      </c>
      <c r="X1014" s="167">
        <f t="shared" si="510"/>
        <v>0</v>
      </c>
      <c r="Y1014" s="167">
        <f t="shared" si="510"/>
        <v>0</v>
      </c>
      <c r="Z1014" s="167">
        <f t="shared" si="510"/>
        <v>0</v>
      </c>
      <c r="AA1014" s="167">
        <f>SUM(G1014:Z1014)</f>
        <v>0.99999999999999989</v>
      </c>
      <c r="AB1014" s="163" t="str">
        <f t="shared" si="507"/>
        <v>ok</v>
      </c>
    </row>
    <row r="1015" spans="1:28" s="164" customFormat="1">
      <c r="A1015" s="60"/>
      <c r="B1015" s="60"/>
      <c r="C1015" s="60"/>
      <c r="D1015" s="44"/>
      <c r="E1015" s="44"/>
      <c r="F1015" s="110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167"/>
      <c r="Y1015" s="167"/>
      <c r="Z1015" s="167"/>
      <c r="AA1015" s="167"/>
      <c r="AB1015" s="163"/>
    </row>
    <row r="1016" spans="1:28" s="164" customFormat="1">
      <c r="A1016" s="60" t="s">
        <v>1341</v>
      </c>
      <c r="B1016" s="60"/>
      <c r="C1016" s="60"/>
      <c r="D1016" s="44" t="s">
        <v>1418</v>
      </c>
      <c r="E1016" s="44"/>
      <c r="F1016" s="79">
        <f>F1009</f>
        <v>13356557.409255272</v>
      </c>
      <c r="G1016" s="79">
        <f t="shared" ref="G1016:U1016" si="511">G1009</f>
        <v>5849160.1867402587</v>
      </c>
      <c r="H1016" s="79">
        <f t="shared" si="511"/>
        <v>2227.3110000000001</v>
      </c>
      <c r="I1016" s="79">
        <f t="shared" si="511"/>
        <v>1634205.716666779</v>
      </c>
      <c r="J1016" s="79">
        <f t="shared" si="511"/>
        <v>110740.70185862978</v>
      </c>
      <c r="K1016" s="79">
        <f t="shared" si="511"/>
        <v>1821912.2399021527</v>
      </c>
      <c r="L1016" s="79">
        <f t="shared" si="511"/>
        <v>1644584.7917555904</v>
      </c>
      <c r="M1016" s="79">
        <f t="shared" si="511"/>
        <v>1399190.6020020954</v>
      </c>
      <c r="N1016" s="79">
        <f t="shared" si="511"/>
        <v>794954.55162196734</v>
      </c>
      <c r="O1016" s="79">
        <f t="shared" si="511"/>
        <v>47189.380547033208</v>
      </c>
      <c r="P1016" s="79">
        <f t="shared" si="511"/>
        <v>48364.221424201525</v>
      </c>
      <c r="Q1016" s="79">
        <f t="shared" si="511"/>
        <v>1684.5268188775508</v>
      </c>
      <c r="R1016" s="79">
        <f t="shared" si="511"/>
        <v>2319.828573458904</v>
      </c>
      <c r="S1016" s="79">
        <f t="shared" si="511"/>
        <v>2.2853442260420227</v>
      </c>
      <c r="T1016" s="79">
        <f t="shared" si="511"/>
        <v>21.065000000000001</v>
      </c>
      <c r="U1016" s="79">
        <f t="shared" si="511"/>
        <v>0</v>
      </c>
      <c r="V1016" s="79">
        <f t="shared" ref="V1016:Z1016" si="512">V1002</f>
        <v>0</v>
      </c>
      <c r="W1016" s="79">
        <f t="shared" si="512"/>
        <v>0</v>
      </c>
      <c r="X1016" s="160">
        <f t="shared" si="512"/>
        <v>0</v>
      </c>
      <c r="Y1016" s="160">
        <f t="shared" si="512"/>
        <v>0</v>
      </c>
      <c r="Z1016" s="160">
        <f t="shared" si="512"/>
        <v>0</v>
      </c>
      <c r="AA1016" s="160">
        <f>SUM(G1016:Z1016)</f>
        <v>13356557.409255272</v>
      </c>
      <c r="AB1016" s="163" t="str">
        <f t="shared" ref="AB1016:AB1021" si="513">IF(ABS(F1016-AA1016)&lt;0.01,"ok","err")</f>
        <v>ok</v>
      </c>
    </row>
    <row r="1017" spans="1:28" s="164" customFormat="1">
      <c r="A1017" s="60" t="s">
        <v>1342</v>
      </c>
      <c r="B1017" s="60"/>
      <c r="C1017" s="60"/>
      <c r="D1017" s="44"/>
      <c r="E1017" s="44"/>
      <c r="F1017" s="80">
        <f>F125</f>
        <v>2009588145.2784369</v>
      </c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AA1017" s="166">
        <f>F1017</f>
        <v>2009588145.2784369</v>
      </c>
      <c r="AB1017" s="163" t="str">
        <f t="shared" si="513"/>
        <v>ok</v>
      </c>
    </row>
    <row r="1018" spans="1:28" s="164" customFormat="1">
      <c r="A1018" s="60" t="s">
        <v>152</v>
      </c>
      <c r="B1018" s="60"/>
      <c r="C1018" s="60"/>
      <c r="D1018" s="44"/>
      <c r="E1018" s="44"/>
      <c r="F1018" s="80">
        <v>2375298.6300000004</v>
      </c>
      <c r="G1018" s="60"/>
      <c r="H1018" s="79">
        <v>0</v>
      </c>
      <c r="I1018" s="76">
        <v>0</v>
      </c>
      <c r="J1018" s="79">
        <v>0</v>
      </c>
      <c r="K1018" s="79">
        <v>0</v>
      </c>
      <c r="L1018" s="112">
        <v>0</v>
      </c>
      <c r="M1018" s="79">
        <v>0</v>
      </c>
      <c r="N1018" s="79">
        <v>0</v>
      </c>
      <c r="O1018" s="79">
        <v>0</v>
      </c>
      <c r="P1018" s="79">
        <v>0</v>
      </c>
      <c r="Q1018" s="60"/>
      <c r="R1018" s="60"/>
      <c r="S1018" s="60"/>
      <c r="T1018" s="79">
        <v>0</v>
      </c>
      <c r="U1018" s="79">
        <f>U1011-172112.34</f>
        <v>2314621.8400000003</v>
      </c>
      <c r="V1018" s="375">
        <f>V1011-11652</f>
        <v>60676.790000000008</v>
      </c>
      <c r="W1018" s="79">
        <v>0</v>
      </c>
      <c r="AA1018" s="166">
        <f>SUM(G1018:Z1018)</f>
        <v>2375298.6300000004</v>
      </c>
      <c r="AB1018" s="163" t="str">
        <f t="shared" si="513"/>
        <v>ok</v>
      </c>
    </row>
    <row r="1019" spans="1:28" s="164" customFormat="1">
      <c r="A1019" s="60" t="s">
        <v>1343</v>
      </c>
      <c r="B1019" s="60"/>
      <c r="C1019" s="60"/>
      <c r="D1019" s="44"/>
      <c r="E1019" s="44" t="s">
        <v>1418</v>
      </c>
      <c r="F1019" s="80">
        <f>F1017-F1018</f>
        <v>2007212846.6484368</v>
      </c>
      <c r="G1019" s="76">
        <f t="shared" ref="G1019:Z1019" si="514">IF(VLOOKUP($E1019,$D$6:$AN$1150,3,)=0,0,(VLOOKUP($E1019,$D$6:$AN$1150,G$2,)/VLOOKUP($E1019,$D$6:$AN$1150,3,))*$F1019)</f>
        <v>879007150.50976884</v>
      </c>
      <c r="H1019" s="76">
        <f t="shared" si="514"/>
        <v>334718.5293108137</v>
      </c>
      <c r="I1019" s="76">
        <f t="shared" si="514"/>
        <v>245587138.06649747</v>
      </c>
      <c r="J1019" s="76">
        <f t="shared" si="514"/>
        <v>16642024.782784196</v>
      </c>
      <c r="K1019" s="76">
        <f t="shared" si="514"/>
        <v>273795525.39964962</v>
      </c>
      <c r="L1019" s="76">
        <f t="shared" si="514"/>
        <v>247146897.23319376</v>
      </c>
      <c r="M1019" s="76">
        <f t="shared" si="514"/>
        <v>210269253.16116762</v>
      </c>
      <c r="N1019" s="76">
        <f t="shared" si="514"/>
        <v>119465139.07929438</v>
      </c>
      <c r="O1019" s="76">
        <f t="shared" si="514"/>
        <v>7091582.6554043312</v>
      </c>
      <c r="P1019" s="76">
        <f t="shared" si="514"/>
        <v>7268136.8099790653</v>
      </c>
      <c r="Q1019" s="76">
        <f t="shared" si="514"/>
        <v>253149.35336794783</v>
      </c>
      <c r="R1019" s="76">
        <f t="shared" si="514"/>
        <v>348621.996820995</v>
      </c>
      <c r="S1019" s="76">
        <f t="shared" si="514"/>
        <v>343.43971646067638</v>
      </c>
      <c r="T1019" s="76">
        <f t="shared" si="514"/>
        <v>3165.6314811592501</v>
      </c>
      <c r="U1019" s="76">
        <f t="shared" si="514"/>
        <v>0</v>
      </c>
      <c r="V1019" s="76">
        <f t="shared" si="514"/>
        <v>0</v>
      </c>
      <c r="W1019" s="76">
        <f t="shared" si="514"/>
        <v>0</v>
      </c>
      <c r="X1019" s="161">
        <f t="shared" si="514"/>
        <v>0</v>
      </c>
      <c r="Y1019" s="161">
        <f t="shared" si="514"/>
        <v>0</v>
      </c>
      <c r="Z1019" s="161">
        <f t="shared" si="514"/>
        <v>0</v>
      </c>
      <c r="AA1019" s="166">
        <f>SUM(G1019:Z1019)</f>
        <v>2007212846.648437</v>
      </c>
      <c r="AB1019" s="163" t="str">
        <f t="shared" si="513"/>
        <v>ok</v>
      </c>
    </row>
    <row r="1020" spans="1:28" s="164" customFormat="1">
      <c r="A1020" s="60" t="s">
        <v>1344</v>
      </c>
      <c r="B1020" s="60"/>
      <c r="C1020" s="60"/>
      <c r="D1020" s="44" t="s">
        <v>1419</v>
      </c>
      <c r="E1020" s="44"/>
      <c r="F1020" s="80">
        <f t="shared" ref="F1020:N1020" si="515">F1018+F1019</f>
        <v>2009588145.2784369</v>
      </c>
      <c r="G1020" s="80">
        <f t="shared" si="515"/>
        <v>879007150.50976884</v>
      </c>
      <c r="H1020" s="80">
        <f t="shared" si="515"/>
        <v>334718.5293108137</v>
      </c>
      <c r="I1020" s="80">
        <f t="shared" si="515"/>
        <v>245587138.06649747</v>
      </c>
      <c r="J1020" s="80">
        <f t="shared" si="515"/>
        <v>16642024.782784196</v>
      </c>
      <c r="K1020" s="80">
        <f t="shared" si="515"/>
        <v>273795525.39964962</v>
      </c>
      <c r="L1020" s="80">
        <f t="shared" si="515"/>
        <v>247146897.23319376</v>
      </c>
      <c r="M1020" s="80">
        <f t="shared" si="515"/>
        <v>210269253.16116762</v>
      </c>
      <c r="N1020" s="80">
        <f t="shared" si="515"/>
        <v>119465139.07929438</v>
      </c>
      <c r="O1020" s="80">
        <f>O1018+O1019</f>
        <v>7091582.6554043312</v>
      </c>
      <c r="P1020" s="80">
        <f t="shared" ref="P1020:Z1020" si="516">P1018+P1019</f>
        <v>7268136.8099790653</v>
      </c>
      <c r="Q1020" s="80">
        <f t="shared" si="516"/>
        <v>253149.35336794783</v>
      </c>
      <c r="R1020" s="80">
        <f t="shared" si="516"/>
        <v>348621.996820995</v>
      </c>
      <c r="S1020" s="80">
        <f t="shared" si="516"/>
        <v>343.43971646067638</v>
      </c>
      <c r="T1020" s="80">
        <f t="shared" si="516"/>
        <v>3165.6314811592501</v>
      </c>
      <c r="U1020" s="80">
        <f t="shared" si="516"/>
        <v>2314621.8400000003</v>
      </c>
      <c r="V1020" s="80">
        <f t="shared" si="516"/>
        <v>60676.790000000008</v>
      </c>
      <c r="W1020" s="80">
        <f t="shared" si="516"/>
        <v>0</v>
      </c>
      <c r="X1020" s="166">
        <f t="shared" si="516"/>
        <v>0</v>
      </c>
      <c r="Y1020" s="166">
        <f t="shared" si="516"/>
        <v>0</v>
      </c>
      <c r="Z1020" s="166">
        <f t="shared" si="516"/>
        <v>0</v>
      </c>
      <c r="AA1020" s="166">
        <f>SUM(G1020:Z1020)</f>
        <v>2009588145.2784369</v>
      </c>
      <c r="AB1020" s="163" t="str">
        <f t="shared" si="513"/>
        <v>ok</v>
      </c>
    </row>
    <row r="1021" spans="1:28" s="164" customFormat="1">
      <c r="A1021" s="60" t="s">
        <v>1345</v>
      </c>
      <c r="B1021" s="60"/>
      <c r="C1021" s="60"/>
      <c r="D1021" s="44" t="s">
        <v>1420</v>
      </c>
      <c r="E1021" s="44" t="s">
        <v>1419</v>
      </c>
      <c r="F1021" s="110">
        <v>1</v>
      </c>
      <c r="G1021" s="83">
        <f t="shared" ref="G1021:Z1021" si="517">IF(VLOOKUP($E1021,$D$6:$AN$1150,3,)=0,0,(VLOOKUP($E1021,$D$6:$AN$1150,G$2,)/VLOOKUP($E1021,$D$6:$AN$1150,3,))*$F1021)</f>
        <v>0.43740661616411891</v>
      </c>
      <c r="H1021" s="83">
        <f t="shared" si="517"/>
        <v>1.665607602718203E-4</v>
      </c>
      <c r="I1021" s="83">
        <f t="shared" si="517"/>
        <v>0.12220769645935105</v>
      </c>
      <c r="J1021" s="83">
        <f t="shared" si="517"/>
        <v>8.2813111840278966E-3</v>
      </c>
      <c r="K1021" s="83">
        <f t="shared" si="517"/>
        <v>0.13624459620889837</v>
      </c>
      <c r="L1021" s="83">
        <f t="shared" si="517"/>
        <v>0.12298385508188321</v>
      </c>
      <c r="M1021" s="83">
        <f t="shared" si="517"/>
        <v>0.10463300833815077</v>
      </c>
      <c r="N1021" s="83">
        <f t="shared" si="517"/>
        <v>5.9447573553804971E-2</v>
      </c>
      <c r="O1021" s="83">
        <f t="shared" si="517"/>
        <v>3.5288736510842439E-3</v>
      </c>
      <c r="P1021" s="83">
        <f t="shared" si="517"/>
        <v>3.6167295408542702E-3</v>
      </c>
      <c r="Q1021" s="83">
        <f t="shared" si="517"/>
        <v>1.2597076369241466E-4</v>
      </c>
      <c r="R1021" s="83">
        <f t="shared" si="517"/>
        <v>1.7347932592063134E-4</v>
      </c>
      <c r="S1021" s="83">
        <f t="shared" si="517"/>
        <v>1.7090054858633302E-7</v>
      </c>
      <c r="T1021" s="83">
        <f t="shared" si="517"/>
        <v>1.5752638114416418E-6</v>
      </c>
      <c r="U1021" s="83">
        <f t="shared" si="517"/>
        <v>1.1517891591061808E-3</v>
      </c>
      <c r="V1021" s="83">
        <f t="shared" si="517"/>
        <v>3.0193644475143429E-5</v>
      </c>
      <c r="W1021" s="83">
        <f t="shared" si="517"/>
        <v>0</v>
      </c>
      <c r="X1021" s="167">
        <f t="shared" si="517"/>
        <v>0</v>
      </c>
      <c r="Y1021" s="167">
        <f t="shared" si="517"/>
        <v>0</v>
      </c>
      <c r="Z1021" s="167">
        <f t="shared" si="517"/>
        <v>0</v>
      </c>
      <c r="AA1021" s="167">
        <f>SUM(G1021:Z1021)</f>
        <v>0.99999999999999978</v>
      </c>
      <c r="AB1021" s="163" t="str">
        <f t="shared" si="513"/>
        <v>ok</v>
      </c>
    </row>
    <row r="1022" spans="1:28" s="170" customFormat="1">
      <c r="A1022" s="60"/>
      <c r="B1022" s="60"/>
      <c r="C1022" s="60"/>
      <c r="D1022" s="44"/>
      <c r="E1022" s="44"/>
      <c r="F1022" s="110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176"/>
      <c r="X1022" s="176"/>
      <c r="Y1022" s="176"/>
      <c r="Z1022" s="176"/>
      <c r="AA1022" s="176"/>
      <c r="AB1022" s="172"/>
    </row>
    <row r="1023" spans="1:28" s="164" customFormat="1">
      <c r="A1023" s="60" t="s">
        <v>1261</v>
      </c>
      <c r="B1023" s="60"/>
      <c r="C1023" s="60"/>
      <c r="D1023" s="44" t="s">
        <v>1421</v>
      </c>
      <c r="E1023" s="44"/>
      <c r="F1023" s="79">
        <f>F1009</f>
        <v>13356557.409255272</v>
      </c>
      <c r="G1023" s="79">
        <f t="shared" ref="G1023:U1023" si="518">G1009</f>
        <v>5849160.1867402587</v>
      </c>
      <c r="H1023" s="79">
        <f t="shared" si="518"/>
        <v>2227.3110000000001</v>
      </c>
      <c r="I1023" s="79">
        <f t="shared" si="518"/>
        <v>1634205.716666779</v>
      </c>
      <c r="J1023" s="79">
        <f t="shared" si="518"/>
        <v>110740.70185862978</v>
      </c>
      <c r="K1023" s="79">
        <f t="shared" si="518"/>
        <v>1821912.2399021527</v>
      </c>
      <c r="L1023" s="79">
        <f t="shared" si="518"/>
        <v>1644584.7917555904</v>
      </c>
      <c r="M1023" s="79">
        <f t="shared" si="518"/>
        <v>1399190.6020020954</v>
      </c>
      <c r="N1023" s="79">
        <f t="shared" si="518"/>
        <v>794954.55162196734</v>
      </c>
      <c r="O1023" s="79">
        <f t="shared" si="518"/>
        <v>47189.380547033208</v>
      </c>
      <c r="P1023" s="79">
        <f t="shared" si="518"/>
        <v>48364.221424201525</v>
      </c>
      <c r="Q1023" s="79">
        <f t="shared" si="518"/>
        <v>1684.5268188775508</v>
      </c>
      <c r="R1023" s="79">
        <f t="shared" si="518"/>
        <v>2319.828573458904</v>
      </c>
      <c r="S1023" s="79">
        <f t="shared" si="518"/>
        <v>2.2853442260420227</v>
      </c>
      <c r="T1023" s="79">
        <f t="shared" si="518"/>
        <v>21.065000000000001</v>
      </c>
      <c r="U1023" s="79">
        <f t="shared" si="518"/>
        <v>0</v>
      </c>
      <c r="V1023" s="79">
        <v>0</v>
      </c>
      <c r="W1023" s="79">
        <f>W1004</f>
        <v>0</v>
      </c>
      <c r="X1023" s="160">
        <f>X1004</f>
        <v>0</v>
      </c>
      <c r="Y1023" s="160">
        <f>Y1004</f>
        <v>0</v>
      </c>
      <c r="Z1023" s="160">
        <f>Z1004</f>
        <v>0</v>
      </c>
      <c r="AA1023" s="160">
        <f>SUM(G1023:Z1023)</f>
        <v>13356557.409255272</v>
      </c>
      <c r="AB1023" s="163" t="str">
        <f t="shared" ref="AB1023:AB1028" si="519">IF(ABS(F1023-AA1023)&lt;0.01,"ok","err")</f>
        <v>ok</v>
      </c>
    </row>
    <row r="1024" spans="1:28" s="164" customFormat="1">
      <c r="A1024" s="60" t="s">
        <v>1262</v>
      </c>
      <c r="B1024" s="60"/>
      <c r="C1024" s="60"/>
      <c r="D1024" s="44"/>
      <c r="E1024" s="44"/>
      <c r="F1024" s="80">
        <f>F182</f>
        <v>111958098.21523491</v>
      </c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AA1024" s="166">
        <f>F1024</f>
        <v>111958098.21523491</v>
      </c>
      <c r="AB1024" s="163" t="str">
        <f t="shared" si="519"/>
        <v>ok</v>
      </c>
    </row>
    <row r="1025" spans="1:28" s="164" customFormat="1">
      <c r="A1025" s="60" t="s">
        <v>152</v>
      </c>
      <c r="B1025" s="60"/>
      <c r="C1025" s="60"/>
      <c r="D1025" s="44"/>
      <c r="E1025" s="44"/>
      <c r="F1025" s="80">
        <v>71903</v>
      </c>
      <c r="G1025" s="60"/>
      <c r="H1025" s="79">
        <v>0</v>
      </c>
      <c r="I1025" s="76">
        <v>0</v>
      </c>
      <c r="J1025" s="79">
        <v>0</v>
      </c>
      <c r="K1025" s="79">
        <v>0</v>
      </c>
      <c r="L1025" s="112">
        <v>0</v>
      </c>
      <c r="M1025" s="79">
        <v>0</v>
      </c>
      <c r="N1025" s="79">
        <v>0</v>
      </c>
      <c r="O1025" s="79">
        <v>0</v>
      </c>
      <c r="P1025" s="79">
        <v>0</v>
      </c>
      <c r="Q1025" s="60"/>
      <c r="R1025" s="60"/>
      <c r="S1025" s="60"/>
      <c r="T1025" s="79"/>
      <c r="U1025" s="79">
        <v>71903</v>
      </c>
      <c r="V1025" s="79">
        <v>0</v>
      </c>
      <c r="W1025" s="79">
        <v>0</v>
      </c>
      <c r="AA1025" s="166">
        <f>SUM(G1025:Z1025)</f>
        <v>71903</v>
      </c>
      <c r="AB1025" s="163" t="str">
        <f t="shared" si="519"/>
        <v>ok</v>
      </c>
    </row>
    <row r="1026" spans="1:28" s="164" customFormat="1">
      <c r="A1026" s="60" t="s">
        <v>1273</v>
      </c>
      <c r="B1026" s="60"/>
      <c r="C1026" s="60"/>
      <c r="D1026" s="44"/>
      <c r="E1026" s="44" t="s">
        <v>1421</v>
      </c>
      <c r="F1026" s="80">
        <f>F1024-F1025</f>
        <v>111886195.21523491</v>
      </c>
      <c r="G1026" s="76">
        <f t="shared" ref="G1026:Z1026" si="520">IF(VLOOKUP($E1026,$D$6:$AN$1150,3,)=0,0,(VLOOKUP($E1026,$D$6:$AN$1150,G$2,)/VLOOKUP($E1026,$D$6:$AN$1150,3,))*$F1026)</f>
        <v>48997676.455559842</v>
      </c>
      <c r="H1026" s="76">
        <f t="shared" si="520"/>
        <v>18657.90305953809</v>
      </c>
      <c r="I1026" s="76">
        <f t="shared" si="520"/>
        <v>13689534.977787893</v>
      </c>
      <c r="J1026" s="76">
        <f t="shared" si="520"/>
        <v>927660.87898076372</v>
      </c>
      <c r="K1026" s="76">
        <f t="shared" si="520"/>
        <v>15261928.825871317</v>
      </c>
      <c r="L1026" s="76">
        <f t="shared" si="520"/>
        <v>13776479.179497808</v>
      </c>
      <c r="M1026" s="76">
        <f t="shared" si="520"/>
        <v>11720843.031786686</v>
      </c>
      <c r="N1026" s="76">
        <f t="shared" si="520"/>
        <v>6659233.9196911594</v>
      </c>
      <c r="O1026" s="76">
        <f t="shared" si="520"/>
        <v>395299.48340676184</v>
      </c>
      <c r="P1026" s="76">
        <f t="shared" si="520"/>
        <v>405140.97711670585</v>
      </c>
      <c r="Q1026" s="76">
        <f t="shared" si="520"/>
        <v>14111.068498206771</v>
      </c>
      <c r="R1026" s="76">
        <f t="shared" si="520"/>
        <v>19432.91109249798</v>
      </c>
      <c r="S1026" s="76">
        <f t="shared" si="520"/>
        <v>19.144040067672258</v>
      </c>
      <c r="T1026" s="76">
        <f t="shared" si="520"/>
        <v>176.458845643545</v>
      </c>
      <c r="U1026" s="76">
        <f t="shared" si="520"/>
        <v>0</v>
      </c>
      <c r="V1026" s="76">
        <f t="shared" si="520"/>
        <v>0</v>
      </c>
      <c r="W1026" s="76">
        <f t="shared" si="520"/>
        <v>0</v>
      </c>
      <c r="X1026" s="161">
        <f t="shared" si="520"/>
        <v>0</v>
      </c>
      <c r="Y1026" s="161">
        <f t="shared" si="520"/>
        <v>0</v>
      </c>
      <c r="Z1026" s="161">
        <f t="shared" si="520"/>
        <v>0</v>
      </c>
      <c r="AA1026" s="166">
        <f>SUM(G1026:Z1026)</f>
        <v>111886195.21523489</v>
      </c>
      <c r="AB1026" s="163" t="str">
        <f t="shared" si="519"/>
        <v>ok</v>
      </c>
    </row>
    <row r="1027" spans="1:28" s="164" customFormat="1">
      <c r="A1027" s="60" t="s">
        <v>1272</v>
      </c>
      <c r="B1027" s="60"/>
      <c r="C1027" s="60"/>
      <c r="D1027" s="44" t="s">
        <v>1422</v>
      </c>
      <c r="E1027" s="44"/>
      <c r="F1027" s="80">
        <f t="shared" ref="F1027:N1027" si="521">F1025+F1026</f>
        <v>111958098.21523491</v>
      </c>
      <c r="G1027" s="80">
        <f t="shared" si="521"/>
        <v>48997676.455559842</v>
      </c>
      <c r="H1027" s="80">
        <f t="shared" si="521"/>
        <v>18657.90305953809</v>
      </c>
      <c r="I1027" s="80">
        <f t="shared" si="521"/>
        <v>13689534.977787893</v>
      </c>
      <c r="J1027" s="80">
        <f t="shared" si="521"/>
        <v>927660.87898076372</v>
      </c>
      <c r="K1027" s="80">
        <f t="shared" si="521"/>
        <v>15261928.825871317</v>
      </c>
      <c r="L1027" s="80">
        <f t="shared" si="521"/>
        <v>13776479.179497808</v>
      </c>
      <c r="M1027" s="80">
        <f t="shared" si="521"/>
        <v>11720843.031786686</v>
      </c>
      <c r="N1027" s="80">
        <f t="shared" si="521"/>
        <v>6659233.9196911594</v>
      </c>
      <c r="O1027" s="80">
        <f>O1025+O1026</f>
        <v>395299.48340676184</v>
      </c>
      <c r="P1027" s="80">
        <f t="shared" ref="P1027:Z1027" si="522">P1025+P1026</f>
        <v>405140.97711670585</v>
      </c>
      <c r="Q1027" s="80">
        <f t="shared" si="522"/>
        <v>14111.068498206771</v>
      </c>
      <c r="R1027" s="80">
        <f t="shared" si="522"/>
        <v>19432.91109249798</v>
      </c>
      <c r="S1027" s="80">
        <f t="shared" si="522"/>
        <v>19.144040067672258</v>
      </c>
      <c r="T1027" s="80">
        <f t="shared" si="522"/>
        <v>176.458845643545</v>
      </c>
      <c r="U1027" s="80">
        <f t="shared" si="522"/>
        <v>71903</v>
      </c>
      <c r="V1027" s="80">
        <f t="shared" si="522"/>
        <v>0</v>
      </c>
      <c r="W1027" s="80">
        <f t="shared" si="522"/>
        <v>0</v>
      </c>
      <c r="X1027" s="166">
        <f t="shared" si="522"/>
        <v>0</v>
      </c>
      <c r="Y1027" s="166">
        <f t="shared" si="522"/>
        <v>0</v>
      </c>
      <c r="Z1027" s="166">
        <f t="shared" si="522"/>
        <v>0</v>
      </c>
      <c r="AA1027" s="166">
        <f>SUM(G1027:Z1027)</f>
        <v>111958098.21523489</v>
      </c>
      <c r="AB1027" s="163" t="str">
        <f t="shared" si="519"/>
        <v>ok</v>
      </c>
    </row>
    <row r="1028" spans="1:28" s="164" customFormat="1">
      <c r="A1028" s="60" t="s">
        <v>1271</v>
      </c>
      <c r="B1028" s="60"/>
      <c r="C1028" s="60"/>
      <c r="D1028" s="44" t="s">
        <v>1423</v>
      </c>
      <c r="E1028" s="44" t="s">
        <v>1422</v>
      </c>
      <c r="F1028" s="110">
        <v>1</v>
      </c>
      <c r="G1028" s="83">
        <f t="shared" ref="G1028:Z1028" si="523">IF(VLOOKUP($E1028,$D$6:$AN$1150,3,)=0,0,(VLOOKUP($E1028,$D$6:$AN$1150,G$2,)/VLOOKUP($E1028,$D$6:$AN$1150,3,))*$F1028)</f>
        <v>0.43764298640875265</v>
      </c>
      <c r="H1028" s="83">
        <f t="shared" si="523"/>
        <v>1.6665076807279299E-4</v>
      </c>
      <c r="I1028" s="83">
        <f t="shared" si="523"/>
        <v>0.12227373629972096</v>
      </c>
      <c r="J1028" s="83">
        <f t="shared" si="523"/>
        <v>8.285786323356201E-3</v>
      </c>
      <c r="K1028" s="83">
        <f t="shared" si="523"/>
        <v>0.13631822145219794</v>
      </c>
      <c r="L1028" s="83">
        <f t="shared" si="523"/>
        <v>0.12305031435075903</v>
      </c>
      <c r="M1028" s="83">
        <f t="shared" si="523"/>
        <v>0.10468955098945894</v>
      </c>
      <c r="N1028" s="83">
        <f t="shared" si="523"/>
        <v>5.9479698439402318E-2</v>
      </c>
      <c r="O1028" s="83">
        <f t="shared" si="523"/>
        <v>3.5307806197887948E-3</v>
      </c>
      <c r="P1028" s="83">
        <f t="shared" si="523"/>
        <v>3.6186839860198297E-3</v>
      </c>
      <c r="Q1028" s="83">
        <f t="shared" si="523"/>
        <v>1.2603883705740351E-4</v>
      </c>
      <c r="R1028" s="83">
        <f t="shared" si="523"/>
        <v>1.7357307244661297E-4</v>
      </c>
      <c r="S1028" s="83">
        <f t="shared" si="523"/>
        <v>1.7099290156633971E-7</v>
      </c>
      <c r="T1028" s="83">
        <f t="shared" si="523"/>
        <v>1.5761150685527905E-6</v>
      </c>
      <c r="U1028" s="83">
        <f t="shared" si="523"/>
        <v>6.422313449963164E-4</v>
      </c>
      <c r="V1028" s="83">
        <f t="shared" si="523"/>
        <v>0</v>
      </c>
      <c r="W1028" s="83">
        <f t="shared" si="523"/>
        <v>0</v>
      </c>
      <c r="X1028" s="161">
        <f t="shared" si="523"/>
        <v>0</v>
      </c>
      <c r="Y1028" s="161">
        <f t="shared" si="523"/>
        <v>0</v>
      </c>
      <c r="Z1028" s="161">
        <f t="shared" si="523"/>
        <v>0</v>
      </c>
      <c r="AA1028" s="167">
        <f>SUM(G1028:Z1028)</f>
        <v>1.0000000000000002</v>
      </c>
      <c r="AB1028" s="163" t="str">
        <f t="shared" si="519"/>
        <v>ok</v>
      </c>
    </row>
    <row r="1029" spans="1:28" s="164" customFormat="1">
      <c r="A1029" s="60"/>
      <c r="B1029" s="60"/>
      <c r="C1029" s="60"/>
      <c r="D1029" s="44"/>
      <c r="E1029" s="44"/>
      <c r="F1029" s="110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167"/>
      <c r="Y1029" s="167"/>
      <c r="Z1029" s="167"/>
      <c r="AA1029" s="167"/>
      <c r="AB1029" s="163"/>
    </row>
    <row r="1030" spans="1:28" s="164" customFormat="1">
      <c r="A1030" s="60" t="s">
        <v>1259</v>
      </c>
      <c r="B1030" s="60"/>
      <c r="C1030" s="60"/>
      <c r="D1030" s="44" t="s">
        <v>1424</v>
      </c>
      <c r="E1030" s="44"/>
      <c r="F1030" s="79">
        <f>F997</f>
        <v>13356557.409255272</v>
      </c>
      <c r="G1030" s="79">
        <f>G1009</f>
        <v>5849160.1867402587</v>
      </c>
      <c r="H1030" s="79">
        <f t="shared" ref="H1030:U1030" si="524">H1009</f>
        <v>2227.3110000000001</v>
      </c>
      <c r="I1030" s="79">
        <f t="shared" si="524"/>
        <v>1634205.716666779</v>
      </c>
      <c r="J1030" s="79">
        <f t="shared" si="524"/>
        <v>110740.70185862978</v>
      </c>
      <c r="K1030" s="79">
        <f t="shared" si="524"/>
        <v>1821912.2399021527</v>
      </c>
      <c r="L1030" s="79">
        <f t="shared" si="524"/>
        <v>1644584.7917555904</v>
      </c>
      <c r="M1030" s="79">
        <f t="shared" si="524"/>
        <v>1399190.6020020954</v>
      </c>
      <c r="N1030" s="79">
        <f t="shared" si="524"/>
        <v>794954.55162196734</v>
      </c>
      <c r="O1030" s="79">
        <f t="shared" si="524"/>
        <v>47189.380547033208</v>
      </c>
      <c r="P1030" s="79">
        <f t="shared" si="524"/>
        <v>48364.221424201525</v>
      </c>
      <c r="Q1030" s="79">
        <f t="shared" si="524"/>
        <v>1684.5268188775508</v>
      </c>
      <c r="R1030" s="79">
        <f t="shared" si="524"/>
        <v>2319.828573458904</v>
      </c>
      <c r="S1030" s="79">
        <f t="shared" si="524"/>
        <v>2.2853442260420227</v>
      </c>
      <c r="T1030" s="79">
        <f t="shared" si="524"/>
        <v>21.065000000000001</v>
      </c>
      <c r="U1030" s="79">
        <f t="shared" si="524"/>
        <v>0</v>
      </c>
      <c r="V1030" s="79">
        <f t="shared" ref="V1030:Z1030" si="525">V997</f>
        <v>0</v>
      </c>
      <c r="W1030" s="79">
        <f t="shared" si="525"/>
        <v>0</v>
      </c>
      <c r="X1030" s="160">
        <f t="shared" si="525"/>
        <v>0</v>
      </c>
      <c r="Y1030" s="160">
        <f t="shared" si="525"/>
        <v>0</v>
      </c>
      <c r="Z1030" s="160">
        <f t="shared" si="525"/>
        <v>0</v>
      </c>
      <c r="AA1030" s="160">
        <f>SUM(G1030:Z1030)</f>
        <v>13356557.409255272</v>
      </c>
      <c r="AB1030" s="163" t="str">
        <f t="shared" ref="AB1030:AB1035" si="526">IF(ABS(F1030-AA1030)&lt;0.01,"ok","err")</f>
        <v>ok</v>
      </c>
    </row>
    <row r="1031" spans="1:28" s="164" customFormat="1">
      <c r="A1031" s="60" t="s">
        <v>1260</v>
      </c>
      <c r="B1031" s="60"/>
      <c r="C1031" s="60"/>
      <c r="D1031" s="44"/>
      <c r="E1031" s="44"/>
      <c r="F1031" s="80">
        <f>F302</f>
        <v>212733072.11107191</v>
      </c>
      <c r="G1031" s="112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AA1031" s="166">
        <f>F1031</f>
        <v>212733072.11107191</v>
      </c>
      <c r="AB1031" s="163" t="str">
        <f t="shared" si="526"/>
        <v>ok</v>
      </c>
    </row>
    <row r="1032" spans="1:28" s="164" customFormat="1">
      <c r="A1032" s="60" t="s">
        <v>152</v>
      </c>
      <c r="B1032" s="60"/>
      <c r="C1032" s="60"/>
      <c r="D1032" s="44"/>
      <c r="E1032" s="44"/>
      <c r="F1032" s="80">
        <v>87023.934208333303</v>
      </c>
      <c r="G1032" s="60"/>
      <c r="H1032" s="79">
        <v>0</v>
      </c>
      <c r="I1032" s="76">
        <v>0</v>
      </c>
      <c r="J1032" s="79">
        <v>0</v>
      </c>
      <c r="K1032" s="79">
        <v>0</v>
      </c>
      <c r="L1032" s="112">
        <v>0</v>
      </c>
      <c r="M1032" s="79">
        <v>0</v>
      </c>
      <c r="N1032" s="79">
        <v>0</v>
      </c>
      <c r="O1032" s="79">
        <v>0</v>
      </c>
      <c r="P1032" s="79">
        <v>0</v>
      </c>
      <c r="Q1032" s="60"/>
      <c r="R1032" s="60"/>
      <c r="S1032" s="60"/>
      <c r="T1032" s="375">
        <v>0</v>
      </c>
      <c r="U1032" s="375">
        <v>83869.534208333309</v>
      </c>
      <c r="V1032" s="375">
        <f>3154.4</f>
        <v>3154.4</v>
      </c>
      <c r="W1032" s="79">
        <v>0</v>
      </c>
      <c r="AA1032" s="166">
        <f>SUM(G1032:Z1032)</f>
        <v>87023.934208333303</v>
      </c>
      <c r="AB1032" s="163" t="str">
        <f t="shared" si="526"/>
        <v>ok</v>
      </c>
    </row>
    <row r="1033" spans="1:28" s="164" customFormat="1">
      <c r="A1033" s="60" t="s">
        <v>1268</v>
      </c>
      <c r="B1033" s="60"/>
      <c r="C1033" s="60"/>
      <c r="D1033" s="44"/>
      <c r="E1033" s="44" t="s">
        <v>1424</v>
      </c>
      <c r="F1033" s="80">
        <f>F1031-F1032</f>
        <v>212646048.17686358</v>
      </c>
      <c r="G1033" s="76">
        <f t="shared" ref="G1033:Z1033" si="527">IF(VLOOKUP($E1033,$D$6:$AN$1150,3,)=0,0,(VLOOKUP($E1033,$D$6:$AN$1150,G$2,)/VLOOKUP($E1033,$D$6:$AN$1150,3,))*$F1033)</f>
        <v>93122857.990479201</v>
      </c>
      <c r="H1033" s="76">
        <f t="shared" si="527"/>
        <v>35460.401037370793</v>
      </c>
      <c r="I1033" s="76">
        <f t="shared" si="527"/>
        <v>26017736.225685559</v>
      </c>
      <c r="J1033" s="76">
        <f t="shared" si="527"/>
        <v>1763072.0178129254</v>
      </c>
      <c r="K1033" s="76">
        <f t="shared" si="527"/>
        <v>29006159.751298692</v>
      </c>
      <c r="L1033" s="76">
        <f t="shared" si="527"/>
        <v>26182978.603174038</v>
      </c>
      <c r="M1033" s="76">
        <f t="shared" si="527"/>
        <v>22276125.729507271</v>
      </c>
      <c r="N1033" s="76">
        <f t="shared" si="527"/>
        <v>12656251.061032001</v>
      </c>
      <c r="O1033" s="76">
        <f t="shared" si="527"/>
        <v>751289.04715277825</v>
      </c>
      <c r="P1033" s="76">
        <f t="shared" si="527"/>
        <v>769993.36310124025</v>
      </c>
      <c r="Q1033" s="76">
        <f t="shared" si="527"/>
        <v>26818.884545357352</v>
      </c>
      <c r="R1033" s="76">
        <f t="shared" si="527"/>
        <v>36933.347679243954</v>
      </c>
      <c r="S1033" s="76">
        <f t="shared" si="527"/>
        <v>36.384331942817994</v>
      </c>
      <c r="T1033" s="76">
        <f t="shared" si="527"/>
        <v>335.3700259425899</v>
      </c>
      <c r="U1033" s="76">
        <f t="shared" si="527"/>
        <v>0</v>
      </c>
      <c r="V1033" s="76">
        <f t="shared" si="527"/>
        <v>0</v>
      </c>
      <c r="W1033" s="76">
        <f t="shared" si="527"/>
        <v>0</v>
      </c>
      <c r="X1033" s="161">
        <f t="shared" si="527"/>
        <v>0</v>
      </c>
      <c r="Y1033" s="161">
        <f t="shared" si="527"/>
        <v>0</v>
      </c>
      <c r="Z1033" s="161">
        <f t="shared" si="527"/>
        <v>0</v>
      </c>
      <c r="AA1033" s="166">
        <f>SUM(G1033:Z1033)</f>
        <v>212646048.17686355</v>
      </c>
      <c r="AB1033" s="163" t="str">
        <f t="shared" si="526"/>
        <v>ok</v>
      </c>
    </row>
    <row r="1034" spans="1:28" s="164" customFormat="1">
      <c r="A1034" s="60" t="s">
        <v>1269</v>
      </c>
      <c r="B1034" s="60"/>
      <c r="C1034" s="60"/>
      <c r="D1034" s="44" t="s">
        <v>1425</v>
      </c>
      <c r="E1034" s="44"/>
      <c r="F1034" s="80">
        <f t="shared" ref="F1034:Z1034" si="528">F1032+F1033</f>
        <v>212733072.11107191</v>
      </c>
      <c r="G1034" s="80">
        <f t="shared" si="528"/>
        <v>93122857.990479201</v>
      </c>
      <c r="H1034" s="80">
        <f t="shared" si="528"/>
        <v>35460.401037370793</v>
      </c>
      <c r="I1034" s="80">
        <f t="shared" si="528"/>
        <v>26017736.225685559</v>
      </c>
      <c r="J1034" s="80">
        <f t="shared" si="528"/>
        <v>1763072.0178129254</v>
      </c>
      <c r="K1034" s="80">
        <f t="shared" si="528"/>
        <v>29006159.751298692</v>
      </c>
      <c r="L1034" s="80">
        <f t="shared" si="528"/>
        <v>26182978.603174038</v>
      </c>
      <c r="M1034" s="80">
        <f t="shared" si="528"/>
        <v>22276125.729507271</v>
      </c>
      <c r="N1034" s="80">
        <f t="shared" si="528"/>
        <v>12656251.061032001</v>
      </c>
      <c r="O1034" s="80">
        <f>O1032+O1033</f>
        <v>751289.04715277825</v>
      </c>
      <c r="P1034" s="80">
        <f t="shared" si="528"/>
        <v>769993.36310124025</v>
      </c>
      <c r="Q1034" s="80">
        <f t="shared" si="528"/>
        <v>26818.884545357352</v>
      </c>
      <c r="R1034" s="80">
        <f t="shared" si="528"/>
        <v>36933.347679243954</v>
      </c>
      <c r="S1034" s="80">
        <f t="shared" si="528"/>
        <v>36.384331942817994</v>
      </c>
      <c r="T1034" s="80">
        <f t="shared" si="528"/>
        <v>335.3700259425899</v>
      </c>
      <c r="U1034" s="80">
        <f t="shared" si="528"/>
        <v>83869.534208333309</v>
      </c>
      <c r="V1034" s="80">
        <f t="shared" si="528"/>
        <v>3154.4</v>
      </c>
      <c r="W1034" s="80">
        <f t="shared" si="528"/>
        <v>0</v>
      </c>
      <c r="X1034" s="166">
        <f t="shared" si="528"/>
        <v>0</v>
      </c>
      <c r="Y1034" s="166">
        <f t="shared" si="528"/>
        <v>0</v>
      </c>
      <c r="Z1034" s="166">
        <f t="shared" si="528"/>
        <v>0</v>
      </c>
      <c r="AA1034" s="166">
        <f>SUM(G1034:Z1034)</f>
        <v>212733072.11107188</v>
      </c>
      <c r="AB1034" s="163" t="str">
        <f t="shared" si="526"/>
        <v>ok</v>
      </c>
    </row>
    <row r="1035" spans="1:28" s="164" customFormat="1">
      <c r="A1035" s="60" t="s">
        <v>1270</v>
      </c>
      <c r="B1035" s="60"/>
      <c r="C1035" s="60"/>
      <c r="D1035" s="44" t="s">
        <v>1426</v>
      </c>
      <c r="E1035" s="44" t="s">
        <v>1425</v>
      </c>
      <c r="F1035" s="110">
        <v>1</v>
      </c>
      <c r="G1035" s="83">
        <f t="shared" ref="G1035:Z1035" si="529">IF(VLOOKUP($E1035,$D$6:$AN$1150,3,)=0,0,(VLOOKUP($E1035,$D$6:$AN$1150,G$2,)/VLOOKUP($E1035,$D$6:$AN$1150,3,))*$F1035)</f>
        <v>0.4377450909083756</v>
      </c>
      <c r="H1035" s="83">
        <f t="shared" si="529"/>
        <v>1.6668964860741658E-4</v>
      </c>
      <c r="I1035" s="83">
        <f t="shared" si="529"/>
        <v>0.12230226343039512</v>
      </c>
      <c r="J1035" s="83">
        <f t="shared" si="529"/>
        <v>8.2877194425716397E-3</v>
      </c>
      <c r="K1035" s="83">
        <f t="shared" si="529"/>
        <v>0.13635002523798478</v>
      </c>
      <c r="L1035" s="83">
        <f t="shared" si="529"/>
        <v>0.12307902266133502</v>
      </c>
      <c r="M1035" s="83">
        <f t="shared" si="529"/>
        <v>0.1047139756336358</v>
      </c>
      <c r="N1035" s="83">
        <f t="shared" si="529"/>
        <v>5.9493575377992637E-2</v>
      </c>
      <c r="O1035" s="83">
        <f t="shared" si="529"/>
        <v>3.5316043701964506E-3</v>
      </c>
      <c r="P1035" s="83">
        <f t="shared" si="529"/>
        <v>3.6195282447630535E-3</v>
      </c>
      <c r="Q1035" s="83">
        <f t="shared" si="529"/>
        <v>1.2606824260665361E-4</v>
      </c>
      <c r="R1035" s="83">
        <f t="shared" si="529"/>
        <v>1.7361356799266436E-4</v>
      </c>
      <c r="S1035" s="83">
        <f t="shared" si="529"/>
        <v>1.7103279514442896E-7</v>
      </c>
      <c r="T1035" s="83">
        <f t="shared" si="529"/>
        <v>1.5764827848087812E-6</v>
      </c>
      <c r="U1035" s="83">
        <f t="shared" si="529"/>
        <v>3.9424774613579336E-4</v>
      </c>
      <c r="V1035" s="83">
        <f t="shared" si="529"/>
        <v>1.4827971827309619E-5</v>
      </c>
      <c r="W1035" s="83">
        <f t="shared" si="529"/>
        <v>0</v>
      </c>
      <c r="X1035" s="161">
        <f t="shared" si="529"/>
        <v>0</v>
      </c>
      <c r="Y1035" s="161">
        <f t="shared" si="529"/>
        <v>0</v>
      </c>
      <c r="Z1035" s="161">
        <f t="shared" si="529"/>
        <v>0</v>
      </c>
      <c r="AA1035" s="167">
        <f>SUM(G1035:Z1035)</f>
        <v>0.99999999999999978</v>
      </c>
      <c r="AB1035" s="163" t="str">
        <f t="shared" si="526"/>
        <v>ok</v>
      </c>
    </row>
    <row r="1036" spans="1:28" s="170" customFormat="1">
      <c r="A1036" s="60"/>
      <c r="B1036" s="60"/>
      <c r="C1036" s="60"/>
      <c r="D1036" s="44"/>
      <c r="E1036" s="44"/>
      <c r="F1036" s="110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176"/>
      <c r="X1036" s="176"/>
      <c r="Y1036" s="176"/>
      <c r="Z1036" s="176"/>
      <c r="AA1036" s="176"/>
      <c r="AB1036" s="172"/>
    </row>
    <row r="1037" spans="1:28" s="164" customFormat="1">
      <c r="A1037" s="60" t="s">
        <v>1263</v>
      </c>
      <c r="B1037" s="60"/>
      <c r="C1037" s="60"/>
      <c r="D1037" s="44" t="s">
        <v>1427</v>
      </c>
      <c r="E1037" s="44"/>
      <c r="F1037" s="79">
        <f>F1030</f>
        <v>13356557.409255272</v>
      </c>
      <c r="G1037" s="79">
        <f t="shared" ref="G1037:U1037" si="530">G1030</f>
        <v>5849160.1867402587</v>
      </c>
      <c r="H1037" s="79">
        <f t="shared" si="530"/>
        <v>2227.3110000000001</v>
      </c>
      <c r="I1037" s="79">
        <f t="shared" si="530"/>
        <v>1634205.716666779</v>
      </c>
      <c r="J1037" s="79">
        <f t="shared" si="530"/>
        <v>110740.70185862978</v>
      </c>
      <c r="K1037" s="79">
        <f t="shared" si="530"/>
        <v>1821912.2399021527</v>
      </c>
      <c r="L1037" s="79">
        <f t="shared" si="530"/>
        <v>1644584.7917555904</v>
      </c>
      <c r="M1037" s="79">
        <f t="shared" si="530"/>
        <v>1399190.6020020954</v>
      </c>
      <c r="N1037" s="79">
        <f t="shared" si="530"/>
        <v>794954.55162196734</v>
      </c>
      <c r="O1037" s="79">
        <f t="shared" si="530"/>
        <v>47189.380547033208</v>
      </c>
      <c r="P1037" s="79">
        <f t="shared" si="530"/>
        <v>48364.221424201525</v>
      </c>
      <c r="Q1037" s="79">
        <f t="shared" si="530"/>
        <v>1684.5268188775508</v>
      </c>
      <c r="R1037" s="79">
        <f t="shared" si="530"/>
        <v>2319.828573458904</v>
      </c>
      <c r="S1037" s="79">
        <f t="shared" si="530"/>
        <v>2.2853442260420227</v>
      </c>
      <c r="T1037" s="79">
        <f t="shared" si="530"/>
        <v>21.065000000000001</v>
      </c>
      <c r="U1037" s="79">
        <f t="shared" si="530"/>
        <v>0</v>
      </c>
      <c r="V1037" s="79">
        <v>0</v>
      </c>
      <c r="W1037" s="79">
        <f>W1011</f>
        <v>0</v>
      </c>
      <c r="X1037" s="160">
        <f>X1011</f>
        <v>0</v>
      </c>
      <c r="Y1037" s="160">
        <f>Y1011</f>
        <v>0</v>
      </c>
      <c r="Z1037" s="160">
        <f>Z1011</f>
        <v>0</v>
      </c>
      <c r="AA1037" s="160">
        <f>SUM(G1037:Z1037)</f>
        <v>13356557.409255272</v>
      </c>
      <c r="AB1037" s="163" t="str">
        <f t="shared" ref="AB1037:AB1042" si="531">IF(ABS(F1037-AA1037)&lt;0.01,"ok","err")</f>
        <v>ok</v>
      </c>
    </row>
    <row r="1038" spans="1:28" s="164" customFormat="1">
      <c r="A1038" s="60" t="s">
        <v>1264</v>
      </c>
      <c r="B1038" s="60"/>
      <c r="C1038" s="60"/>
      <c r="D1038" s="44"/>
      <c r="E1038" s="44"/>
      <c r="F1038" s="80">
        <f>F468</f>
        <v>25721710.883164674</v>
      </c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AA1038" s="166">
        <f>F1038</f>
        <v>25721710.883164674</v>
      </c>
      <c r="AB1038" s="163" t="str">
        <f t="shared" si="531"/>
        <v>ok</v>
      </c>
    </row>
    <row r="1039" spans="1:28" s="164" customFormat="1">
      <c r="A1039" s="60" t="s">
        <v>152</v>
      </c>
      <c r="B1039" s="60"/>
      <c r="C1039" s="60"/>
      <c r="D1039" s="44"/>
      <c r="E1039" s="44"/>
      <c r="F1039" s="80">
        <v>3301.3913727228128</v>
      </c>
      <c r="G1039" s="60"/>
      <c r="H1039" s="79">
        <v>0</v>
      </c>
      <c r="I1039" s="76">
        <v>0</v>
      </c>
      <c r="J1039" s="79">
        <v>0</v>
      </c>
      <c r="K1039" s="79">
        <v>0</v>
      </c>
      <c r="L1039" s="112">
        <v>0</v>
      </c>
      <c r="M1039" s="79">
        <v>0</v>
      </c>
      <c r="N1039" s="79">
        <v>0</v>
      </c>
      <c r="O1039" s="79">
        <v>0</v>
      </c>
      <c r="P1039" s="79">
        <v>0</v>
      </c>
      <c r="Q1039" s="60"/>
      <c r="R1039" s="60"/>
      <c r="S1039" s="60"/>
      <c r="T1039" s="79">
        <v>0</v>
      </c>
      <c r="U1039" s="79">
        <v>3190.2719496980626</v>
      </c>
      <c r="V1039" s="79">
        <v>111.11942302474998</v>
      </c>
      <c r="W1039" s="79">
        <v>0</v>
      </c>
      <c r="AA1039" s="166">
        <f>SUM(G1039:Z1039)</f>
        <v>3301.3913727228128</v>
      </c>
      <c r="AB1039" s="163" t="str">
        <f t="shared" si="531"/>
        <v>ok</v>
      </c>
    </row>
    <row r="1040" spans="1:28" s="164" customFormat="1">
      <c r="A1040" s="60" t="s">
        <v>1265</v>
      </c>
      <c r="B1040" s="60"/>
      <c r="C1040" s="60"/>
      <c r="D1040" s="44"/>
      <c r="E1040" s="44" t="s">
        <v>1427</v>
      </c>
      <c r="F1040" s="80">
        <f>F1038-F1039</f>
        <v>25718409.491791952</v>
      </c>
      <c r="G1040" s="76">
        <f t="shared" ref="G1040:Z1040" si="532">IF(VLOOKUP($E1040,$D$6:$AN$1150,3,)=0,0,(VLOOKUP($E1040,$D$6:$AN$1150,G$2,)/VLOOKUP($E1040,$D$6:$AN$1150,3,))*$F1040)</f>
        <v>11262714.804148018</v>
      </c>
      <c r="H1040" s="76">
        <f t="shared" si="532"/>
        <v>4288.7470632124941</v>
      </c>
      <c r="I1040" s="76">
        <f t="shared" si="532"/>
        <v>3146706.9340741895</v>
      </c>
      <c r="J1040" s="76">
        <f t="shared" si="532"/>
        <v>213234.19130704639</v>
      </c>
      <c r="K1040" s="76">
        <f t="shared" si="532"/>
        <v>3508140.8785352628</v>
      </c>
      <c r="L1040" s="76">
        <f t="shared" si="532"/>
        <v>3166692.1215069289</v>
      </c>
      <c r="M1040" s="76">
        <f t="shared" si="532"/>
        <v>2694179.0280796029</v>
      </c>
      <c r="N1040" s="76">
        <f t="shared" si="532"/>
        <v>1530706.3084841396</v>
      </c>
      <c r="O1040" s="76">
        <f t="shared" si="532"/>
        <v>90864.417782656077</v>
      </c>
      <c r="P1040" s="76">
        <f t="shared" si="532"/>
        <v>93126.605398888205</v>
      </c>
      <c r="Q1040" s="76">
        <f t="shared" si="532"/>
        <v>3243.6015659078507</v>
      </c>
      <c r="R1040" s="76">
        <f t="shared" si="532"/>
        <v>4466.8921320723975</v>
      </c>
      <c r="S1040" s="76">
        <f t="shared" si="532"/>
        <v>4.4004915963093412</v>
      </c>
      <c r="T1040" s="76">
        <f t="shared" si="532"/>
        <v>40.561222427658819</v>
      </c>
      <c r="U1040" s="76">
        <f t="shared" si="532"/>
        <v>0</v>
      </c>
      <c r="V1040" s="76">
        <f t="shared" si="532"/>
        <v>0</v>
      </c>
      <c r="W1040" s="76">
        <f t="shared" si="532"/>
        <v>0</v>
      </c>
      <c r="X1040" s="161">
        <f t="shared" si="532"/>
        <v>0</v>
      </c>
      <c r="Y1040" s="161">
        <f t="shared" si="532"/>
        <v>0</v>
      </c>
      <c r="Z1040" s="161">
        <f t="shared" si="532"/>
        <v>0</v>
      </c>
      <c r="AA1040" s="166">
        <f>SUM(G1040:Z1040)</f>
        <v>25718409.491791952</v>
      </c>
      <c r="AB1040" s="163" t="str">
        <f t="shared" si="531"/>
        <v>ok</v>
      </c>
    </row>
    <row r="1041" spans="1:28" s="164" customFormat="1">
      <c r="A1041" s="60" t="s">
        <v>1266</v>
      </c>
      <c r="B1041" s="60"/>
      <c r="C1041" s="60"/>
      <c r="D1041" s="44" t="s">
        <v>1428</v>
      </c>
      <c r="E1041" s="44"/>
      <c r="F1041" s="80">
        <f t="shared" ref="F1041:N1041" si="533">F1039+F1040</f>
        <v>25721710.883164674</v>
      </c>
      <c r="G1041" s="80">
        <f t="shared" si="533"/>
        <v>11262714.804148018</v>
      </c>
      <c r="H1041" s="80">
        <f t="shared" si="533"/>
        <v>4288.7470632124941</v>
      </c>
      <c r="I1041" s="80">
        <f t="shared" si="533"/>
        <v>3146706.9340741895</v>
      </c>
      <c r="J1041" s="80">
        <f t="shared" si="533"/>
        <v>213234.19130704639</v>
      </c>
      <c r="K1041" s="80">
        <f t="shared" si="533"/>
        <v>3508140.8785352628</v>
      </c>
      <c r="L1041" s="80">
        <f t="shared" si="533"/>
        <v>3166692.1215069289</v>
      </c>
      <c r="M1041" s="80">
        <f t="shared" si="533"/>
        <v>2694179.0280796029</v>
      </c>
      <c r="N1041" s="80">
        <f t="shared" si="533"/>
        <v>1530706.3084841396</v>
      </c>
      <c r="O1041" s="80">
        <f>O1039+O1040</f>
        <v>90864.417782656077</v>
      </c>
      <c r="P1041" s="80">
        <f t="shared" ref="P1041:Z1041" si="534">P1039+P1040</f>
        <v>93126.605398888205</v>
      </c>
      <c r="Q1041" s="80">
        <f t="shared" si="534"/>
        <v>3243.6015659078507</v>
      </c>
      <c r="R1041" s="80">
        <f t="shared" si="534"/>
        <v>4466.8921320723975</v>
      </c>
      <c r="S1041" s="80">
        <f t="shared" si="534"/>
        <v>4.4004915963093412</v>
      </c>
      <c r="T1041" s="80">
        <f t="shared" si="534"/>
        <v>40.561222427658819</v>
      </c>
      <c r="U1041" s="80">
        <f t="shared" si="534"/>
        <v>3190.2719496980626</v>
      </c>
      <c r="V1041" s="80">
        <f t="shared" si="534"/>
        <v>111.11942302474998</v>
      </c>
      <c r="W1041" s="80">
        <f t="shared" si="534"/>
        <v>0</v>
      </c>
      <c r="X1041" s="166">
        <f t="shared" si="534"/>
        <v>0</v>
      </c>
      <c r="Y1041" s="166">
        <f t="shared" si="534"/>
        <v>0</v>
      </c>
      <c r="Z1041" s="166">
        <f t="shared" si="534"/>
        <v>0</v>
      </c>
      <c r="AA1041" s="166">
        <f>SUM(G1041:Z1041)</f>
        <v>25721710.883164674</v>
      </c>
      <c r="AB1041" s="163" t="str">
        <f t="shared" si="531"/>
        <v>ok</v>
      </c>
    </row>
    <row r="1042" spans="1:28" s="164" customFormat="1">
      <c r="A1042" s="60" t="s">
        <v>1267</v>
      </c>
      <c r="B1042" s="60"/>
      <c r="C1042" s="60"/>
      <c r="D1042" s="44" t="s">
        <v>1429</v>
      </c>
      <c r="E1042" s="44" t="s">
        <v>1428</v>
      </c>
      <c r="F1042" s="110">
        <v>1</v>
      </c>
      <c r="G1042" s="83">
        <f t="shared" ref="G1042:Z1042" si="535">IF(VLOOKUP($E1042,$D$6:$AN$1150,3,)=0,0,(VLOOKUP($E1042,$D$6:$AN$1150,G$2,)/VLOOKUP($E1042,$D$6:$AN$1150,3,))*$F1042)</f>
        <v>0.43786802733715779</v>
      </c>
      <c r="H1042" s="83">
        <f t="shared" si="535"/>
        <v>1.6673646176544021E-4</v>
      </c>
      <c r="I1042" s="83">
        <f t="shared" si="535"/>
        <v>0.12233661082528403</v>
      </c>
      <c r="J1042" s="83">
        <f t="shared" si="535"/>
        <v>8.2900469675449163E-3</v>
      </c>
      <c r="K1042" s="83">
        <f t="shared" si="535"/>
        <v>0.13638831780942709</v>
      </c>
      <c r="L1042" s="83">
        <f t="shared" si="535"/>
        <v>0.12311358820145928</v>
      </c>
      <c r="M1042" s="83">
        <f t="shared" si="535"/>
        <v>0.10474338352986433</v>
      </c>
      <c r="N1042" s="83">
        <f t="shared" si="535"/>
        <v>5.9510283566946341E-2</v>
      </c>
      <c r="O1042" s="83">
        <f t="shared" si="535"/>
        <v>3.532596186753988E-3</v>
      </c>
      <c r="P1042" s="83">
        <f t="shared" si="535"/>
        <v>3.620544753881098E-3</v>
      </c>
      <c r="Q1042" s="83">
        <f t="shared" si="535"/>
        <v>1.2610364763997276E-4</v>
      </c>
      <c r="R1042" s="83">
        <f t="shared" si="535"/>
        <v>1.7366232566574954E-4</v>
      </c>
      <c r="S1042" s="83">
        <f t="shared" si="535"/>
        <v>1.7108082803269291E-7</v>
      </c>
      <c r="T1042" s="83">
        <f t="shared" si="535"/>
        <v>1.5769255245850257E-6</v>
      </c>
      <c r="U1042" s="83">
        <f t="shared" si="535"/>
        <v>1.2403031680859741E-4</v>
      </c>
      <c r="V1042" s="83">
        <f t="shared" si="535"/>
        <v>4.3200634487140453E-6</v>
      </c>
      <c r="W1042" s="83">
        <f t="shared" si="535"/>
        <v>0</v>
      </c>
      <c r="X1042" s="161">
        <f t="shared" si="535"/>
        <v>0</v>
      </c>
      <c r="Y1042" s="161">
        <f t="shared" si="535"/>
        <v>0</v>
      </c>
      <c r="Z1042" s="161">
        <f t="shared" si="535"/>
        <v>0</v>
      </c>
      <c r="AA1042" s="167">
        <f>SUM(G1042:Z1042)</f>
        <v>0.99999999999999989</v>
      </c>
      <c r="AB1042" s="163" t="str">
        <f t="shared" si="531"/>
        <v>ok</v>
      </c>
    </row>
    <row r="1043" spans="1:28" s="164" customFormat="1">
      <c r="A1043" s="60"/>
      <c r="B1043" s="60"/>
      <c r="C1043" s="60"/>
      <c r="D1043" s="44"/>
      <c r="E1043" s="44"/>
      <c r="F1043" s="110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161"/>
      <c r="Y1043" s="161"/>
      <c r="Z1043" s="161"/>
      <c r="AA1043" s="167"/>
      <c r="AB1043" s="163"/>
    </row>
    <row r="1044" spans="1:28" s="164" customFormat="1">
      <c r="A1044" s="60" t="s">
        <v>1325</v>
      </c>
      <c r="B1044" s="60"/>
      <c r="C1044" s="60"/>
      <c r="D1044" s="44" t="s">
        <v>1430</v>
      </c>
      <c r="E1044" s="44"/>
      <c r="F1044" s="79">
        <f>F1037</f>
        <v>13356557.409255272</v>
      </c>
      <c r="G1044" s="79">
        <f t="shared" ref="G1044:U1044" si="536">G1037</f>
        <v>5849160.1867402587</v>
      </c>
      <c r="H1044" s="79">
        <f t="shared" si="536"/>
        <v>2227.3110000000001</v>
      </c>
      <c r="I1044" s="79">
        <f t="shared" si="536"/>
        <v>1634205.716666779</v>
      </c>
      <c r="J1044" s="79">
        <f t="shared" si="536"/>
        <v>110740.70185862978</v>
      </c>
      <c r="K1044" s="79">
        <f t="shared" si="536"/>
        <v>1821912.2399021527</v>
      </c>
      <c r="L1044" s="79">
        <f t="shared" si="536"/>
        <v>1644584.7917555904</v>
      </c>
      <c r="M1044" s="79">
        <f t="shared" si="536"/>
        <v>1399190.6020020954</v>
      </c>
      <c r="N1044" s="79">
        <f t="shared" si="536"/>
        <v>794954.55162196734</v>
      </c>
      <c r="O1044" s="79">
        <f t="shared" si="536"/>
        <v>47189.380547033208</v>
      </c>
      <c r="P1044" s="79">
        <f t="shared" si="536"/>
        <v>48364.221424201525</v>
      </c>
      <c r="Q1044" s="79">
        <f t="shared" si="536"/>
        <v>1684.5268188775508</v>
      </c>
      <c r="R1044" s="79">
        <f t="shared" si="536"/>
        <v>2319.828573458904</v>
      </c>
      <c r="S1044" s="79">
        <f t="shared" si="536"/>
        <v>2.2853442260420227</v>
      </c>
      <c r="T1044" s="79">
        <f t="shared" si="536"/>
        <v>21.065000000000001</v>
      </c>
      <c r="U1044" s="79">
        <f t="shared" si="536"/>
        <v>0</v>
      </c>
      <c r="V1044" s="79">
        <f>V1025</f>
        <v>0</v>
      </c>
      <c r="W1044" s="79">
        <f>W1025</f>
        <v>0</v>
      </c>
      <c r="X1044" s="160">
        <f>X1025</f>
        <v>0</v>
      </c>
      <c r="Y1044" s="160">
        <f>Y1025</f>
        <v>0</v>
      </c>
      <c r="Z1044" s="160">
        <f>Z1025</f>
        <v>0</v>
      </c>
      <c r="AA1044" s="160">
        <f>SUM(G1044:Z1044)</f>
        <v>13356557.409255272</v>
      </c>
      <c r="AB1044" s="163" t="str">
        <f t="shared" ref="AB1044:AB1049" si="537">IF(ABS(F1044-AA1044)&lt;0.01,"ok","err")</f>
        <v>ok</v>
      </c>
    </row>
    <row r="1045" spans="1:28" s="164" customFormat="1">
      <c r="A1045" s="60" t="s">
        <v>1326</v>
      </c>
      <c r="B1045" s="60"/>
      <c r="C1045" s="60"/>
      <c r="D1045" s="44"/>
      <c r="E1045" s="44"/>
      <c r="F1045" s="80">
        <f>'Functional Assignment'!H600</f>
        <v>-557121.68574702344</v>
      </c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AA1045" s="166">
        <f>F1045</f>
        <v>-557121.68574702344</v>
      </c>
      <c r="AB1045" s="163" t="str">
        <f t="shared" si="537"/>
        <v>ok</v>
      </c>
    </row>
    <row r="1046" spans="1:28" s="164" customFormat="1">
      <c r="A1046" s="60" t="s">
        <v>152</v>
      </c>
      <c r="B1046" s="60"/>
      <c r="C1046" s="60"/>
      <c r="D1046" s="44"/>
      <c r="E1046" s="44"/>
      <c r="F1046" s="80">
        <v>-14127</v>
      </c>
      <c r="G1046" s="60"/>
      <c r="H1046" s="79">
        <v>0</v>
      </c>
      <c r="I1046" s="76">
        <v>0</v>
      </c>
      <c r="J1046" s="79">
        <v>0</v>
      </c>
      <c r="K1046" s="79">
        <v>0</v>
      </c>
      <c r="L1046" s="112">
        <v>0</v>
      </c>
      <c r="M1046" s="79">
        <v>0</v>
      </c>
      <c r="N1046" s="79">
        <v>0</v>
      </c>
      <c r="O1046" s="79">
        <v>0</v>
      </c>
      <c r="P1046" s="79">
        <v>0</v>
      </c>
      <c r="Q1046" s="60"/>
      <c r="R1046" s="60"/>
      <c r="S1046" s="60"/>
      <c r="T1046" s="79">
        <f>T1011/($T$1011+$U$1011)*(-16140+2013)</f>
        <v>0</v>
      </c>
      <c r="U1046" s="79">
        <f>U1011/($U$1011+$V$1011)*(-16140+2013)</f>
        <v>-13727.717595343111</v>
      </c>
      <c r="V1046" s="79">
        <f>V1011/($U$1011+$V$1011)*(-16140+2013)</f>
        <v>-399.28240465688896</v>
      </c>
      <c r="W1046" s="79">
        <v>0</v>
      </c>
      <c r="AA1046" s="166">
        <f>SUM(G1046:Z1046)</f>
        <v>-14127</v>
      </c>
      <c r="AB1046" s="163" t="str">
        <f t="shared" si="537"/>
        <v>ok</v>
      </c>
    </row>
    <row r="1047" spans="1:28" s="164" customFormat="1">
      <c r="A1047" s="60" t="s">
        <v>1327</v>
      </c>
      <c r="B1047" s="60"/>
      <c r="C1047" s="60"/>
      <c r="D1047" s="44"/>
      <c r="E1047" s="44" t="s">
        <v>1430</v>
      </c>
      <c r="F1047" s="80">
        <f>F1045-F1046</f>
        <v>-542994.68574702344</v>
      </c>
      <c r="G1047" s="76">
        <f t="shared" ref="G1047:Z1047" si="538">IF(VLOOKUP($E1047,$D$6:$AN$1150,3,)=0,0,(VLOOKUP($E1047,$D$6:$AN$1150,G$2,)/VLOOKUP($E1047,$D$6:$AN$1150,3,))*$F1047)</f>
        <v>-237790.53240786519</v>
      </c>
      <c r="H1047" s="76">
        <f t="shared" si="538"/>
        <v>-90.548634610579853</v>
      </c>
      <c r="I1047" s="76">
        <f t="shared" si="538"/>
        <v>-66436.656720584113</v>
      </c>
      <c r="J1047" s="76">
        <f t="shared" si="538"/>
        <v>-4502.0292851407939</v>
      </c>
      <c r="K1047" s="76">
        <f t="shared" si="538"/>
        <v>-74067.638378045594</v>
      </c>
      <c r="L1047" s="76">
        <f t="shared" si="538"/>
        <v>-66858.605464074615</v>
      </c>
      <c r="M1047" s="76">
        <f t="shared" si="538"/>
        <v>-56882.401501741326</v>
      </c>
      <c r="N1047" s="76">
        <f t="shared" si="538"/>
        <v>-32317.915740924753</v>
      </c>
      <c r="O1047" s="76">
        <f t="shared" si="538"/>
        <v>-1918.4271871565822</v>
      </c>
      <c r="P1047" s="76">
        <f t="shared" si="538"/>
        <v>-1966.1889219624925</v>
      </c>
      <c r="Q1047" s="76">
        <f t="shared" si="538"/>
        <v>-68.48240026393519</v>
      </c>
      <c r="R1047" s="76">
        <f t="shared" si="538"/>
        <v>-94.309824652827089</v>
      </c>
      <c r="S1047" s="76">
        <f t="shared" si="538"/>
        <v>-9.2907905219916528E-2</v>
      </c>
      <c r="T1047" s="76">
        <f t="shared" si="538"/>
        <v>-0.8563720953525864</v>
      </c>
      <c r="U1047" s="76">
        <f t="shared" si="538"/>
        <v>0</v>
      </c>
      <c r="V1047" s="76">
        <f t="shared" si="538"/>
        <v>0</v>
      </c>
      <c r="W1047" s="76">
        <f t="shared" si="538"/>
        <v>0</v>
      </c>
      <c r="X1047" s="161">
        <f t="shared" si="538"/>
        <v>0</v>
      </c>
      <c r="Y1047" s="161">
        <f t="shared" si="538"/>
        <v>0</v>
      </c>
      <c r="Z1047" s="161">
        <f t="shared" si="538"/>
        <v>0</v>
      </c>
      <c r="AA1047" s="166">
        <f>SUM(G1047:Z1047)</f>
        <v>-542994.68574702332</v>
      </c>
      <c r="AB1047" s="163" t="str">
        <f t="shared" si="537"/>
        <v>ok</v>
      </c>
    </row>
    <row r="1048" spans="1:28" s="164" customFormat="1">
      <c r="A1048" s="60" t="s">
        <v>1328</v>
      </c>
      <c r="B1048" s="60"/>
      <c r="C1048" s="60"/>
      <c r="D1048" s="44" t="s">
        <v>1431</v>
      </c>
      <c r="E1048" s="44"/>
      <c r="F1048" s="80">
        <f t="shared" ref="F1048:N1048" si="539">F1046+F1047</f>
        <v>-557121.68574702344</v>
      </c>
      <c r="G1048" s="80">
        <f t="shared" si="539"/>
        <v>-237790.53240786519</v>
      </c>
      <c r="H1048" s="80">
        <f t="shared" si="539"/>
        <v>-90.548634610579853</v>
      </c>
      <c r="I1048" s="80">
        <f t="shared" si="539"/>
        <v>-66436.656720584113</v>
      </c>
      <c r="J1048" s="80">
        <f t="shared" si="539"/>
        <v>-4502.0292851407939</v>
      </c>
      <c r="K1048" s="80">
        <f t="shared" si="539"/>
        <v>-74067.638378045594</v>
      </c>
      <c r="L1048" s="80">
        <f t="shared" si="539"/>
        <v>-66858.605464074615</v>
      </c>
      <c r="M1048" s="80">
        <f t="shared" si="539"/>
        <v>-56882.401501741326</v>
      </c>
      <c r="N1048" s="80">
        <f t="shared" si="539"/>
        <v>-32317.915740924753</v>
      </c>
      <c r="O1048" s="80">
        <f>O1046+O1047</f>
        <v>-1918.4271871565822</v>
      </c>
      <c r="P1048" s="80">
        <f t="shared" ref="P1048:Z1048" si="540">P1046+P1047</f>
        <v>-1966.1889219624925</v>
      </c>
      <c r="Q1048" s="80">
        <f t="shared" si="540"/>
        <v>-68.48240026393519</v>
      </c>
      <c r="R1048" s="80">
        <f t="shared" si="540"/>
        <v>-94.309824652827089</v>
      </c>
      <c r="S1048" s="80">
        <f t="shared" si="540"/>
        <v>-9.2907905219916528E-2</v>
      </c>
      <c r="T1048" s="80">
        <f t="shared" si="540"/>
        <v>-0.8563720953525864</v>
      </c>
      <c r="U1048" s="80">
        <f t="shared" si="540"/>
        <v>-13727.717595343111</v>
      </c>
      <c r="V1048" s="80">
        <f t="shared" si="540"/>
        <v>-399.28240465688896</v>
      </c>
      <c r="W1048" s="80">
        <f t="shared" si="540"/>
        <v>0</v>
      </c>
      <c r="X1048" s="166">
        <f t="shared" si="540"/>
        <v>0</v>
      </c>
      <c r="Y1048" s="166">
        <f t="shared" si="540"/>
        <v>0</v>
      </c>
      <c r="Z1048" s="166">
        <f t="shared" si="540"/>
        <v>0</v>
      </c>
      <c r="AA1048" s="166">
        <f>SUM(G1048:Z1048)</f>
        <v>-557121.68574702332</v>
      </c>
      <c r="AB1048" s="163" t="str">
        <f t="shared" si="537"/>
        <v>ok</v>
      </c>
    </row>
    <row r="1049" spans="1:28" s="164" customFormat="1">
      <c r="A1049" s="60" t="s">
        <v>1329</v>
      </c>
      <c r="B1049" s="60"/>
      <c r="C1049" s="60"/>
      <c r="D1049" s="44" t="s">
        <v>1432</v>
      </c>
      <c r="E1049" s="44" t="s">
        <v>1431</v>
      </c>
      <c r="F1049" s="110">
        <v>1</v>
      </c>
      <c r="G1049" s="83">
        <f t="shared" ref="G1049:Z1049" si="541">IF(VLOOKUP($E1049,$D$6:$AN$1150,3,)=0,0,(VLOOKUP($E1049,$D$6:$AN$1150,G$2,)/VLOOKUP($E1049,$D$6:$AN$1150,3,))*$F1049)</f>
        <v>0.42681973883142038</v>
      </c>
      <c r="H1049" s="83">
        <f t="shared" si="541"/>
        <v>1.6252936643305601E-4</v>
      </c>
      <c r="I1049" s="83">
        <f t="shared" si="541"/>
        <v>0.11924981277923459</v>
      </c>
      <c r="J1049" s="83">
        <f t="shared" si="541"/>
        <v>8.0808724562645463E-3</v>
      </c>
      <c r="K1049" s="83">
        <f t="shared" si="541"/>
        <v>0.13294696701445233</v>
      </c>
      <c r="L1049" s="83">
        <f t="shared" si="541"/>
        <v>0.12000718545792458</v>
      </c>
      <c r="M1049" s="83">
        <f t="shared" si="541"/>
        <v>0.10210049789296904</v>
      </c>
      <c r="N1049" s="83">
        <f t="shared" si="541"/>
        <v>5.8008719760371343E-2</v>
      </c>
      <c r="O1049" s="83">
        <f t="shared" si="541"/>
        <v>3.4434617000848487E-3</v>
      </c>
      <c r="P1049" s="83">
        <f t="shared" si="541"/>
        <v>3.5291911484761252E-3</v>
      </c>
      <c r="Q1049" s="83">
        <f t="shared" si="541"/>
        <v>1.2292179970002374E-4</v>
      </c>
      <c r="R1049" s="83">
        <f t="shared" si="541"/>
        <v>1.6928047689683916E-4</v>
      </c>
      <c r="S1049" s="83">
        <f t="shared" si="541"/>
        <v>1.6676411562644491E-7</v>
      </c>
      <c r="T1049" s="83">
        <f t="shared" si="541"/>
        <v>1.5371365309614709E-6</v>
      </c>
      <c r="U1049" s="83">
        <f t="shared" si="541"/>
        <v>2.4640429454718015E-2</v>
      </c>
      <c r="V1049" s="83">
        <f t="shared" si="541"/>
        <v>7.1668796040761946E-4</v>
      </c>
      <c r="W1049" s="83">
        <f t="shared" si="541"/>
        <v>0</v>
      </c>
      <c r="X1049" s="161">
        <f t="shared" si="541"/>
        <v>0</v>
      </c>
      <c r="Y1049" s="161">
        <f t="shared" si="541"/>
        <v>0</v>
      </c>
      <c r="Z1049" s="161">
        <f t="shared" si="541"/>
        <v>0</v>
      </c>
      <c r="AA1049" s="167">
        <f>SUM(G1049:Z1049)</f>
        <v>0.99999999999999978</v>
      </c>
      <c r="AB1049" s="163" t="str">
        <f t="shared" si="537"/>
        <v>ok</v>
      </c>
    </row>
    <row r="1050" spans="1:28" s="164" customFormat="1">
      <c r="A1050" s="60"/>
      <c r="B1050" s="60"/>
      <c r="C1050" s="60"/>
      <c r="D1050" s="60"/>
      <c r="E1050" s="60"/>
      <c r="F1050" s="110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161"/>
      <c r="Y1050" s="161"/>
      <c r="Z1050" s="161"/>
      <c r="AA1050" s="167"/>
      <c r="AB1050" s="163"/>
    </row>
    <row r="1051" spans="1:28" s="164" customFormat="1" ht="14.1">
      <c r="A1051" s="218" t="s">
        <v>1356</v>
      </c>
      <c r="B1051" s="60"/>
      <c r="C1051" s="60"/>
      <c r="D1051" s="60"/>
      <c r="E1051" s="60"/>
      <c r="F1051" s="110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161"/>
      <c r="Y1051" s="161"/>
      <c r="Z1051" s="161"/>
      <c r="AA1051" s="167"/>
      <c r="AB1051" s="163"/>
    </row>
    <row r="1052" spans="1:28" s="164" customFormat="1">
      <c r="A1052" s="60" t="s">
        <v>1274</v>
      </c>
      <c r="B1052" s="60"/>
      <c r="C1052" s="60"/>
      <c r="D1052" s="60" t="s">
        <v>1279</v>
      </c>
      <c r="E1052" s="60"/>
      <c r="F1052" s="79">
        <f>Meters!G42</f>
        <v>38550020.395773493</v>
      </c>
      <c r="G1052" s="79">
        <f>Meters!$G10</f>
        <v>26285839.22337449</v>
      </c>
      <c r="H1052" s="79">
        <f>Meters!$G12</f>
        <v>64882.577531049996</v>
      </c>
      <c r="I1052" s="79">
        <f>Meters!$G14</f>
        <v>8187269.3747446639</v>
      </c>
      <c r="J1052" s="79">
        <f>Meters!$G16</f>
        <v>267611.02627090533</v>
      </c>
      <c r="K1052" s="79">
        <f>Meters!$G18</f>
        <v>2289549.7684639604</v>
      </c>
      <c r="L1052" s="79">
        <f>Meters!$G20</f>
        <v>534525.43351125007</v>
      </c>
      <c r="M1052" s="79">
        <f>Meters!$G22</f>
        <v>452629.81202564127</v>
      </c>
      <c r="N1052" s="79">
        <f>Meters!$G24</f>
        <v>377746.13303369086</v>
      </c>
      <c r="O1052" s="79">
        <f>Meters!$G26</f>
        <v>8123.8250845938655</v>
      </c>
      <c r="P1052" s="79">
        <f>Meters!$G28</f>
        <v>0</v>
      </c>
      <c r="Q1052" s="79">
        <f>Meters!$G30</f>
        <v>11235.380459799999</v>
      </c>
      <c r="R1052" s="79">
        <f>Meters!$G32</f>
        <v>69784.971799999999</v>
      </c>
      <c r="S1052" s="79">
        <f>Meters!$G34</f>
        <v>822.86947344050952</v>
      </c>
      <c r="T1052" s="79">
        <f>Meters!$G36</f>
        <v>0</v>
      </c>
      <c r="U1052" s="79">
        <f>Meters!$G38</f>
        <v>0</v>
      </c>
      <c r="V1052" s="79">
        <f>Meters!$G40</f>
        <v>0</v>
      </c>
      <c r="W1052" s="79">
        <f>W1038</f>
        <v>0</v>
      </c>
      <c r="X1052" s="160">
        <f>X1038</f>
        <v>0</v>
      </c>
      <c r="Y1052" s="160">
        <f>Y1038</f>
        <v>0</v>
      </c>
      <c r="Z1052" s="160">
        <f>Z1038</f>
        <v>0</v>
      </c>
      <c r="AA1052" s="160">
        <f>SUM(G1052:Z1052)</f>
        <v>38550020.395773493</v>
      </c>
      <c r="AB1052" s="163" t="str">
        <f t="shared" ref="AB1052:AB1057" si="542">IF(ABS(F1052-AA1052)&lt;0.01,"ok","err")</f>
        <v>ok</v>
      </c>
    </row>
    <row r="1053" spans="1:28" s="164" customFormat="1">
      <c r="A1053" s="60" t="s">
        <v>1275</v>
      </c>
      <c r="B1053" s="60"/>
      <c r="C1053" s="60"/>
      <c r="D1053" s="60"/>
      <c r="E1053" s="60"/>
      <c r="F1053" s="80">
        <f>F46</f>
        <v>44815612.309450604</v>
      </c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AA1053" s="166">
        <f>F1053</f>
        <v>44815612.309450604</v>
      </c>
      <c r="AB1053" s="163" t="str">
        <f t="shared" si="542"/>
        <v>ok</v>
      </c>
    </row>
    <row r="1054" spans="1:28" s="164" customFormat="1">
      <c r="A1054" s="60" t="s">
        <v>152</v>
      </c>
      <c r="B1054" s="60"/>
      <c r="C1054" s="60"/>
      <c r="D1054" s="60"/>
      <c r="E1054" s="60"/>
      <c r="F1054" s="80">
        <v>183387.58000000005</v>
      </c>
      <c r="G1054" s="60"/>
      <c r="H1054" s="79">
        <v>0</v>
      </c>
      <c r="I1054" s="76">
        <v>0</v>
      </c>
      <c r="J1054" s="79">
        <v>0</v>
      </c>
      <c r="K1054" s="79">
        <v>0</v>
      </c>
      <c r="L1054" s="112">
        <v>0</v>
      </c>
      <c r="M1054" s="79">
        <v>0</v>
      </c>
      <c r="N1054" s="79">
        <v>0</v>
      </c>
      <c r="O1054" s="79">
        <v>0</v>
      </c>
      <c r="P1054" s="79">
        <v>0</v>
      </c>
      <c r="Q1054" s="60"/>
      <c r="R1054" s="60"/>
      <c r="S1054" s="395"/>
      <c r="T1054" s="395">
        <v>183387.58000000005</v>
      </c>
      <c r="U1054" s="375"/>
      <c r="V1054" s="79">
        <v>0</v>
      </c>
      <c r="W1054" s="79">
        <v>0</v>
      </c>
      <c r="AA1054" s="166">
        <f>SUM(G1054:Z1054)</f>
        <v>183387.58000000005</v>
      </c>
      <c r="AB1054" s="163" t="str">
        <f t="shared" si="542"/>
        <v>ok</v>
      </c>
    </row>
    <row r="1055" spans="1:28" s="164" customFormat="1">
      <c r="A1055" s="60" t="s">
        <v>1276</v>
      </c>
      <c r="B1055" s="60"/>
      <c r="C1055" s="60"/>
      <c r="D1055" s="60"/>
      <c r="E1055" s="60" t="s">
        <v>1279</v>
      </c>
      <c r="F1055" s="80">
        <f>F1053-F1054</f>
        <v>44632224.729450606</v>
      </c>
      <c r="G1055" s="76">
        <f t="shared" ref="G1055:Z1055" si="543">IF(VLOOKUP($E1055,$D$6:$AN$1150,3,)=0,0,(VLOOKUP($E1055,$D$6:$AN$1150,G$2,)/VLOOKUP($E1055,$D$6:$AN$1150,3,))*$F1055)</f>
        <v>30433070.368712001</v>
      </c>
      <c r="H1055" s="76">
        <f t="shared" si="543"/>
        <v>75119.383898155313</v>
      </c>
      <c r="I1055" s="76">
        <f t="shared" si="543"/>
        <v>9479010.4623191208</v>
      </c>
      <c r="J1055" s="76">
        <f t="shared" si="543"/>
        <v>309833.18146081886</v>
      </c>
      <c r="K1055" s="76">
        <f t="shared" si="543"/>
        <v>2650781.9904175363</v>
      </c>
      <c r="L1055" s="76">
        <f t="shared" si="543"/>
        <v>618859.83527771977</v>
      </c>
      <c r="M1055" s="76">
        <f t="shared" si="543"/>
        <v>524043.18550742656</v>
      </c>
      <c r="N1055" s="76">
        <f t="shared" si="543"/>
        <v>437344.78288600536</v>
      </c>
      <c r="O1055" s="76">
        <f t="shared" si="543"/>
        <v>9405.5562906548857</v>
      </c>
      <c r="P1055" s="76">
        <f t="shared" si="543"/>
        <v>0</v>
      </c>
      <c r="Q1055" s="76">
        <f t="shared" si="543"/>
        <v>13008.035286478089</v>
      </c>
      <c r="R1055" s="76">
        <f t="shared" si="543"/>
        <v>80795.250226571981</v>
      </c>
      <c r="S1055" s="76">
        <f t="shared" si="543"/>
        <v>952.69716810910143</v>
      </c>
      <c r="T1055" s="76">
        <f t="shared" si="543"/>
        <v>0</v>
      </c>
      <c r="U1055" s="76">
        <f t="shared" si="543"/>
        <v>0</v>
      </c>
      <c r="V1055" s="76">
        <f t="shared" si="543"/>
        <v>0</v>
      </c>
      <c r="W1055" s="76">
        <f t="shared" si="543"/>
        <v>0</v>
      </c>
      <c r="X1055" s="161">
        <f t="shared" si="543"/>
        <v>0</v>
      </c>
      <c r="Y1055" s="161">
        <f t="shared" si="543"/>
        <v>0</v>
      </c>
      <c r="Z1055" s="161">
        <f t="shared" si="543"/>
        <v>0</v>
      </c>
      <c r="AA1055" s="166">
        <f>SUM(G1055:Z1055)</f>
        <v>44632224.729450606</v>
      </c>
      <c r="AB1055" s="163" t="str">
        <f t="shared" si="542"/>
        <v>ok</v>
      </c>
    </row>
    <row r="1056" spans="1:28" s="164" customFormat="1">
      <c r="A1056" s="60" t="s">
        <v>1277</v>
      </c>
      <c r="B1056" s="60"/>
      <c r="C1056" s="60"/>
      <c r="D1056" s="60" t="s">
        <v>1280</v>
      </c>
      <c r="E1056" s="60"/>
      <c r="F1056" s="80">
        <f t="shared" ref="F1056:N1056" si="544">F1054+F1055</f>
        <v>44815612.309450604</v>
      </c>
      <c r="G1056" s="80">
        <f t="shared" si="544"/>
        <v>30433070.368712001</v>
      </c>
      <c r="H1056" s="80">
        <f t="shared" si="544"/>
        <v>75119.383898155313</v>
      </c>
      <c r="I1056" s="80">
        <f t="shared" si="544"/>
        <v>9479010.4623191208</v>
      </c>
      <c r="J1056" s="80">
        <f t="shared" si="544"/>
        <v>309833.18146081886</v>
      </c>
      <c r="K1056" s="80">
        <f t="shared" si="544"/>
        <v>2650781.9904175363</v>
      </c>
      <c r="L1056" s="80">
        <f t="shared" si="544"/>
        <v>618859.83527771977</v>
      </c>
      <c r="M1056" s="80">
        <f t="shared" si="544"/>
        <v>524043.18550742656</v>
      </c>
      <c r="N1056" s="80">
        <f t="shared" si="544"/>
        <v>437344.78288600536</v>
      </c>
      <c r="O1056" s="80">
        <f>O1054+O1055</f>
        <v>9405.5562906548857</v>
      </c>
      <c r="P1056" s="80">
        <f t="shared" ref="P1056:W1056" si="545">P1054+P1055</f>
        <v>0</v>
      </c>
      <c r="Q1056" s="80">
        <f t="shared" si="545"/>
        <v>13008.035286478089</v>
      </c>
      <c r="R1056" s="80">
        <f t="shared" si="545"/>
        <v>80795.250226571981</v>
      </c>
      <c r="S1056" s="80">
        <f t="shared" si="545"/>
        <v>952.69716810910143</v>
      </c>
      <c r="T1056" s="80">
        <f t="shared" si="545"/>
        <v>183387.58000000005</v>
      </c>
      <c r="U1056" s="80">
        <f t="shared" si="545"/>
        <v>0</v>
      </c>
      <c r="V1056" s="80">
        <f t="shared" si="545"/>
        <v>0</v>
      </c>
      <c r="W1056" s="80">
        <f t="shared" si="545"/>
        <v>0</v>
      </c>
      <c r="X1056" s="166">
        <f>X1054+X1055</f>
        <v>0</v>
      </c>
      <c r="Y1056" s="166">
        <f>Y1054+Y1055</f>
        <v>0</v>
      </c>
      <c r="Z1056" s="166">
        <f>Z1054+Z1055</f>
        <v>0</v>
      </c>
      <c r="AA1056" s="166">
        <f>SUM(G1056:Z1056)</f>
        <v>44815612.309450604</v>
      </c>
      <c r="AB1056" s="163" t="str">
        <f t="shared" si="542"/>
        <v>ok</v>
      </c>
    </row>
    <row r="1057" spans="1:28" s="164" customFormat="1">
      <c r="A1057" s="60" t="s">
        <v>1278</v>
      </c>
      <c r="B1057" s="60"/>
      <c r="C1057" s="60"/>
      <c r="D1057" s="60" t="s">
        <v>1281</v>
      </c>
      <c r="E1057" s="60" t="s">
        <v>1280</v>
      </c>
      <c r="F1057" s="110">
        <v>1</v>
      </c>
      <c r="G1057" s="83">
        <f t="shared" ref="G1057:Z1057" si="546">IF(VLOOKUP($E1057,$D$6:$AN$1150,3,)=0,0,(VLOOKUP($E1057,$D$6:$AN$1150,G$2,)/VLOOKUP($E1057,$D$6:$AN$1150,3,))*$F1057)</f>
        <v>0.67907295695465375</v>
      </c>
      <c r="H1057" s="83">
        <f t="shared" si="546"/>
        <v>1.6761878289078809E-3</v>
      </c>
      <c r="I1057" s="83">
        <f t="shared" si="546"/>
        <v>0.21151134557454682</v>
      </c>
      <c r="J1057" s="83">
        <f t="shared" si="546"/>
        <v>6.9135099465210698E-3</v>
      </c>
      <c r="K1057" s="83">
        <f t="shared" si="546"/>
        <v>5.914862820826719E-2</v>
      </c>
      <c r="L1057" s="83">
        <f t="shared" si="546"/>
        <v>1.3809023315457773E-2</v>
      </c>
      <c r="M1057" s="83">
        <f t="shared" si="546"/>
        <v>1.1693317540524101E-2</v>
      </c>
      <c r="N1057" s="83">
        <f t="shared" si="546"/>
        <v>9.7587595114432737E-3</v>
      </c>
      <c r="O1057" s="83">
        <f t="shared" si="546"/>
        <v>2.0987231471277846E-4</v>
      </c>
      <c r="P1057" s="83">
        <f t="shared" si="546"/>
        <v>0</v>
      </c>
      <c r="Q1057" s="83">
        <f t="shared" si="546"/>
        <v>2.9025677919243754E-4</v>
      </c>
      <c r="R1057" s="83">
        <f t="shared" si="546"/>
        <v>1.8028371378412268E-3</v>
      </c>
      <c r="S1057" s="83">
        <f t="shared" si="546"/>
        <v>2.1258153554407625E-5</v>
      </c>
      <c r="T1057" s="83">
        <f t="shared" si="546"/>
        <v>4.0920467343771565E-3</v>
      </c>
      <c r="U1057" s="83">
        <f t="shared" si="546"/>
        <v>0</v>
      </c>
      <c r="V1057" s="83">
        <f t="shared" si="546"/>
        <v>0</v>
      </c>
      <c r="W1057" s="83">
        <f t="shared" si="546"/>
        <v>0</v>
      </c>
      <c r="X1057" s="167">
        <f t="shared" si="546"/>
        <v>0</v>
      </c>
      <c r="Y1057" s="167">
        <f t="shared" si="546"/>
        <v>0</v>
      </c>
      <c r="Z1057" s="167">
        <f t="shared" si="546"/>
        <v>0</v>
      </c>
      <c r="AA1057" s="167">
        <f>SUM(G1057:Z1057)</f>
        <v>0.99999999999999967</v>
      </c>
      <c r="AB1057" s="163" t="str">
        <f t="shared" si="542"/>
        <v>ok</v>
      </c>
    </row>
    <row r="1058" spans="1:28" s="164" customFormat="1">
      <c r="A1058" s="60"/>
      <c r="B1058" s="60"/>
      <c r="C1058" s="60"/>
      <c r="D1058" s="60"/>
      <c r="E1058" s="60"/>
      <c r="F1058" s="110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167"/>
      <c r="Y1058" s="167"/>
      <c r="Z1058" s="167"/>
      <c r="AA1058" s="167"/>
      <c r="AB1058" s="163"/>
    </row>
    <row r="1059" spans="1:28" s="164" customFormat="1">
      <c r="A1059" s="60" t="s">
        <v>1282</v>
      </c>
      <c r="B1059" s="60"/>
      <c r="C1059" s="60"/>
      <c r="D1059" s="60" t="s">
        <v>1287</v>
      </c>
      <c r="E1059" s="60"/>
      <c r="F1059" s="79">
        <f>F$1052</f>
        <v>38550020.395773493</v>
      </c>
      <c r="G1059" s="79">
        <f t="shared" ref="G1059:U1059" si="547">G$1052</f>
        <v>26285839.22337449</v>
      </c>
      <c r="H1059" s="79">
        <f t="shared" si="547"/>
        <v>64882.577531049996</v>
      </c>
      <c r="I1059" s="79">
        <f t="shared" si="547"/>
        <v>8187269.3747446639</v>
      </c>
      <c r="J1059" s="79">
        <f t="shared" si="547"/>
        <v>267611.02627090533</v>
      </c>
      <c r="K1059" s="79">
        <f t="shared" si="547"/>
        <v>2289549.7684639604</v>
      </c>
      <c r="L1059" s="79">
        <f t="shared" si="547"/>
        <v>534525.43351125007</v>
      </c>
      <c r="M1059" s="79">
        <f t="shared" si="547"/>
        <v>452629.81202564127</v>
      </c>
      <c r="N1059" s="79">
        <f t="shared" si="547"/>
        <v>377746.13303369086</v>
      </c>
      <c r="O1059" s="79">
        <f t="shared" si="547"/>
        <v>8123.8250845938655</v>
      </c>
      <c r="P1059" s="79">
        <f t="shared" si="547"/>
        <v>0</v>
      </c>
      <c r="Q1059" s="79">
        <f t="shared" si="547"/>
        <v>11235.380459799999</v>
      </c>
      <c r="R1059" s="79">
        <f t="shared" si="547"/>
        <v>69784.971799999999</v>
      </c>
      <c r="S1059" s="79">
        <f t="shared" si="547"/>
        <v>822.86947344050952</v>
      </c>
      <c r="T1059" s="79">
        <f t="shared" si="547"/>
        <v>0</v>
      </c>
      <c r="U1059" s="79">
        <f t="shared" si="547"/>
        <v>0</v>
      </c>
      <c r="V1059" s="79">
        <f t="shared" ref="V1059:Z1059" si="548">V1053</f>
        <v>0</v>
      </c>
      <c r="W1059" s="79">
        <f t="shared" si="548"/>
        <v>0</v>
      </c>
      <c r="X1059" s="160">
        <f t="shared" si="548"/>
        <v>0</v>
      </c>
      <c r="Y1059" s="160">
        <f t="shared" si="548"/>
        <v>0</v>
      </c>
      <c r="Z1059" s="160">
        <f t="shared" si="548"/>
        <v>0</v>
      </c>
      <c r="AA1059" s="160">
        <f>SUM(G1059:Z1059)</f>
        <v>38550020.395773493</v>
      </c>
      <c r="AB1059" s="163" t="str">
        <f t="shared" ref="AB1059:AB1064" si="549">IF(ABS(F1059-AA1059)&lt;0.01,"ok","err")</f>
        <v>ok</v>
      </c>
    </row>
    <row r="1060" spans="1:28" s="164" customFormat="1">
      <c r="A1060" s="60" t="s">
        <v>1283</v>
      </c>
      <c r="B1060" s="60"/>
      <c r="C1060" s="60"/>
      <c r="D1060" s="60"/>
      <c r="E1060" s="60"/>
      <c r="F1060" s="80">
        <f>F105</f>
        <v>30149961.984803911</v>
      </c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AA1060" s="166">
        <f>F1060</f>
        <v>30149961.984803911</v>
      </c>
      <c r="AB1060" s="163" t="str">
        <f t="shared" si="549"/>
        <v>ok</v>
      </c>
    </row>
    <row r="1061" spans="1:28" s="164" customFormat="1">
      <c r="A1061" s="60" t="s">
        <v>152</v>
      </c>
      <c r="B1061" s="60"/>
      <c r="C1061" s="60"/>
      <c r="D1061" s="60"/>
      <c r="E1061" s="60"/>
      <c r="F1061" s="80">
        <v>139193.68000000005</v>
      </c>
      <c r="G1061" s="60"/>
      <c r="H1061" s="79">
        <v>0</v>
      </c>
      <c r="I1061" s="76">
        <v>0</v>
      </c>
      <c r="J1061" s="79">
        <v>0</v>
      </c>
      <c r="K1061" s="79">
        <v>0</v>
      </c>
      <c r="L1061" s="112">
        <v>0</v>
      </c>
      <c r="M1061" s="79">
        <v>0</v>
      </c>
      <c r="N1061" s="79">
        <v>0</v>
      </c>
      <c r="O1061" s="79">
        <v>0</v>
      </c>
      <c r="P1061" s="79">
        <v>0</v>
      </c>
      <c r="Q1061" s="60"/>
      <c r="R1061" s="60"/>
      <c r="S1061" s="395"/>
      <c r="T1061" s="395">
        <f>T1054-44193.9</f>
        <v>139193.68000000005</v>
      </c>
      <c r="U1061" s="375"/>
      <c r="V1061" s="79">
        <v>0</v>
      </c>
      <c r="W1061" s="79">
        <v>0</v>
      </c>
      <c r="AA1061" s="166">
        <f>SUM(G1061:Z1061)</f>
        <v>139193.68000000005</v>
      </c>
      <c r="AB1061" s="163" t="str">
        <f t="shared" si="549"/>
        <v>ok</v>
      </c>
    </row>
    <row r="1062" spans="1:28" s="164" customFormat="1">
      <c r="A1062" s="60" t="s">
        <v>1284</v>
      </c>
      <c r="B1062" s="60"/>
      <c r="C1062" s="60"/>
      <c r="D1062" s="60"/>
      <c r="E1062" s="60" t="s">
        <v>1287</v>
      </c>
      <c r="F1062" s="80">
        <f>F1060-F1061</f>
        <v>30010768.304803912</v>
      </c>
      <c r="G1062" s="76">
        <f t="shared" ref="G1062:Z1062" si="550">IF(VLOOKUP($E1062,$D$6:$AN$1150,3,)=0,0,(VLOOKUP($E1062,$D$6:$AN$1150,G$2,)/VLOOKUP($E1062,$D$6:$AN$1150,3,))*$F1062)</f>
        <v>20463237.698221985</v>
      </c>
      <c r="H1062" s="76">
        <f t="shared" si="550"/>
        <v>50510.375385334431</v>
      </c>
      <c r="I1062" s="76">
        <f t="shared" si="550"/>
        <v>6373699.4619441861</v>
      </c>
      <c r="J1062" s="76">
        <f t="shared" si="550"/>
        <v>208332.25048325656</v>
      </c>
      <c r="K1062" s="76">
        <f t="shared" si="550"/>
        <v>1782389.3974183898</v>
      </c>
      <c r="L1062" s="76">
        <f t="shared" si="550"/>
        <v>416122.19068734231</v>
      </c>
      <c r="M1062" s="76">
        <f t="shared" si="550"/>
        <v>352367.34707506798</v>
      </c>
      <c r="N1062" s="76">
        <f t="shared" si="550"/>
        <v>294071.22383137897</v>
      </c>
      <c r="O1062" s="76">
        <f t="shared" si="550"/>
        <v>6324.3087775183194</v>
      </c>
      <c r="P1062" s="76">
        <f t="shared" si="550"/>
        <v>0</v>
      </c>
      <c r="Q1062" s="76">
        <f t="shared" si="550"/>
        <v>8746.6205292162867</v>
      </c>
      <c r="R1062" s="76">
        <f t="shared" si="550"/>
        <v>54326.835585194334</v>
      </c>
      <c r="S1062" s="76">
        <f t="shared" si="550"/>
        <v>640.59486503479536</v>
      </c>
      <c r="T1062" s="76">
        <f t="shared" si="550"/>
        <v>0</v>
      </c>
      <c r="U1062" s="76">
        <f t="shared" si="550"/>
        <v>0</v>
      </c>
      <c r="V1062" s="76">
        <f t="shared" si="550"/>
        <v>0</v>
      </c>
      <c r="W1062" s="76">
        <f t="shared" si="550"/>
        <v>0</v>
      </c>
      <c r="X1062" s="161">
        <f t="shared" si="550"/>
        <v>0</v>
      </c>
      <c r="Y1062" s="161">
        <f t="shared" si="550"/>
        <v>0</v>
      </c>
      <c r="Z1062" s="161">
        <f t="shared" si="550"/>
        <v>0</v>
      </c>
      <c r="AA1062" s="166">
        <f>SUM(G1062:Z1062)</f>
        <v>30010768.304803904</v>
      </c>
      <c r="AB1062" s="163" t="str">
        <f t="shared" si="549"/>
        <v>ok</v>
      </c>
    </row>
    <row r="1063" spans="1:28" s="164" customFormat="1">
      <c r="A1063" s="60" t="s">
        <v>1285</v>
      </c>
      <c r="B1063" s="60"/>
      <c r="C1063" s="60"/>
      <c r="D1063" s="60" t="s">
        <v>1288</v>
      </c>
      <c r="E1063" s="60"/>
      <c r="F1063" s="80">
        <f t="shared" ref="F1063:N1063" si="551">F1061+F1062</f>
        <v>30149961.984803911</v>
      </c>
      <c r="G1063" s="80">
        <f t="shared" si="551"/>
        <v>20463237.698221985</v>
      </c>
      <c r="H1063" s="80">
        <f t="shared" si="551"/>
        <v>50510.375385334431</v>
      </c>
      <c r="I1063" s="80">
        <f t="shared" si="551"/>
        <v>6373699.4619441861</v>
      </c>
      <c r="J1063" s="80">
        <f t="shared" si="551"/>
        <v>208332.25048325656</v>
      </c>
      <c r="K1063" s="80">
        <f t="shared" si="551"/>
        <v>1782389.3974183898</v>
      </c>
      <c r="L1063" s="80">
        <f t="shared" si="551"/>
        <v>416122.19068734231</v>
      </c>
      <c r="M1063" s="80">
        <f t="shared" si="551"/>
        <v>352367.34707506798</v>
      </c>
      <c r="N1063" s="80">
        <f t="shared" si="551"/>
        <v>294071.22383137897</v>
      </c>
      <c r="O1063" s="80">
        <f>O1061+O1062</f>
        <v>6324.3087775183194</v>
      </c>
      <c r="P1063" s="80">
        <f t="shared" ref="P1063:W1063" si="552">P1061+P1062</f>
        <v>0</v>
      </c>
      <c r="Q1063" s="80">
        <f t="shared" si="552"/>
        <v>8746.6205292162867</v>
      </c>
      <c r="R1063" s="80">
        <f t="shared" si="552"/>
        <v>54326.835585194334</v>
      </c>
      <c r="S1063" s="80">
        <f t="shared" si="552"/>
        <v>640.59486503479536</v>
      </c>
      <c r="T1063" s="80">
        <f t="shared" si="552"/>
        <v>139193.68000000005</v>
      </c>
      <c r="U1063" s="80">
        <f t="shared" si="552"/>
        <v>0</v>
      </c>
      <c r="V1063" s="80">
        <f t="shared" si="552"/>
        <v>0</v>
      </c>
      <c r="W1063" s="80">
        <f t="shared" si="552"/>
        <v>0</v>
      </c>
      <c r="X1063" s="166">
        <f>X1061+X1062</f>
        <v>0</v>
      </c>
      <c r="Y1063" s="166">
        <f>Y1061+Y1062</f>
        <v>0</v>
      </c>
      <c r="Z1063" s="166">
        <f>Z1061+Z1062</f>
        <v>0</v>
      </c>
      <c r="AA1063" s="166">
        <f>SUM(G1063:Z1063)</f>
        <v>30149961.984803904</v>
      </c>
      <c r="AB1063" s="163" t="str">
        <f t="shared" si="549"/>
        <v>ok</v>
      </c>
    </row>
    <row r="1064" spans="1:28" s="164" customFormat="1">
      <c r="A1064" s="60" t="s">
        <v>1286</v>
      </c>
      <c r="B1064" s="60"/>
      <c r="C1064" s="60"/>
      <c r="D1064" s="60" t="s">
        <v>1289</v>
      </c>
      <c r="E1064" s="60" t="s">
        <v>1288</v>
      </c>
      <c r="F1064" s="110">
        <v>1</v>
      </c>
      <c r="G1064" s="83">
        <f t="shared" ref="G1064:Z1064" si="553">IF(VLOOKUP($E1064,$D$6:$AN$1150,3,)=0,0,(VLOOKUP($E1064,$D$6:$AN$1150,G$2,)/VLOOKUP($E1064,$D$6:$AN$1150,3,))*$F1064)</f>
        <v>0.67871520728735257</v>
      </c>
      <c r="H1064" s="83">
        <f t="shared" si="553"/>
        <v>1.6753047785198704E-3</v>
      </c>
      <c r="I1064" s="83">
        <f t="shared" si="553"/>
        <v>0.21139991702664959</v>
      </c>
      <c r="J1064" s="83">
        <f t="shared" si="553"/>
        <v>6.9098677666081148E-3</v>
      </c>
      <c r="K1064" s="83">
        <f t="shared" si="553"/>
        <v>5.9117467488574084E-2</v>
      </c>
      <c r="L1064" s="83">
        <f t="shared" si="553"/>
        <v>1.3801748436600845E-2</v>
      </c>
      <c r="M1064" s="83">
        <f t="shared" si="553"/>
        <v>1.1687157259192137E-2</v>
      </c>
      <c r="N1064" s="83">
        <f t="shared" si="553"/>
        <v>9.753618395260193E-3</v>
      </c>
      <c r="O1064" s="83">
        <f t="shared" si="553"/>
        <v>2.0976174964021108E-4</v>
      </c>
      <c r="P1064" s="83">
        <f t="shared" si="553"/>
        <v>0</v>
      </c>
      <c r="Q1064" s="83">
        <f t="shared" si="553"/>
        <v>2.9010386592277397E-4</v>
      </c>
      <c r="R1064" s="83">
        <f t="shared" si="553"/>
        <v>1.801887365979963E-3</v>
      </c>
      <c r="S1064" s="83">
        <f t="shared" si="553"/>
        <v>2.1246954319798678E-5</v>
      </c>
      <c r="T1064" s="83">
        <f t="shared" si="553"/>
        <v>4.6167116253796941E-3</v>
      </c>
      <c r="U1064" s="83">
        <f t="shared" si="553"/>
        <v>0</v>
      </c>
      <c r="V1064" s="83">
        <f t="shared" si="553"/>
        <v>0</v>
      </c>
      <c r="W1064" s="83">
        <f t="shared" si="553"/>
        <v>0</v>
      </c>
      <c r="X1064" s="167">
        <f t="shared" si="553"/>
        <v>0</v>
      </c>
      <c r="Y1064" s="167">
        <f t="shared" si="553"/>
        <v>0</v>
      </c>
      <c r="Z1064" s="167">
        <f t="shared" si="553"/>
        <v>0</v>
      </c>
      <c r="AA1064" s="167">
        <f>SUM(G1064:Z1064)</f>
        <v>0.99999999999999978</v>
      </c>
      <c r="AB1064" s="163" t="str">
        <f t="shared" si="549"/>
        <v>ok</v>
      </c>
    </row>
    <row r="1065" spans="1:28" s="164" customFormat="1">
      <c r="A1065" s="60"/>
      <c r="B1065" s="60"/>
      <c r="C1065" s="60"/>
      <c r="D1065" s="60"/>
      <c r="E1065" s="60"/>
      <c r="F1065" s="110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83"/>
      <c r="X1065" s="167"/>
      <c r="Y1065" s="167"/>
      <c r="Z1065" s="167"/>
      <c r="AA1065" s="167"/>
      <c r="AB1065" s="163"/>
    </row>
    <row r="1066" spans="1:28" s="164" customFormat="1">
      <c r="A1066" s="60" t="s">
        <v>1358</v>
      </c>
      <c r="B1066" s="60"/>
      <c r="C1066" s="60"/>
      <c r="D1066" s="60" t="s">
        <v>1346</v>
      </c>
      <c r="E1066" s="60"/>
      <c r="F1066" s="79">
        <f>F1059</f>
        <v>38550020.395773493</v>
      </c>
      <c r="G1066" s="79">
        <f t="shared" ref="G1066:U1066" si="554">G1059</f>
        <v>26285839.22337449</v>
      </c>
      <c r="H1066" s="79">
        <f t="shared" si="554"/>
        <v>64882.577531049996</v>
      </c>
      <c r="I1066" s="79">
        <f t="shared" si="554"/>
        <v>8187269.3747446639</v>
      </c>
      <c r="J1066" s="79">
        <f t="shared" si="554"/>
        <v>267611.02627090533</v>
      </c>
      <c r="K1066" s="79">
        <f t="shared" si="554"/>
        <v>2289549.7684639604</v>
      </c>
      <c r="L1066" s="79">
        <f t="shared" si="554"/>
        <v>534525.43351125007</v>
      </c>
      <c r="M1066" s="79">
        <f t="shared" si="554"/>
        <v>452629.81202564127</v>
      </c>
      <c r="N1066" s="79">
        <f t="shared" si="554"/>
        <v>377746.13303369086</v>
      </c>
      <c r="O1066" s="79">
        <f t="shared" si="554"/>
        <v>8123.8250845938655</v>
      </c>
      <c r="P1066" s="79">
        <f t="shared" si="554"/>
        <v>0</v>
      </c>
      <c r="Q1066" s="79">
        <f t="shared" si="554"/>
        <v>11235.380459799999</v>
      </c>
      <c r="R1066" s="79">
        <f t="shared" si="554"/>
        <v>69784.971799999999</v>
      </c>
      <c r="S1066" s="79">
        <f t="shared" si="554"/>
        <v>822.86947344050952</v>
      </c>
      <c r="T1066" s="79">
        <f t="shared" si="554"/>
        <v>0</v>
      </c>
      <c r="U1066" s="79">
        <f t="shared" si="554"/>
        <v>0</v>
      </c>
      <c r="V1066" s="79">
        <f t="shared" ref="V1066:Z1066" si="555">V1052</f>
        <v>0</v>
      </c>
      <c r="W1066" s="79">
        <f t="shared" si="555"/>
        <v>0</v>
      </c>
      <c r="X1066" s="160">
        <f t="shared" si="555"/>
        <v>0</v>
      </c>
      <c r="Y1066" s="160">
        <f t="shared" si="555"/>
        <v>0</v>
      </c>
      <c r="Z1066" s="160">
        <f t="shared" si="555"/>
        <v>0</v>
      </c>
      <c r="AA1066" s="160">
        <f>SUM(G1066:Z1066)</f>
        <v>38550020.395773493</v>
      </c>
      <c r="AB1066" s="163" t="str">
        <f t="shared" ref="AB1066:AB1071" si="556">IF(ABS(F1066-AA1066)&lt;0.01,"ok","err")</f>
        <v>ok</v>
      </c>
    </row>
    <row r="1067" spans="1:28" s="164" customFormat="1">
      <c r="A1067" s="60" t="s">
        <v>1359</v>
      </c>
      <c r="B1067" s="60"/>
      <c r="C1067" s="60"/>
      <c r="D1067" s="60"/>
      <c r="E1067" s="60"/>
      <c r="F1067" s="80">
        <f>F162</f>
        <v>26834744.844464965</v>
      </c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AA1067" s="166">
        <f>F1067</f>
        <v>26834744.844464965</v>
      </c>
      <c r="AB1067" s="163" t="str">
        <f t="shared" si="556"/>
        <v>ok</v>
      </c>
    </row>
    <row r="1068" spans="1:28" s="164" customFormat="1">
      <c r="A1068" s="60" t="s">
        <v>152</v>
      </c>
      <c r="B1068" s="60"/>
      <c r="C1068" s="60"/>
      <c r="D1068" s="60"/>
      <c r="E1068" s="60"/>
      <c r="F1068" s="80">
        <v>105258.68000000005</v>
      </c>
      <c r="G1068" s="60"/>
      <c r="H1068" s="79">
        <v>0</v>
      </c>
      <c r="I1068" s="76">
        <v>0</v>
      </c>
      <c r="J1068" s="79">
        <v>0</v>
      </c>
      <c r="K1068" s="79">
        <v>0</v>
      </c>
      <c r="L1068" s="112">
        <v>0</v>
      </c>
      <c r="M1068" s="79">
        <v>0</v>
      </c>
      <c r="N1068" s="79">
        <v>0</v>
      </c>
      <c r="O1068" s="79">
        <v>0</v>
      </c>
      <c r="P1068" s="79">
        <v>0</v>
      </c>
      <c r="Q1068" s="60"/>
      <c r="R1068" s="60"/>
      <c r="S1068" s="395"/>
      <c r="T1068" s="395">
        <f>T1061-33935</f>
        <v>105258.68000000005</v>
      </c>
      <c r="U1068" s="375"/>
      <c r="V1068" s="79">
        <v>0</v>
      </c>
      <c r="W1068" s="79">
        <v>0</v>
      </c>
      <c r="AA1068" s="166">
        <f>SUM(G1068:Z1068)</f>
        <v>105258.68000000005</v>
      </c>
      <c r="AB1068" s="163" t="str">
        <f t="shared" si="556"/>
        <v>ok</v>
      </c>
    </row>
    <row r="1069" spans="1:28" s="164" customFormat="1">
      <c r="A1069" s="60" t="s">
        <v>1360</v>
      </c>
      <c r="B1069" s="60"/>
      <c r="C1069" s="60"/>
      <c r="D1069" s="60"/>
      <c r="E1069" s="60" t="s">
        <v>1346</v>
      </c>
      <c r="F1069" s="80">
        <f>F1067-F1068</f>
        <v>26729486.164464965</v>
      </c>
      <c r="G1069" s="76">
        <f t="shared" ref="G1069:Z1069" si="557">IF(VLOOKUP($E1069,$D$6:$AN$1150,3,)=0,0,(VLOOKUP($E1069,$D$6:$AN$1150,G$2,)/VLOOKUP($E1069,$D$6:$AN$1150,3,))*$F1069)</f>
        <v>18225852.246749282</v>
      </c>
      <c r="H1069" s="76">
        <f t="shared" si="557"/>
        <v>44987.73128071204</v>
      </c>
      <c r="I1069" s="76">
        <f t="shared" si="557"/>
        <v>5676819.3954309383</v>
      </c>
      <c r="J1069" s="76">
        <f t="shared" si="557"/>
        <v>185553.8635447954</v>
      </c>
      <c r="K1069" s="76">
        <f t="shared" si="557"/>
        <v>1587508.5987171361</v>
      </c>
      <c r="L1069" s="76">
        <f t="shared" si="557"/>
        <v>370624.71129483613</v>
      </c>
      <c r="M1069" s="76">
        <f t="shared" si="557"/>
        <v>313840.61989991076</v>
      </c>
      <c r="N1069" s="76">
        <f t="shared" si="557"/>
        <v>261918.40971661801</v>
      </c>
      <c r="O1069" s="76">
        <f t="shared" si="557"/>
        <v>5632.8289316545306</v>
      </c>
      <c r="P1069" s="76">
        <f t="shared" si="557"/>
        <v>0</v>
      </c>
      <c r="Q1069" s="76">
        <f t="shared" si="557"/>
        <v>7790.2928058022462</v>
      </c>
      <c r="R1069" s="76">
        <f t="shared" si="557"/>
        <v>48386.911837281034</v>
      </c>
      <c r="S1069" s="76">
        <f t="shared" si="557"/>
        <v>570.55425599463808</v>
      </c>
      <c r="T1069" s="76">
        <f t="shared" si="557"/>
        <v>0</v>
      </c>
      <c r="U1069" s="76">
        <f t="shared" si="557"/>
        <v>0</v>
      </c>
      <c r="V1069" s="76">
        <f t="shared" si="557"/>
        <v>0</v>
      </c>
      <c r="W1069" s="76">
        <f t="shared" si="557"/>
        <v>0</v>
      </c>
      <c r="X1069" s="161">
        <f t="shared" si="557"/>
        <v>0</v>
      </c>
      <c r="Y1069" s="161">
        <f t="shared" si="557"/>
        <v>0</v>
      </c>
      <c r="Z1069" s="161">
        <f t="shared" si="557"/>
        <v>0</v>
      </c>
      <c r="AA1069" s="166">
        <f>SUM(G1069:Z1069)</f>
        <v>26729486.164464958</v>
      </c>
      <c r="AB1069" s="163" t="str">
        <f t="shared" si="556"/>
        <v>ok</v>
      </c>
    </row>
    <row r="1070" spans="1:28" s="164" customFormat="1">
      <c r="A1070" s="60" t="s">
        <v>1361</v>
      </c>
      <c r="B1070" s="60"/>
      <c r="C1070" s="60"/>
      <c r="D1070" s="60" t="s">
        <v>1347</v>
      </c>
      <c r="E1070" s="60"/>
      <c r="F1070" s="80">
        <f t="shared" ref="F1070:N1070" si="558">F1068+F1069</f>
        <v>26834744.844464965</v>
      </c>
      <c r="G1070" s="80">
        <f t="shared" si="558"/>
        <v>18225852.246749282</v>
      </c>
      <c r="H1070" s="80">
        <f t="shared" si="558"/>
        <v>44987.73128071204</v>
      </c>
      <c r="I1070" s="80">
        <f t="shared" si="558"/>
        <v>5676819.3954309383</v>
      </c>
      <c r="J1070" s="80">
        <f t="shared" si="558"/>
        <v>185553.8635447954</v>
      </c>
      <c r="K1070" s="80">
        <f t="shared" si="558"/>
        <v>1587508.5987171361</v>
      </c>
      <c r="L1070" s="80">
        <f t="shared" si="558"/>
        <v>370624.71129483613</v>
      </c>
      <c r="M1070" s="80">
        <f t="shared" si="558"/>
        <v>313840.61989991076</v>
      </c>
      <c r="N1070" s="80">
        <f t="shared" si="558"/>
        <v>261918.40971661801</v>
      </c>
      <c r="O1070" s="80">
        <f>O1068+O1069</f>
        <v>5632.8289316545306</v>
      </c>
      <c r="P1070" s="80">
        <f t="shared" ref="P1070:Z1070" si="559">P1068+P1069</f>
        <v>0</v>
      </c>
      <c r="Q1070" s="80">
        <f t="shared" si="559"/>
        <v>7790.2928058022462</v>
      </c>
      <c r="R1070" s="80">
        <f t="shared" si="559"/>
        <v>48386.911837281034</v>
      </c>
      <c r="S1070" s="80">
        <f t="shared" si="559"/>
        <v>570.55425599463808</v>
      </c>
      <c r="T1070" s="80">
        <f t="shared" si="559"/>
        <v>105258.68000000005</v>
      </c>
      <c r="U1070" s="80">
        <f t="shared" si="559"/>
        <v>0</v>
      </c>
      <c r="V1070" s="80">
        <f t="shared" si="559"/>
        <v>0</v>
      </c>
      <c r="W1070" s="80">
        <f t="shared" si="559"/>
        <v>0</v>
      </c>
      <c r="X1070" s="166">
        <f t="shared" si="559"/>
        <v>0</v>
      </c>
      <c r="Y1070" s="166">
        <f t="shared" si="559"/>
        <v>0</v>
      </c>
      <c r="Z1070" s="166">
        <f t="shared" si="559"/>
        <v>0</v>
      </c>
      <c r="AA1070" s="166">
        <f>SUM(G1070:Z1070)</f>
        <v>26834744.844464958</v>
      </c>
      <c r="AB1070" s="163" t="str">
        <f t="shared" si="556"/>
        <v>ok</v>
      </c>
    </row>
    <row r="1071" spans="1:28" s="164" customFormat="1">
      <c r="A1071" s="60" t="s">
        <v>1362</v>
      </c>
      <c r="B1071" s="60"/>
      <c r="C1071" s="60"/>
      <c r="D1071" s="60" t="s">
        <v>1348</v>
      </c>
      <c r="E1071" s="60" t="s">
        <v>1347</v>
      </c>
      <c r="F1071" s="110">
        <v>1</v>
      </c>
      <c r="G1071" s="83">
        <f t="shared" ref="G1071:Z1071" si="560">IF(VLOOKUP($E1071,$D$6:$AN$1150,3,)=0,0,(VLOOKUP($E1071,$D$6:$AN$1150,G$2,)/VLOOKUP($E1071,$D$6:$AN$1150,3,))*$F1071)</f>
        <v>0.67918858004377913</v>
      </c>
      <c r="H1071" s="83">
        <f t="shared" si="560"/>
        <v>1.67647322683567E-3</v>
      </c>
      <c r="I1071" s="83">
        <f t="shared" si="560"/>
        <v>0.2115473587818317</v>
      </c>
      <c r="J1071" s="83">
        <f t="shared" si="560"/>
        <v>6.9146870827455787E-3</v>
      </c>
      <c r="K1071" s="83">
        <f t="shared" si="560"/>
        <v>5.9158699213217286E-2</v>
      </c>
      <c r="L1071" s="83">
        <f t="shared" si="560"/>
        <v>1.3811374523700104E-2</v>
      </c>
      <c r="M1071" s="83">
        <f t="shared" si="560"/>
        <v>1.1695308515841718E-2</v>
      </c>
      <c r="N1071" s="83">
        <f t="shared" si="560"/>
        <v>9.7604210971524216E-3</v>
      </c>
      <c r="O1071" s="83">
        <f t="shared" si="560"/>
        <v>2.0990804884870665E-4</v>
      </c>
      <c r="P1071" s="83">
        <f t="shared" si="560"/>
        <v>0</v>
      </c>
      <c r="Q1071" s="83">
        <f t="shared" si="560"/>
        <v>2.9030620007587296E-4</v>
      </c>
      <c r="R1071" s="83">
        <f t="shared" si="560"/>
        <v>1.8031440998501425E-3</v>
      </c>
      <c r="S1071" s="83">
        <f t="shared" si="560"/>
        <v>2.1261773096841006E-5</v>
      </c>
      <c r="T1071" s="83">
        <f t="shared" si="560"/>
        <v>3.9224773930247037E-3</v>
      </c>
      <c r="U1071" s="83">
        <f t="shared" si="560"/>
        <v>0</v>
      </c>
      <c r="V1071" s="83">
        <f t="shared" si="560"/>
        <v>0</v>
      </c>
      <c r="W1071" s="83">
        <f t="shared" si="560"/>
        <v>0</v>
      </c>
      <c r="X1071" s="167">
        <f t="shared" si="560"/>
        <v>0</v>
      </c>
      <c r="Y1071" s="167">
        <f t="shared" si="560"/>
        <v>0</v>
      </c>
      <c r="Z1071" s="167">
        <f t="shared" si="560"/>
        <v>0</v>
      </c>
      <c r="AA1071" s="167">
        <f>SUM(G1071:Z1071)</f>
        <v>0.99999999999999978</v>
      </c>
      <c r="AB1071" s="163" t="str">
        <f t="shared" si="556"/>
        <v>ok</v>
      </c>
    </row>
    <row r="1072" spans="1:28" s="170" customFormat="1">
      <c r="A1072" s="60"/>
      <c r="B1072" s="60"/>
      <c r="C1072" s="60"/>
      <c r="D1072" s="60"/>
      <c r="E1072" s="60"/>
      <c r="F1072" s="110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  <c r="U1072" s="83"/>
      <c r="V1072" s="83"/>
      <c r="W1072" s="176"/>
      <c r="X1072" s="176"/>
      <c r="Y1072" s="176"/>
      <c r="Z1072" s="176"/>
      <c r="AA1072" s="176"/>
      <c r="AB1072" s="172"/>
    </row>
    <row r="1073" spans="1:28" s="164" customFormat="1">
      <c r="A1073" s="60" t="s">
        <v>1290</v>
      </c>
      <c r="B1073" s="60"/>
      <c r="C1073" s="60"/>
      <c r="D1073" s="60" t="s">
        <v>1309</v>
      </c>
      <c r="E1073" s="60"/>
      <c r="F1073" s="79">
        <f>F$1052</f>
        <v>38550020.395773493</v>
      </c>
      <c r="G1073" s="79">
        <f t="shared" ref="G1073:U1073" si="561">G$1052</f>
        <v>26285839.22337449</v>
      </c>
      <c r="H1073" s="79">
        <f t="shared" si="561"/>
        <v>64882.577531049996</v>
      </c>
      <c r="I1073" s="79">
        <f t="shared" si="561"/>
        <v>8187269.3747446639</v>
      </c>
      <c r="J1073" s="79">
        <f t="shared" si="561"/>
        <v>267611.02627090533</v>
      </c>
      <c r="K1073" s="79">
        <f t="shared" si="561"/>
        <v>2289549.7684639604</v>
      </c>
      <c r="L1073" s="79">
        <f t="shared" si="561"/>
        <v>534525.43351125007</v>
      </c>
      <c r="M1073" s="79">
        <f t="shared" si="561"/>
        <v>452629.81202564127</v>
      </c>
      <c r="N1073" s="79">
        <f t="shared" si="561"/>
        <v>377746.13303369086</v>
      </c>
      <c r="O1073" s="79">
        <f t="shared" si="561"/>
        <v>8123.8250845938655</v>
      </c>
      <c r="P1073" s="79">
        <f t="shared" si="561"/>
        <v>0</v>
      </c>
      <c r="Q1073" s="79">
        <f t="shared" si="561"/>
        <v>11235.380459799999</v>
      </c>
      <c r="R1073" s="79">
        <f t="shared" si="561"/>
        <v>69784.971799999999</v>
      </c>
      <c r="S1073" s="79">
        <f t="shared" si="561"/>
        <v>822.86947344050952</v>
      </c>
      <c r="T1073" s="79">
        <f t="shared" si="561"/>
        <v>0</v>
      </c>
      <c r="U1073" s="79">
        <f t="shared" si="561"/>
        <v>0</v>
      </c>
      <c r="V1073" s="79">
        <f t="shared" ref="V1073:Z1073" si="562">V1060</f>
        <v>0</v>
      </c>
      <c r="W1073" s="79">
        <f t="shared" si="562"/>
        <v>0</v>
      </c>
      <c r="X1073" s="160">
        <f t="shared" si="562"/>
        <v>0</v>
      </c>
      <c r="Y1073" s="160">
        <f t="shared" si="562"/>
        <v>0</v>
      </c>
      <c r="Z1073" s="160">
        <f t="shared" si="562"/>
        <v>0</v>
      </c>
      <c r="AA1073" s="160">
        <f>SUM(G1073:Z1073)</f>
        <v>38550020.395773493</v>
      </c>
      <c r="AB1073" s="163" t="str">
        <f t="shared" ref="AB1073:AB1078" si="563">IF(ABS(F1073-AA1073)&lt;0.01,"ok","err")</f>
        <v>ok</v>
      </c>
    </row>
    <row r="1074" spans="1:28" s="164" customFormat="1">
      <c r="A1074" s="60" t="s">
        <v>1291</v>
      </c>
      <c r="B1074" s="60"/>
      <c r="C1074" s="60"/>
      <c r="D1074" s="60"/>
      <c r="E1074" s="60"/>
      <c r="F1074" s="80">
        <f>F219</f>
        <v>13918315.257724669</v>
      </c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AA1074" s="166">
        <f>F1074</f>
        <v>13918315.257724669</v>
      </c>
      <c r="AB1074" s="163" t="str">
        <f t="shared" si="563"/>
        <v>ok</v>
      </c>
    </row>
    <row r="1075" spans="1:28" s="164" customFormat="1">
      <c r="A1075" s="60" t="s">
        <v>152</v>
      </c>
      <c r="B1075" s="60"/>
      <c r="C1075" s="60"/>
      <c r="D1075" s="60"/>
      <c r="E1075" s="60"/>
      <c r="F1075" s="80">
        <v>0</v>
      </c>
      <c r="G1075" s="60"/>
      <c r="H1075" s="79">
        <v>0</v>
      </c>
      <c r="I1075" s="76">
        <v>0</v>
      </c>
      <c r="J1075" s="79">
        <v>0</v>
      </c>
      <c r="K1075" s="79">
        <v>0</v>
      </c>
      <c r="L1075" s="112">
        <v>0</v>
      </c>
      <c r="M1075" s="79">
        <v>0</v>
      </c>
      <c r="N1075" s="79">
        <v>0</v>
      </c>
      <c r="O1075" s="79">
        <v>0</v>
      </c>
      <c r="P1075" s="79">
        <v>0</v>
      </c>
      <c r="Q1075" s="60"/>
      <c r="R1075" s="60"/>
      <c r="S1075" s="395">
        <v>0</v>
      </c>
      <c r="T1075" s="79"/>
      <c r="U1075" s="375"/>
      <c r="V1075" s="79">
        <v>0</v>
      </c>
      <c r="W1075" s="79">
        <v>0</v>
      </c>
      <c r="AA1075" s="166">
        <f>SUM(G1075:Z1075)</f>
        <v>0</v>
      </c>
      <c r="AB1075" s="163" t="str">
        <f t="shared" si="563"/>
        <v>ok</v>
      </c>
    </row>
    <row r="1076" spans="1:28" s="164" customFormat="1">
      <c r="A1076" s="60" t="s">
        <v>1292</v>
      </c>
      <c r="B1076" s="60"/>
      <c r="C1076" s="60"/>
      <c r="D1076" s="60"/>
      <c r="E1076" s="60" t="s">
        <v>1309</v>
      </c>
      <c r="F1076" s="80">
        <f>F1074-F1075</f>
        <v>13918315.257724669</v>
      </c>
      <c r="G1076" s="76">
        <f t="shared" ref="G1076:Z1076" si="564">IF(VLOOKUP($E1076,$D$6:$AN$1150,3,)=0,0,(VLOOKUP($E1076,$D$6:$AN$1150,G$2,)/VLOOKUP($E1076,$D$6:$AN$1150,3,))*$F1076)</f>
        <v>9490386.6033985782</v>
      </c>
      <c r="H1076" s="76">
        <f t="shared" si="564"/>
        <v>23425.569157673526</v>
      </c>
      <c r="I1076" s="76">
        <f t="shared" si="564"/>
        <v>2955977.5867227307</v>
      </c>
      <c r="J1076" s="76">
        <f t="shared" si="564"/>
        <v>96619.783643228962</v>
      </c>
      <c r="K1076" s="76">
        <f t="shared" si="564"/>
        <v>826631.87071168679</v>
      </c>
      <c r="L1076" s="76">
        <f t="shared" si="564"/>
        <v>192988.0560503462</v>
      </c>
      <c r="M1076" s="76">
        <f t="shared" si="564"/>
        <v>163420.00222412925</v>
      </c>
      <c r="N1076" s="76">
        <f t="shared" si="564"/>
        <v>136383.57938523268</v>
      </c>
      <c r="O1076" s="76">
        <f t="shared" si="564"/>
        <v>2933.0713048957518</v>
      </c>
      <c r="P1076" s="76">
        <f t="shared" si="564"/>
        <v>0</v>
      </c>
      <c r="Q1076" s="76">
        <f t="shared" si="564"/>
        <v>4056.4846833938559</v>
      </c>
      <c r="R1076" s="76">
        <f t="shared" si="564"/>
        <v>25195.557039713392</v>
      </c>
      <c r="S1076" s="76">
        <f t="shared" si="564"/>
        <v>297.09340305715051</v>
      </c>
      <c r="T1076" s="76">
        <f t="shared" si="564"/>
        <v>0</v>
      </c>
      <c r="U1076" s="76">
        <f t="shared" si="564"/>
        <v>0</v>
      </c>
      <c r="V1076" s="76">
        <f t="shared" si="564"/>
        <v>0</v>
      </c>
      <c r="W1076" s="76">
        <f t="shared" si="564"/>
        <v>0</v>
      </c>
      <c r="X1076" s="161">
        <f t="shared" si="564"/>
        <v>0</v>
      </c>
      <c r="Y1076" s="161">
        <f t="shared" si="564"/>
        <v>0</v>
      </c>
      <c r="Z1076" s="161">
        <f t="shared" si="564"/>
        <v>0</v>
      </c>
      <c r="AA1076" s="166">
        <f>SUM(G1076:Z1076)</f>
        <v>13918315.257724663</v>
      </c>
      <c r="AB1076" s="163" t="str">
        <f t="shared" si="563"/>
        <v>ok</v>
      </c>
    </row>
    <row r="1077" spans="1:28" s="164" customFormat="1">
      <c r="A1077" s="60" t="s">
        <v>1293</v>
      </c>
      <c r="B1077" s="60"/>
      <c r="C1077" s="60"/>
      <c r="D1077" s="60" t="s">
        <v>1310</v>
      </c>
      <c r="E1077" s="60"/>
      <c r="F1077" s="80">
        <f t="shared" ref="F1077:N1077" si="565">F1075+F1076</f>
        <v>13918315.257724669</v>
      </c>
      <c r="G1077" s="80">
        <f t="shared" si="565"/>
        <v>9490386.6033985782</v>
      </c>
      <c r="H1077" s="80">
        <f t="shared" si="565"/>
        <v>23425.569157673526</v>
      </c>
      <c r="I1077" s="80">
        <f t="shared" si="565"/>
        <v>2955977.5867227307</v>
      </c>
      <c r="J1077" s="80">
        <f t="shared" si="565"/>
        <v>96619.783643228962</v>
      </c>
      <c r="K1077" s="80">
        <f t="shared" si="565"/>
        <v>826631.87071168679</v>
      </c>
      <c r="L1077" s="80">
        <f t="shared" si="565"/>
        <v>192988.0560503462</v>
      </c>
      <c r="M1077" s="80">
        <f t="shared" si="565"/>
        <v>163420.00222412925</v>
      </c>
      <c r="N1077" s="80">
        <f t="shared" si="565"/>
        <v>136383.57938523268</v>
      </c>
      <c r="O1077" s="80">
        <f>O1075+O1076</f>
        <v>2933.0713048957518</v>
      </c>
      <c r="P1077" s="80">
        <f t="shared" ref="P1077:W1077" si="566">P1075+P1076</f>
        <v>0</v>
      </c>
      <c r="Q1077" s="80">
        <f t="shared" si="566"/>
        <v>4056.4846833938559</v>
      </c>
      <c r="R1077" s="80">
        <f t="shared" si="566"/>
        <v>25195.557039713392</v>
      </c>
      <c r="S1077" s="80">
        <f t="shared" si="566"/>
        <v>297.09340305715051</v>
      </c>
      <c r="T1077" s="80">
        <f t="shared" si="566"/>
        <v>0</v>
      </c>
      <c r="U1077" s="80">
        <f t="shared" si="566"/>
        <v>0</v>
      </c>
      <c r="V1077" s="80">
        <f t="shared" si="566"/>
        <v>0</v>
      </c>
      <c r="W1077" s="80">
        <f t="shared" si="566"/>
        <v>0</v>
      </c>
      <c r="X1077" s="166">
        <f>X1075+X1076</f>
        <v>0</v>
      </c>
      <c r="Y1077" s="166">
        <f>Y1075+Y1076</f>
        <v>0</v>
      </c>
      <c r="Z1077" s="166">
        <f>Z1075+Z1076</f>
        <v>0</v>
      </c>
      <c r="AA1077" s="166">
        <f>SUM(G1077:Z1077)</f>
        <v>13918315.257724663</v>
      </c>
      <c r="AB1077" s="163" t="str">
        <f t="shared" si="563"/>
        <v>ok</v>
      </c>
    </row>
    <row r="1078" spans="1:28" s="164" customFormat="1">
      <c r="A1078" s="60" t="s">
        <v>1294</v>
      </c>
      <c r="B1078" s="60"/>
      <c r="C1078" s="60"/>
      <c r="D1078" s="60" t="s">
        <v>1311</v>
      </c>
      <c r="E1078" s="60" t="s">
        <v>1310</v>
      </c>
      <c r="F1078" s="110">
        <v>1</v>
      </c>
      <c r="G1078" s="83">
        <f t="shared" ref="G1078:Z1078" si="567">IF(VLOOKUP($E1078,$D$6:$AN$1150,3,)=0,0,(VLOOKUP($E1078,$D$6:$AN$1150,G$2,)/VLOOKUP($E1078,$D$6:$AN$1150,3,))*$F1078)</f>
        <v>0.68186317292471232</v>
      </c>
      <c r="H1078" s="83">
        <f t="shared" si="567"/>
        <v>1.6830750506726976E-3</v>
      </c>
      <c r="I1078" s="83">
        <f t="shared" si="567"/>
        <v>0.21238041616295206</v>
      </c>
      <c r="J1078" s="83">
        <f t="shared" si="567"/>
        <v>6.9419165936484267E-3</v>
      </c>
      <c r="K1078" s="83">
        <f t="shared" si="567"/>
        <v>5.9391661663426243E-2</v>
      </c>
      <c r="L1078" s="83">
        <f t="shared" si="567"/>
        <v>1.3865762664287819E-2</v>
      </c>
      <c r="M1078" s="83">
        <f t="shared" si="567"/>
        <v>1.1741363749713249E-2</v>
      </c>
      <c r="N1078" s="83">
        <f t="shared" si="567"/>
        <v>9.7988568917879455E-3</v>
      </c>
      <c r="O1078" s="83">
        <f t="shared" si="567"/>
        <v>2.1073465075220914E-4</v>
      </c>
      <c r="P1078" s="83">
        <f t="shared" si="567"/>
        <v>0</v>
      </c>
      <c r="Q1078" s="83">
        <f t="shared" si="567"/>
        <v>2.9144940377338457E-4</v>
      </c>
      <c r="R1078" s="83">
        <f t="shared" si="567"/>
        <v>1.8102447439340657E-3</v>
      </c>
      <c r="S1078" s="83">
        <f t="shared" si="567"/>
        <v>2.1345500339364968E-5</v>
      </c>
      <c r="T1078" s="83">
        <f t="shared" si="567"/>
        <v>0</v>
      </c>
      <c r="U1078" s="83">
        <f t="shared" si="567"/>
        <v>0</v>
      </c>
      <c r="V1078" s="83">
        <f t="shared" si="567"/>
        <v>0</v>
      </c>
      <c r="W1078" s="83">
        <f t="shared" si="567"/>
        <v>0</v>
      </c>
      <c r="X1078" s="167">
        <f t="shared" si="567"/>
        <v>0</v>
      </c>
      <c r="Y1078" s="167">
        <f t="shared" si="567"/>
        <v>0</v>
      </c>
      <c r="Z1078" s="167">
        <f t="shared" si="567"/>
        <v>0</v>
      </c>
      <c r="AA1078" s="167">
        <f>SUM(G1078:Z1078)</f>
        <v>0.99999999999999967</v>
      </c>
      <c r="AB1078" s="163" t="str">
        <f t="shared" si="563"/>
        <v>ok</v>
      </c>
    </row>
    <row r="1079" spans="1:28" s="164" customFormat="1">
      <c r="A1079" s="60"/>
      <c r="B1079" s="60"/>
      <c r="C1079" s="60"/>
      <c r="D1079" s="60"/>
      <c r="E1079" s="60"/>
      <c r="F1079" s="110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  <c r="U1079" s="83"/>
      <c r="V1079" s="83"/>
      <c r="W1079" s="83"/>
      <c r="X1079" s="167"/>
      <c r="Y1079" s="167"/>
      <c r="Z1079" s="167"/>
      <c r="AA1079" s="167"/>
      <c r="AB1079" s="163"/>
    </row>
    <row r="1080" spans="1:28" s="164" customFormat="1">
      <c r="A1080" s="60" t="s">
        <v>1295</v>
      </c>
      <c r="B1080" s="60"/>
      <c r="C1080" s="60"/>
      <c r="D1080" s="60" t="s">
        <v>1312</v>
      </c>
      <c r="E1080" s="60"/>
      <c r="F1080" s="79">
        <f>F$1052</f>
        <v>38550020.395773493</v>
      </c>
      <c r="G1080" s="79">
        <f t="shared" ref="G1080:U1080" si="568">G$1052</f>
        <v>26285839.22337449</v>
      </c>
      <c r="H1080" s="79">
        <f t="shared" si="568"/>
        <v>64882.577531049996</v>
      </c>
      <c r="I1080" s="79">
        <f t="shared" si="568"/>
        <v>8187269.3747446639</v>
      </c>
      <c r="J1080" s="79">
        <f t="shared" si="568"/>
        <v>267611.02627090533</v>
      </c>
      <c r="K1080" s="79">
        <f t="shared" si="568"/>
        <v>2289549.7684639604</v>
      </c>
      <c r="L1080" s="79">
        <f t="shared" si="568"/>
        <v>534525.43351125007</v>
      </c>
      <c r="M1080" s="79">
        <f t="shared" si="568"/>
        <v>452629.81202564127</v>
      </c>
      <c r="N1080" s="79">
        <f t="shared" si="568"/>
        <v>377746.13303369086</v>
      </c>
      <c r="O1080" s="79">
        <f t="shared" si="568"/>
        <v>8123.8250845938655</v>
      </c>
      <c r="P1080" s="79">
        <f t="shared" si="568"/>
        <v>0</v>
      </c>
      <c r="Q1080" s="79">
        <f t="shared" si="568"/>
        <v>11235.380459799999</v>
      </c>
      <c r="R1080" s="79">
        <f t="shared" si="568"/>
        <v>69784.971799999999</v>
      </c>
      <c r="S1080" s="79">
        <f t="shared" si="568"/>
        <v>822.86947344050952</v>
      </c>
      <c r="T1080" s="79">
        <f t="shared" si="568"/>
        <v>0</v>
      </c>
      <c r="U1080" s="79">
        <f t="shared" si="568"/>
        <v>0</v>
      </c>
      <c r="V1080" s="79">
        <f t="shared" ref="V1080:Z1080" si="569">V1074</f>
        <v>0</v>
      </c>
      <c r="W1080" s="79">
        <f t="shared" si="569"/>
        <v>0</v>
      </c>
      <c r="X1080" s="160">
        <f t="shared" si="569"/>
        <v>0</v>
      </c>
      <c r="Y1080" s="160">
        <f t="shared" si="569"/>
        <v>0</v>
      </c>
      <c r="Z1080" s="160">
        <f t="shared" si="569"/>
        <v>0</v>
      </c>
      <c r="AA1080" s="160">
        <f>SUM(G1080:Z1080)</f>
        <v>38550020.395773493</v>
      </c>
      <c r="AB1080" s="163" t="str">
        <f t="shared" ref="AB1080:AB1085" si="570">IF(ABS(F1080-AA1080)&lt;0.01,"ok","err")</f>
        <v>ok</v>
      </c>
    </row>
    <row r="1081" spans="1:28" s="164" customFormat="1">
      <c r="A1081" s="60" t="s">
        <v>1296</v>
      </c>
      <c r="B1081" s="60"/>
      <c r="C1081" s="60"/>
      <c r="D1081" s="60"/>
      <c r="E1081" s="60"/>
      <c r="F1081" s="80">
        <f>F333</f>
        <v>1184750.9707206148</v>
      </c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AA1081" s="166">
        <f>F1081</f>
        <v>1184750.9707206148</v>
      </c>
      <c r="AB1081" s="163" t="str">
        <f t="shared" si="570"/>
        <v>ok</v>
      </c>
    </row>
    <row r="1082" spans="1:28" s="164" customFormat="1">
      <c r="A1082" s="60" t="s">
        <v>152</v>
      </c>
      <c r="B1082" s="60"/>
      <c r="C1082" s="60"/>
      <c r="D1082" s="60"/>
      <c r="E1082" s="60"/>
      <c r="F1082" s="80">
        <v>18338.759999999998</v>
      </c>
      <c r="G1082" s="60"/>
      <c r="H1082" s="79">
        <v>0</v>
      </c>
      <c r="I1082" s="76">
        <v>0</v>
      </c>
      <c r="J1082" s="79">
        <v>0</v>
      </c>
      <c r="K1082" s="79">
        <v>0</v>
      </c>
      <c r="L1082" s="112">
        <v>0</v>
      </c>
      <c r="M1082" s="79">
        <v>0</v>
      </c>
      <c r="N1082" s="79">
        <v>0</v>
      </c>
      <c r="O1082" s="79">
        <v>0</v>
      </c>
      <c r="P1082" s="79">
        <v>0</v>
      </c>
      <c r="Q1082" s="60"/>
      <c r="R1082" s="60"/>
      <c r="S1082" s="395">
        <v>0</v>
      </c>
      <c r="T1082" s="395">
        <f>18338.76</f>
        <v>18338.759999999998</v>
      </c>
      <c r="U1082" s="375"/>
      <c r="V1082" s="79">
        <v>0</v>
      </c>
      <c r="W1082" s="79">
        <v>0</v>
      </c>
      <c r="AA1082" s="166">
        <f>SUM(G1082:Z1082)</f>
        <v>18338.759999999998</v>
      </c>
      <c r="AB1082" s="163" t="str">
        <f t="shared" si="570"/>
        <v>ok</v>
      </c>
    </row>
    <row r="1083" spans="1:28" s="164" customFormat="1">
      <c r="A1083" s="60" t="s">
        <v>1297</v>
      </c>
      <c r="B1083" s="60"/>
      <c r="C1083" s="60"/>
      <c r="D1083" s="60"/>
      <c r="E1083" s="60" t="s">
        <v>1312</v>
      </c>
      <c r="F1083" s="80">
        <f>F1081-F1082</f>
        <v>1166412.2107206148</v>
      </c>
      <c r="G1083" s="76">
        <f t="shared" ref="G1083:Z1083" si="571">IF(VLOOKUP($E1083,$D$6:$AN$1150,3,)=0,0,(VLOOKUP($E1083,$D$6:$AN$1150,G$2,)/VLOOKUP($E1083,$D$6:$AN$1150,3,))*$F1083)</f>
        <v>795333.53094008658</v>
      </c>
      <c r="H1083" s="76">
        <f t="shared" si="571"/>
        <v>1963.1592906638518</v>
      </c>
      <c r="I1083" s="76">
        <f t="shared" si="571"/>
        <v>247723.11073039309</v>
      </c>
      <c r="J1083" s="76">
        <f t="shared" si="571"/>
        <v>8097.1362806355819</v>
      </c>
      <c r="K1083" s="76">
        <f t="shared" si="571"/>
        <v>69275.159379207791</v>
      </c>
      <c r="L1083" s="76">
        <f t="shared" si="571"/>
        <v>16173.194882579317</v>
      </c>
      <c r="M1083" s="76">
        <f t="shared" si="571"/>
        <v>13695.270048177917</v>
      </c>
      <c r="N1083" s="76">
        <f t="shared" si="571"/>
        <v>11429.506329685308</v>
      </c>
      <c r="O1083" s="76">
        <f t="shared" si="571"/>
        <v>245.80346985932093</v>
      </c>
      <c r="P1083" s="76">
        <f t="shared" si="571"/>
        <v>0</v>
      </c>
      <c r="Q1083" s="76">
        <f t="shared" si="571"/>
        <v>339.95014336851858</v>
      </c>
      <c r="R1083" s="76">
        <f t="shared" si="571"/>
        <v>2111.491573717507</v>
      </c>
      <c r="S1083" s="76">
        <f t="shared" si="571"/>
        <v>24.897652239776324</v>
      </c>
      <c r="T1083" s="76">
        <f t="shared" si="571"/>
        <v>0</v>
      </c>
      <c r="U1083" s="76">
        <f t="shared" si="571"/>
        <v>0</v>
      </c>
      <c r="V1083" s="76">
        <f t="shared" si="571"/>
        <v>0</v>
      </c>
      <c r="W1083" s="76">
        <f t="shared" si="571"/>
        <v>0</v>
      </c>
      <c r="X1083" s="161">
        <f t="shared" si="571"/>
        <v>0</v>
      </c>
      <c r="Y1083" s="161">
        <f t="shared" si="571"/>
        <v>0</v>
      </c>
      <c r="Z1083" s="161">
        <f t="shared" si="571"/>
        <v>0</v>
      </c>
      <c r="AA1083" s="166">
        <f>SUM(G1083:Z1083)</f>
        <v>1166412.2107206143</v>
      </c>
      <c r="AB1083" s="163" t="str">
        <f t="shared" si="570"/>
        <v>ok</v>
      </c>
    </row>
    <row r="1084" spans="1:28" s="164" customFormat="1">
      <c r="A1084" s="60" t="s">
        <v>1298</v>
      </c>
      <c r="B1084" s="60"/>
      <c r="C1084" s="60"/>
      <c r="D1084" s="60" t="s">
        <v>1313</v>
      </c>
      <c r="E1084" s="60"/>
      <c r="F1084" s="80">
        <f t="shared" ref="F1084:N1084" si="572">F1082+F1083</f>
        <v>1184750.9707206148</v>
      </c>
      <c r="G1084" s="80">
        <f t="shared" si="572"/>
        <v>795333.53094008658</v>
      </c>
      <c r="H1084" s="80">
        <f t="shared" si="572"/>
        <v>1963.1592906638518</v>
      </c>
      <c r="I1084" s="80">
        <f t="shared" si="572"/>
        <v>247723.11073039309</v>
      </c>
      <c r="J1084" s="80">
        <f t="shared" si="572"/>
        <v>8097.1362806355819</v>
      </c>
      <c r="K1084" s="80">
        <f t="shared" si="572"/>
        <v>69275.159379207791</v>
      </c>
      <c r="L1084" s="80">
        <f t="shared" si="572"/>
        <v>16173.194882579317</v>
      </c>
      <c r="M1084" s="80">
        <f t="shared" si="572"/>
        <v>13695.270048177917</v>
      </c>
      <c r="N1084" s="80">
        <f t="shared" si="572"/>
        <v>11429.506329685308</v>
      </c>
      <c r="O1084" s="80">
        <f>O1082+O1083</f>
        <v>245.80346985932093</v>
      </c>
      <c r="P1084" s="80">
        <f t="shared" ref="P1084:W1084" si="573">P1082+P1083</f>
        <v>0</v>
      </c>
      <c r="Q1084" s="80">
        <f t="shared" si="573"/>
        <v>339.95014336851858</v>
      </c>
      <c r="R1084" s="80">
        <f t="shared" si="573"/>
        <v>2111.491573717507</v>
      </c>
      <c r="S1084" s="80">
        <f t="shared" si="573"/>
        <v>24.897652239776324</v>
      </c>
      <c r="T1084" s="80">
        <f t="shared" si="573"/>
        <v>18338.759999999998</v>
      </c>
      <c r="U1084" s="80">
        <f t="shared" si="573"/>
        <v>0</v>
      </c>
      <c r="V1084" s="80">
        <f t="shared" si="573"/>
        <v>0</v>
      </c>
      <c r="W1084" s="80">
        <f t="shared" si="573"/>
        <v>0</v>
      </c>
      <c r="X1084" s="166">
        <f>X1082+X1083</f>
        <v>0</v>
      </c>
      <c r="Y1084" s="166">
        <f>Y1082+Y1083</f>
        <v>0</v>
      </c>
      <c r="Z1084" s="166">
        <f>Z1082+Z1083</f>
        <v>0</v>
      </c>
      <c r="AA1084" s="166">
        <f>SUM(G1084:Z1084)</f>
        <v>1184750.9707206143</v>
      </c>
      <c r="AB1084" s="163" t="str">
        <f t="shared" si="570"/>
        <v>ok</v>
      </c>
    </row>
    <row r="1085" spans="1:28" s="164" customFormat="1">
      <c r="A1085" s="60" t="s">
        <v>1299</v>
      </c>
      <c r="B1085" s="60"/>
      <c r="C1085" s="60"/>
      <c r="D1085" s="60" t="s">
        <v>1314</v>
      </c>
      <c r="E1085" s="60" t="s">
        <v>1313</v>
      </c>
      <c r="F1085" s="110">
        <v>1</v>
      </c>
      <c r="G1085" s="83">
        <f t="shared" ref="G1085:Z1085" si="574">IF(VLOOKUP($E1085,$D$6:$AN$1150,3,)=0,0,(VLOOKUP($E1085,$D$6:$AN$1150,G$2,)/VLOOKUP($E1085,$D$6:$AN$1150,3,))*$F1085)</f>
        <v>0.67130861302973377</v>
      </c>
      <c r="H1085" s="83">
        <f t="shared" si="574"/>
        <v>1.6570227323551184E-3</v>
      </c>
      <c r="I1085" s="83">
        <f t="shared" si="574"/>
        <v>0.20909297975060329</v>
      </c>
      <c r="J1085" s="83">
        <f t="shared" si="574"/>
        <v>6.8344626683112713E-3</v>
      </c>
      <c r="K1085" s="83">
        <f t="shared" si="574"/>
        <v>5.8472338146363163E-2</v>
      </c>
      <c r="L1085" s="83">
        <f t="shared" si="574"/>
        <v>1.3651134527234958E-2</v>
      </c>
      <c r="M1085" s="83">
        <f t="shared" si="574"/>
        <v>1.1559619182964572E-2</v>
      </c>
      <c r="N1085" s="83">
        <f t="shared" si="574"/>
        <v>9.6471803882409203E-3</v>
      </c>
      <c r="O1085" s="83">
        <f t="shared" si="574"/>
        <v>2.0747268914227015E-4</v>
      </c>
      <c r="P1085" s="83">
        <f t="shared" si="574"/>
        <v>0</v>
      </c>
      <c r="Q1085" s="83">
        <f t="shared" si="574"/>
        <v>2.8693805852021947E-4</v>
      </c>
      <c r="R1085" s="83">
        <f t="shared" si="574"/>
        <v>1.7822239659640964E-3</v>
      </c>
      <c r="S1085" s="83">
        <f t="shared" si="574"/>
        <v>2.1015093344580706E-5</v>
      </c>
      <c r="T1085" s="83">
        <f t="shared" si="574"/>
        <v>1.5478999767221632E-2</v>
      </c>
      <c r="U1085" s="83">
        <f t="shared" si="574"/>
        <v>0</v>
      </c>
      <c r="V1085" s="83">
        <f t="shared" si="574"/>
        <v>0</v>
      </c>
      <c r="W1085" s="83">
        <f t="shared" si="574"/>
        <v>0</v>
      </c>
      <c r="X1085" s="167">
        <f t="shared" si="574"/>
        <v>0</v>
      </c>
      <c r="Y1085" s="167">
        <f t="shared" si="574"/>
        <v>0</v>
      </c>
      <c r="Z1085" s="167">
        <f t="shared" si="574"/>
        <v>0</v>
      </c>
      <c r="AA1085" s="167">
        <f>SUM(G1085:Z1085)</f>
        <v>0.99999999999999989</v>
      </c>
      <c r="AB1085" s="163" t="str">
        <f t="shared" si="570"/>
        <v>ok</v>
      </c>
    </row>
    <row r="1086" spans="1:28" s="164" customFormat="1">
      <c r="A1086" s="60"/>
      <c r="B1086" s="60"/>
      <c r="C1086" s="60"/>
      <c r="D1086" s="60"/>
      <c r="E1086" s="60"/>
      <c r="F1086" s="110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83"/>
      <c r="X1086" s="167"/>
      <c r="Y1086" s="167"/>
      <c r="Z1086" s="167"/>
      <c r="AA1086" s="167"/>
      <c r="AB1086" s="163"/>
    </row>
    <row r="1087" spans="1:28" s="164" customFormat="1">
      <c r="A1087" s="60" t="s">
        <v>1300</v>
      </c>
      <c r="B1087" s="60"/>
      <c r="C1087" s="60"/>
      <c r="D1087" s="60" t="s">
        <v>1315</v>
      </c>
      <c r="E1087" s="60"/>
      <c r="F1087" s="79">
        <f>F$1052</f>
        <v>38550020.395773493</v>
      </c>
      <c r="G1087" s="79">
        <f t="shared" ref="G1087:U1087" si="575">G$1052</f>
        <v>26285839.22337449</v>
      </c>
      <c r="H1087" s="79">
        <f t="shared" si="575"/>
        <v>64882.577531049996</v>
      </c>
      <c r="I1087" s="79">
        <f t="shared" si="575"/>
        <v>8187269.3747446639</v>
      </c>
      <c r="J1087" s="79">
        <f t="shared" si="575"/>
        <v>267611.02627090533</v>
      </c>
      <c r="K1087" s="79">
        <f t="shared" si="575"/>
        <v>2289549.7684639604</v>
      </c>
      <c r="L1087" s="79">
        <f t="shared" si="575"/>
        <v>534525.43351125007</v>
      </c>
      <c r="M1087" s="79">
        <f t="shared" si="575"/>
        <v>452629.81202564127</v>
      </c>
      <c r="N1087" s="79">
        <f t="shared" si="575"/>
        <v>377746.13303369086</v>
      </c>
      <c r="O1087" s="79">
        <f t="shared" si="575"/>
        <v>8123.8250845938655</v>
      </c>
      <c r="P1087" s="79">
        <f t="shared" si="575"/>
        <v>0</v>
      </c>
      <c r="Q1087" s="79">
        <f t="shared" si="575"/>
        <v>11235.380459799999</v>
      </c>
      <c r="R1087" s="79">
        <f t="shared" si="575"/>
        <v>69784.971799999999</v>
      </c>
      <c r="S1087" s="79">
        <f t="shared" si="575"/>
        <v>822.86947344050952</v>
      </c>
      <c r="T1087" s="79">
        <f t="shared" si="575"/>
        <v>0</v>
      </c>
      <c r="U1087" s="79">
        <f t="shared" si="575"/>
        <v>0</v>
      </c>
      <c r="V1087" s="79">
        <f t="shared" ref="V1087:Z1087" si="576">V1081</f>
        <v>0</v>
      </c>
      <c r="W1087" s="79">
        <f t="shared" si="576"/>
        <v>0</v>
      </c>
      <c r="X1087" s="160">
        <f t="shared" si="576"/>
        <v>0</v>
      </c>
      <c r="Y1087" s="160">
        <f t="shared" si="576"/>
        <v>0</v>
      </c>
      <c r="Z1087" s="160">
        <f t="shared" si="576"/>
        <v>0</v>
      </c>
      <c r="AA1087" s="160">
        <f>SUM(G1087:Z1087)</f>
        <v>38550020.395773493</v>
      </c>
      <c r="AB1087" s="163" t="str">
        <f t="shared" ref="AB1087:AB1092" si="577">IF(ABS(F1087-AA1087)&lt;0.01,"ok","err")</f>
        <v>ok</v>
      </c>
    </row>
    <row r="1088" spans="1:28" s="164" customFormat="1">
      <c r="A1088" s="60" t="s">
        <v>1301</v>
      </c>
      <c r="B1088" s="60"/>
      <c r="C1088" s="60"/>
      <c r="D1088" s="60"/>
      <c r="E1088" s="60"/>
      <c r="F1088" s="80">
        <f>F505</f>
        <v>298205.21889810968</v>
      </c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AA1088" s="166">
        <f>F1088</f>
        <v>298205.21889810968</v>
      </c>
      <c r="AB1088" s="163" t="str">
        <f t="shared" si="577"/>
        <v>ok</v>
      </c>
    </row>
    <row r="1089" spans="1:28" s="164" customFormat="1">
      <c r="A1089" s="60" t="s">
        <v>152</v>
      </c>
      <c r="B1089" s="60"/>
      <c r="C1089" s="60"/>
      <c r="D1089" s="60"/>
      <c r="E1089" s="60"/>
      <c r="F1089" s="80">
        <v>2689.4624638430369</v>
      </c>
      <c r="G1089" s="60"/>
      <c r="H1089" s="79">
        <v>0</v>
      </c>
      <c r="I1089" s="76">
        <v>0</v>
      </c>
      <c r="J1089" s="79">
        <v>0</v>
      </c>
      <c r="K1089" s="79">
        <v>0</v>
      </c>
      <c r="L1089" s="112">
        <v>0</v>
      </c>
      <c r="M1089" s="79">
        <v>0</v>
      </c>
      <c r="N1089" s="79">
        <v>0</v>
      </c>
      <c r="O1089" s="79">
        <v>0</v>
      </c>
      <c r="P1089" s="79">
        <v>0</v>
      </c>
      <c r="Q1089" s="60"/>
      <c r="R1089" s="60"/>
      <c r="S1089" s="395">
        <v>0</v>
      </c>
      <c r="T1089" s="395">
        <v>2689.4624638430369</v>
      </c>
      <c r="U1089" s="375"/>
      <c r="V1089" s="79">
        <v>0</v>
      </c>
      <c r="W1089" s="79">
        <v>0</v>
      </c>
      <c r="AA1089" s="166">
        <f>SUM(G1089:Z1089)</f>
        <v>2689.4624638430369</v>
      </c>
      <c r="AB1089" s="163" t="str">
        <f t="shared" si="577"/>
        <v>ok</v>
      </c>
    </row>
    <row r="1090" spans="1:28" s="164" customFormat="1">
      <c r="A1090" s="60" t="s">
        <v>1302</v>
      </c>
      <c r="B1090" s="60"/>
      <c r="C1090" s="60"/>
      <c r="D1090" s="60"/>
      <c r="E1090" s="60" t="s">
        <v>1315</v>
      </c>
      <c r="F1090" s="80">
        <f>F1088-F1089</f>
        <v>295515.75643426663</v>
      </c>
      <c r="G1090" s="76">
        <f t="shared" ref="G1090:Z1090" si="578">IF(VLOOKUP($E1090,$D$6:$AN$1150,3,)=0,0,(VLOOKUP($E1090,$D$6:$AN$1150,G$2,)/VLOOKUP($E1090,$D$6:$AN$1150,3,))*$F1090)</f>
        <v>201501.31133151552</v>
      </c>
      <c r="H1090" s="76">
        <f t="shared" si="578"/>
        <v>497.37519673518386</v>
      </c>
      <c r="I1090" s="76">
        <f t="shared" si="578"/>
        <v>62761.759334219125</v>
      </c>
      <c r="J1090" s="76">
        <f t="shared" si="578"/>
        <v>2051.4457332756024</v>
      </c>
      <c r="K1090" s="76">
        <f t="shared" si="578"/>
        <v>17551.171822355442</v>
      </c>
      <c r="L1090" s="76">
        <f t="shared" si="578"/>
        <v>4097.5513422750273</v>
      </c>
      <c r="M1090" s="76">
        <f t="shared" si="578"/>
        <v>3469.7579900663882</v>
      </c>
      <c r="N1090" s="76">
        <f t="shared" si="578"/>
        <v>2895.7166065678412</v>
      </c>
      <c r="O1090" s="76">
        <f t="shared" si="578"/>
        <v>62.275409723950077</v>
      </c>
      <c r="P1090" s="76">
        <f t="shared" si="578"/>
        <v>0</v>
      </c>
      <c r="Q1090" s="76">
        <f t="shared" si="578"/>
        <v>86.127891018407738</v>
      </c>
      <c r="R1090" s="76">
        <f t="shared" si="578"/>
        <v>534.95584483483071</v>
      </c>
      <c r="S1090" s="76">
        <f t="shared" si="578"/>
        <v>6.3079316792553337</v>
      </c>
      <c r="T1090" s="76">
        <f t="shared" si="578"/>
        <v>0</v>
      </c>
      <c r="U1090" s="76">
        <f t="shared" si="578"/>
        <v>0</v>
      </c>
      <c r="V1090" s="76">
        <f t="shared" si="578"/>
        <v>0</v>
      </c>
      <c r="W1090" s="76">
        <f t="shared" si="578"/>
        <v>0</v>
      </c>
      <c r="X1090" s="161">
        <f t="shared" si="578"/>
        <v>0</v>
      </c>
      <c r="Y1090" s="161">
        <f t="shared" si="578"/>
        <v>0</v>
      </c>
      <c r="Z1090" s="161">
        <f t="shared" si="578"/>
        <v>0</v>
      </c>
      <c r="AA1090" s="166">
        <f>SUM(G1090:Z1090)</f>
        <v>295515.75643426657</v>
      </c>
      <c r="AB1090" s="163" t="str">
        <f t="shared" si="577"/>
        <v>ok</v>
      </c>
    </row>
    <row r="1091" spans="1:28" s="164" customFormat="1">
      <c r="A1091" s="60" t="s">
        <v>1303</v>
      </c>
      <c r="B1091" s="60"/>
      <c r="C1091" s="60"/>
      <c r="D1091" s="60" t="s">
        <v>1316</v>
      </c>
      <c r="E1091" s="60"/>
      <c r="F1091" s="80">
        <f t="shared" ref="F1091:N1091" si="579">F1089+F1090</f>
        <v>298205.21889810968</v>
      </c>
      <c r="G1091" s="80">
        <f t="shared" si="579"/>
        <v>201501.31133151552</v>
      </c>
      <c r="H1091" s="80">
        <f t="shared" si="579"/>
        <v>497.37519673518386</v>
      </c>
      <c r="I1091" s="80">
        <f t="shared" si="579"/>
        <v>62761.759334219125</v>
      </c>
      <c r="J1091" s="80">
        <f t="shared" si="579"/>
        <v>2051.4457332756024</v>
      </c>
      <c r="K1091" s="80">
        <f t="shared" si="579"/>
        <v>17551.171822355442</v>
      </c>
      <c r="L1091" s="80">
        <f t="shared" si="579"/>
        <v>4097.5513422750273</v>
      </c>
      <c r="M1091" s="80">
        <f t="shared" si="579"/>
        <v>3469.7579900663882</v>
      </c>
      <c r="N1091" s="80">
        <f t="shared" si="579"/>
        <v>2895.7166065678412</v>
      </c>
      <c r="O1091" s="80">
        <f>O1089+O1090</f>
        <v>62.275409723950077</v>
      </c>
      <c r="P1091" s="80">
        <f t="shared" ref="P1091:W1091" si="580">P1089+P1090</f>
        <v>0</v>
      </c>
      <c r="Q1091" s="80">
        <f t="shared" si="580"/>
        <v>86.127891018407738</v>
      </c>
      <c r="R1091" s="80">
        <f t="shared" si="580"/>
        <v>534.95584483483071</v>
      </c>
      <c r="S1091" s="80">
        <f t="shared" si="580"/>
        <v>6.3079316792553337</v>
      </c>
      <c r="T1091" s="80">
        <f t="shared" si="580"/>
        <v>2689.4624638430369</v>
      </c>
      <c r="U1091" s="80">
        <f t="shared" si="580"/>
        <v>0</v>
      </c>
      <c r="V1091" s="80">
        <f t="shared" si="580"/>
        <v>0</v>
      </c>
      <c r="W1091" s="80">
        <f t="shared" si="580"/>
        <v>0</v>
      </c>
      <c r="X1091" s="166">
        <f>X1089+X1090</f>
        <v>0</v>
      </c>
      <c r="Y1091" s="166">
        <f>Y1089+Y1090</f>
        <v>0</v>
      </c>
      <c r="Z1091" s="166">
        <f>Z1089+Z1090</f>
        <v>0</v>
      </c>
      <c r="AA1091" s="166">
        <f>SUM(G1091:Z1091)</f>
        <v>298205.21889810963</v>
      </c>
      <c r="AB1091" s="163" t="str">
        <f t="shared" si="577"/>
        <v>ok</v>
      </c>
    </row>
    <row r="1092" spans="1:28" s="164" customFormat="1">
      <c r="A1092" s="60" t="s">
        <v>1304</v>
      </c>
      <c r="B1092" s="60"/>
      <c r="C1092" s="60"/>
      <c r="D1092" s="60" t="s">
        <v>1317</v>
      </c>
      <c r="E1092" s="60" t="s">
        <v>1316</v>
      </c>
      <c r="F1092" s="110">
        <v>1</v>
      </c>
      <c r="G1092" s="83">
        <f t="shared" ref="G1092:Z1092" si="581">IF(VLOOKUP($E1092,$D$6:$AN$1150,3,)=0,0,(VLOOKUP($E1092,$D$6:$AN$1150,G$2,)/VLOOKUP($E1092,$D$6:$AN$1150,3,))*$F1092)</f>
        <v>0.67571356422291251</v>
      </c>
      <c r="H1092" s="83">
        <f t="shared" si="581"/>
        <v>1.6678956812795629E-3</v>
      </c>
      <c r="I1092" s="83">
        <f t="shared" si="581"/>
        <v>0.21046499308807692</v>
      </c>
      <c r="J1092" s="83">
        <f t="shared" si="581"/>
        <v>6.8793086212771389E-3</v>
      </c>
      <c r="K1092" s="83">
        <f t="shared" si="581"/>
        <v>5.8856018305810741E-2</v>
      </c>
      <c r="L1092" s="83">
        <f t="shared" si="581"/>
        <v>1.3740709694537816E-2</v>
      </c>
      <c r="M1092" s="83">
        <f t="shared" si="581"/>
        <v>1.1635470374688277E-2</v>
      </c>
      <c r="N1092" s="83">
        <f t="shared" si="581"/>
        <v>9.7104826577741592E-3</v>
      </c>
      <c r="O1092" s="83">
        <f t="shared" si="581"/>
        <v>2.0883407055739104E-4</v>
      </c>
      <c r="P1092" s="83">
        <f t="shared" si="581"/>
        <v>0</v>
      </c>
      <c r="Q1092" s="83">
        <f t="shared" si="581"/>
        <v>2.8882087086422114E-4</v>
      </c>
      <c r="R1092" s="83">
        <f t="shared" si="581"/>
        <v>1.7939184525728024E-3</v>
      </c>
      <c r="S1092" s="83">
        <f t="shared" si="581"/>
        <v>2.1152988879817757E-5</v>
      </c>
      <c r="T1092" s="83">
        <f t="shared" si="581"/>
        <v>9.0188309707683843E-3</v>
      </c>
      <c r="U1092" s="83">
        <f t="shared" si="581"/>
        <v>0</v>
      </c>
      <c r="V1092" s="83">
        <f t="shared" si="581"/>
        <v>0</v>
      </c>
      <c r="W1092" s="83">
        <f t="shared" si="581"/>
        <v>0</v>
      </c>
      <c r="X1092" s="167">
        <f t="shared" si="581"/>
        <v>0</v>
      </c>
      <c r="Y1092" s="167">
        <f t="shared" si="581"/>
        <v>0</v>
      </c>
      <c r="Z1092" s="167">
        <f t="shared" si="581"/>
        <v>0</v>
      </c>
      <c r="AA1092" s="167">
        <f>SUM(G1092:Z1092)</f>
        <v>0.99999999999999978</v>
      </c>
      <c r="AB1092" s="163" t="str">
        <f t="shared" si="577"/>
        <v>ok</v>
      </c>
    </row>
    <row r="1093" spans="1:28" s="164" customFormat="1">
      <c r="A1093" s="60"/>
      <c r="B1093" s="60"/>
      <c r="C1093" s="60"/>
      <c r="D1093" s="60"/>
      <c r="E1093" s="60"/>
      <c r="F1093" s="110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83"/>
      <c r="X1093" s="167"/>
      <c r="Y1093" s="167"/>
      <c r="Z1093" s="167"/>
      <c r="AA1093" s="167"/>
      <c r="AB1093" s="163"/>
    </row>
    <row r="1094" spans="1:28" s="213" customFormat="1" ht="12" customHeight="1">
      <c r="A1094" s="450" t="s">
        <v>1394</v>
      </c>
      <c r="F1094" s="451"/>
      <c r="G1094" s="452"/>
      <c r="H1094" s="452"/>
      <c r="I1094" s="452"/>
      <c r="J1094" s="452"/>
      <c r="K1094" s="452"/>
      <c r="L1094" s="452"/>
      <c r="M1094" s="452"/>
      <c r="N1094" s="452"/>
      <c r="O1094" s="452"/>
      <c r="P1094" s="452"/>
      <c r="Q1094" s="452"/>
      <c r="R1094" s="452"/>
      <c r="S1094" s="452"/>
      <c r="T1094" s="452"/>
      <c r="U1094" s="452"/>
      <c r="V1094" s="452"/>
      <c r="W1094" s="415"/>
      <c r="X1094" s="453"/>
      <c r="Y1094" s="411"/>
    </row>
    <row r="1095" spans="1:28" s="213" customFormat="1" ht="12" customHeight="1">
      <c r="A1095" s="213" t="s">
        <v>1395</v>
      </c>
      <c r="D1095" s="213" t="s">
        <v>1396</v>
      </c>
      <c r="F1095" s="79">
        <v>436714.23439878249</v>
      </c>
      <c r="G1095" s="79">
        <f>G974</f>
        <v>376669.05273972609</v>
      </c>
      <c r="H1095" s="79">
        <f t="shared" ref="H1095:T1095" si="582">H974</f>
        <v>929.75</v>
      </c>
      <c r="I1095" s="79">
        <f t="shared" si="582"/>
        <v>45359.323287671228</v>
      </c>
      <c r="J1095" s="79">
        <f t="shared" si="582"/>
        <v>70</v>
      </c>
      <c r="K1095" s="79">
        <f t="shared" si="582"/>
        <v>2782.3972602739727</v>
      </c>
      <c r="L1095" s="79">
        <f t="shared" si="582"/>
        <v>131.59452054794519</v>
      </c>
      <c r="M1095" s="79">
        <f t="shared" si="582"/>
        <v>505.00547945205477</v>
      </c>
      <c r="N1095" s="79">
        <f t="shared" si="582"/>
        <v>13</v>
      </c>
      <c r="O1095" s="79">
        <f t="shared" si="582"/>
        <v>2</v>
      </c>
      <c r="P1095" s="79">
        <f t="shared" si="582"/>
        <v>10112.111111111111</v>
      </c>
      <c r="Q1095" s="79">
        <f t="shared" si="582"/>
        <v>17.888888888888889</v>
      </c>
      <c r="R1095" s="79">
        <f t="shared" si="582"/>
        <v>111.1111111111111</v>
      </c>
      <c r="S1095" s="79">
        <f t="shared" si="582"/>
        <v>1</v>
      </c>
      <c r="T1095" s="79">
        <f t="shared" si="582"/>
        <v>10</v>
      </c>
      <c r="U1095" s="79">
        <v>0</v>
      </c>
      <c r="V1095" s="452"/>
      <c r="W1095" s="417"/>
      <c r="X1095" s="453"/>
      <c r="Y1095" s="411"/>
      <c r="AA1095" s="160">
        <f>SUM(G1095:Z1095)</f>
        <v>436714.23439878249</v>
      </c>
      <c r="AB1095" s="163" t="str">
        <f t="shared" ref="AB1095:AB1100" si="583">IF(ABS(F1095-AA1095)&lt;0.01,"ok","err")</f>
        <v>ok</v>
      </c>
    </row>
    <row r="1096" spans="1:28" s="213" customFormat="1" ht="12" customHeight="1">
      <c r="A1096" s="213" t="s">
        <v>1397</v>
      </c>
      <c r="F1096" s="80">
        <f>F228</f>
        <v>4888693.2695076521</v>
      </c>
      <c r="G1096" s="380"/>
      <c r="H1096" s="380"/>
      <c r="I1096" s="380"/>
      <c r="J1096" s="380"/>
      <c r="K1096" s="380"/>
      <c r="L1096" s="380"/>
      <c r="M1096" s="380"/>
      <c r="N1096" s="380"/>
      <c r="O1096" s="380"/>
      <c r="P1096" s="380"/>
      <c r="Q1096" s="380"/>
      <c r="R1096" s="380"/>
      <c r="S1096" s="380"/>
      <c r="T1096" s="380"/>
      <c r="U1096" s="380"/>
      <c r="V1096" s="380"/>
      <c r="W1096" s="417"/>
      <c r="X1096" s="453"/>
      <c r="Y1096" s="411"/>
      <c r="AA1096" s="166">
        <f>F1096</f>
        <v>4888693.2695076521</v>
      </c>
      <c r="AB1096" s="163" t="str">
        <f t="shared" si="583"/>
        <v>ok</v>
      </c>
    </row>
    <row r="1097" spans="1:28" s="213" customFormat="1" ht="12" customHeight="1">
      <c r="A1097" s="213" t="s">
        <v>152</v>
      </c>
      <c r="F1097" s="80">
        <v>34000</v>
      </c>
      <c r="G1097" s="411"/>
      <c r="H1097" s="411"/>
      <c r="I1097" s="411"/>
      <c r="J1097" s="411"/>
      <c r="K1097" s="411"/>
      <c r="L1097" s="411"/>
      <c r="M1097" s="411"/>
      <c r="N1097" s="411"/>
      <c r="O1097" s="411"/>
      <c r="P1097" s="411"/>
      <c r="Q1097" s="411"/>
      <c r="R1097" s="411"/>
      <c r="S1097" s="395"/>
      <c r="T1097" s="395">
        <v>24000</v>
      </c>
      <c r="U1097" s="395"/>
      <c r="V1097" s="395">
        <v>10000</v>
      </c>
      <c r="W1097" s="417"/>
      <c r="X1097" s="453"/>
      <c r="Y1097" s="411"/>
      <c r="AA1097" s="166">
        <f>SUM(G1097:Z1097)</f>
        <v>34000</v>
      </c>
      <c r="AB1097" s="163" t="str">
        <f t="shared" si="583"/>
        <v>ok</v>
      </c>
    </row>
    <row r="1098" spans="1:28" s="213" customFormat="1" ht="12" customHeight="1">
      <c r="A1098" s="213" t="s">
        <v>1398</v>
      </c>
      <c r="E1098" s="213" t="s">
        <v>1396</v>
      </c>
      <c r="F1098" s="80">
        <f>F1096-F1097</f>
        <v>4854693.2695076521</v>
      </c>
      <c r="G1098" s="76">
        <f t="shared" ref="G1098:Z1098" si="584">IF(VLOOKUP($E1098,$D$6:$AN$1150,3,)=0,0,(VLOOKUP($E1098,$D$6:$AN$1150,G$2,)/VLOOKUP($E1098,$D$6:$AN$1150,3,))*$F1098)</f>
        <v>4187206.5784271793</v>
      </c>
      <c r="H1098" s="76">
        <f t="shared" si="584"/>
        <v>10335.479615265142</v>
      </c>
      <c r="I1098" s="76">
        <f t="shared" si="584"/>
        <v>504232.70900989237</v>
      </c>
      <c r="J1098" s="76">
        <f t="shared" si="584"/>
        <v>778.14850558597459</v>
      </c>
      <c r="K1098" s="76">
        <f t="shared" si="584"/>
        <v>30930.261000410032</v>
      </c>
      <c r="L1098" s="76">
        <f t="shared" si="584"/>
        <v>1462.858278681234</v>
      </c>
      <c r="M1098" s="76">
        <f t="shared" si="584"/>
        <v>5613.8465592620732</v>
      </c>
      <c r="N1098" s="76">
        <f t="shared" si="584"/>
        <v>144.51329389453815</v>
      </c>
      <c r="O1098" s="76">
        <f t="shared" si="584"/>
        <v>22.232814445313561</v>
      </c>
      <c r="P1098" s="76">
        <f t="shared" si="584"/>
        <v>112410.34499186346</v>
      </c>
      <c r="Q1098" s="76">
        <f t="shared" si="584"/>
        <v>198.86017364974907</v>
      </c>
      <c r="R1098" s="76">
        <f t="shared" si="584"/>
        <v>1235.1563580729755</v>
      </c>
      <c r="S1098" s="76">
        <f t="shared" si="584"/>
        <v>11.116407222656781</v>
      </c>
      <c r="T1098" s="76">
        <f t="shared" si="584"/>
        <v>111.16407222656782</v>
      </c>
      <c r="U1098" s="76">
        <f t="shared" si="584"/>
        <v>0</v>
      </c>
      <c r="V1098" s="76">
        <f t="shared" si="584"/>
        <v>0</v>
      </c>
      <c r="W1098" s="76">
        <f t="shared" si="584"/>
        <v>0</v>
      </c>
      <c r="X1098" s="161">
        <f t="shared" si="584"/>
        <v>0</v>
      </c>
      <c r="Y1098" s="161">
        <f t="shared" si="584"/>
        <v>0</v>
      </c>
      <c r="Z1098" s="161">
        <f t="shared" si="584"/>
        <v>0</v>
      </c>
      <c r="AA1098" s="166">
        <f>SUM(G1098:Z1098)</f>
        <v>4854693.2695076521</v>
      </c>
      <c r="AB1098" s="163" t="str">
        <f t="shared" si="583"/>
        <v>ok</v>
      </c>
    </row>
    <row r="1099" spans="1:28" s="213" customFormat="1" ht="12" customHeight="1">
      <c r="A1099" s="213" t="s">
        <v>1399</v>
      </c>
      <c r="D1099" s="213" t="s">
        <v>1400</v>
      </c>
      <c r="F1099" s="80">
        <f>F1097+F1098</f>
        <v>4888693.2695076521</v>
      </c>
      <c r="G1099" s="80">
        <f t="shared" ref="G1099:N1099" si="585">G1097+G1098</f>
        <v>4187206.5784271793</v>
      </c>
      <c r="H1099" s="80">
        <f t="shared" si="585"/>
        <v>10335.479615265142</v>
      </c>
      <c r="I1099" s="80">
        <f t="shared" si="585"/>
        <v>504232.70900989237</v>
      </c>
      <c r="J1099" s="80">
        <f t="shared" si="585"/>
        <v>778.14850558597459</v>
      </c>
      <c r="K1099" s="80">
        <f t="shared" si="585"/>
        <v>30930.261000410032</v>
      </c>
      <c r="L1099" s="80">
        <f t="shared" si="585"/>
        <v>1462.858278681234</v>
      </c>
      <c r="M1099" s="80">
        <f t="shared" si="585"/>
        <v>5613.8465592620732</v>
      </c>
      <c r="N1099" s="80">
        <f t="shared" si="585"/>
        <v>144.51329389453815</v>
      </c>
      <c r="O1099" s="80">
        <f>O1097+O1098</f>
        <v>22.232814445313561</v>
      </c>
      <c r="P1099" s="80">
        <f t="shared" ref="P1099:W1099" si="586">P1097+P1098</f>
        <v>112410.34499186346</v>
      </c>
      <c r="Q1099" s="80">
        <f t="shared" si="586"/>
        <v>198.86017364974907</v>
      </c>
      <c r="R1099" s="80">
        <f t="shared" si="586"/>
        <v>1235.1563580729755</v>
      </c>
      <c r="S1099" s="80">
        <f t="shared" si="586"/>
        <v>11.116407222656781</v>
      </c>
      <c r="T1099" s="80">
        <f t="shared" si="586"/>
        <v>24111.164072226569</v>
      </c>
      <c r="U1099" s="80">
        <f t="shared" si="586"/>
        <v>0</v>
      </c>
      <c r="V1099" s="80">
        <f t="shared" si="586"/>
        <v>10000</v>
      </c>
      <c r="W1099" s="80">
        <f t="shared" si="586"/>
        <v>0</v>
      </c>
      <c r="X1099" s="166">
        <f>X1097+X1098</f>
        <v>0</v>
      </c>
      <c r="Y1099" s="166">
        <f>Y1097+Y1098</f>
        <v>0</v>
      </c>
      <c r="Z1099" s="166">
        <f>Z1097+Z1098</f>
        <v>0</v>
      </c>
      <c r="AA1099" s="166">
        <f>SUM(G1099:Z1099)</f>
        <v>4888693.2695076521</v>
      </c>
      <c r="AB1099" s="163" t="str">
        <f t="shared" si="583"/>
        <v>ok</v>
      </c>
    </row>
    <row r="1100" spans="1:28" s="213" customFormat="1" ht="12" customHeight="1">
      <c r="A1100" s="213" t="s">
        <v>1401</v>
      </c>
      <c r="D1100" s="213" t="s">
        <v>1402</v>
      </c>
      <c r="E1100" s="213" t="s">
        <v>1400</v>
      </c>
      <c r="F1100" s="110">
        <v>1</v>
      </c>
      <c r="G1100" s="83">
        <f t="shared" ref="G1100:Z1100" si="587">IF(VLOOKUP($E1100,$D$6:$AN$1150,3,)=0,0,(VLOOKUP($E1100,$D$6:$AN$1150,G$2,)/VLOOKUP($E1100,$D$6:$AN$1150,3,))*$F1100)</f>
        <v>0.85650834437581302</v>
      </c>
      <c r="H1100" s="83">
        <f t="shared" si="587"/>
        <v>2.1141599698493753E-3</v>
      </c>
      <c r="I1100" s="83">
        <f t="shared" si="587"/>
        <v>0.10314263571309608</v>
      </c>
      <c r="J1100" s="83">
        <f t="shared" si="587"/>
        <v>1.591731087813458E-4</v>
      </c>
      <c r="K1100" s="83">
        <f t="shared" si="587"/>
        <v>6.3268974540358234E-3</v>
      </c>
      <c r="L1100" s="83">
        <f t="shared" si="587"/>
        <v>2.9923298477438749E-4</v>
      </c>
      <c r="M1100" s="83">
        <f t="shared" si="587"/>
        <v>1.1483327445142519E-3</v>
      </c>
      <c r="N1100" s="83">
        <f t="shared" si="587"/>
        <v>2.9560720202249937E-5</v>
      </c>
      <c r="O1100" s="83">
        <f t="shared" si="587"/>
        <v>4.5478031080384516E-6</v>
      </c>
      <c r="P1100" s="83">
        <f t="shared" si="587"/>
        <v>2.299394516997064E-2</v>
      </c>
      <c r="Q1100" s="83">
        <f t="shared" si="587"/>
        <v>4.0677572244121707E-5</v>
      </c>
      <c r="R1100" s="83">
        <f t="shared" si="587"/>
        <v>2.5265572822435843E-4</v>
      </c>
      <c r="S1100" s="83">
        <f t="shared" si="587"/>
        <v>2.2739015540192258E-6</v>
      </c>
      <c r="T1100" s="83">
        <f t="shared" si="587"/>
        <v>4.9320263602168771E-3</v>
      </c>
      <c r="U1100" s="83">
        <f t="shared" si="587"/>
        <v>0</v>
      </c>
      <c r="V1100" s="83">
        <f t="shared" si="587"/>
        <v>2.045536393615285E-3</v>
      </c>
      <c r="W1100" s="83">
        <f t="shared" si="587"/>
        <v>0</v>
      </c>
      <c r="X1100" s="167">
        <f t="shared" si="587"/>
        <v>0</v>
      </c>
      <c r="Y1100" s="167">
        <f t="shared" si="587"/>
        <v>0</v>
      </c>
      <c r="Z1100" s="167">
        <f t="shared" si="587"/>
        <v>0</v>
      </c>
      <c r="AA1100" s="167">
        <f>SUM(G1100:Z1100)</f>
        <v>0.99999999999999978</v>
      </c>
      <c r="AB1100" s="163" t="str">
        <f t="shared" si="583"/>
        <v>ok</v>
      </c>
    </row>
    <row r="1101" spans="1:28" s="170" customFormat="1">
      <c r="A1101" s="60"/>
      <c r="B1101" s="60"/>
      <c r="C1101" s="60"/>
      <c r="D1101" s="60"/>
      <c r="E1101" s="60"/>
      <c r="F1101" s="110"/>
      <c r="G1101" s="83"/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  <c r="T1101" s="83"/>
      <c r="U1101" s="83"/>
      <c r="V1101" s="83"/>
      <c r="W1101" s="176"/>
      <c r="X1101" s="176"/>
      <c r="Y1101" s="176"/>
      <c r="Z1101" s="176"/>
      <c r="AA1101" s="176"/>
      <c r="AB1101" s="172"/>
    </row>
    <row r="1102" spans="1:28" s="164" customFormat="1" ht="14.1">
      <c r="A1102" s="65" t="s">
        <v>654</v>
      </c>
      <c r="B1102" s="60"/>
      <c r="C1102" s="60"/>
      <c r="D1102" s="60"/>
      <c r="E1102" s="60"/>
      <c r="F1102" s="110"/>
      <c r="G1102" s="83"/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  <c r="T1102" s="83"/>
      <c r="U1102" s="83"/>
      <c r="V1102" s="83"/>
      <c r="W1102" s="83"/>
      <c r="X1102" s="167"/>
      <c r="Y1102" s="167"/>
      <c r="Z1102" s="167"/>
      <c r="AA1102" s="167"/>
      <c r="AB1102" s="163"/>
    </row>
    <row r="1103" spans="1:28" s="170" customFormat="1">
      <c r="A1103" s="60"/>
      <c r="B1103" s="60"/>
      <c r="C1103" s="60"/>
      <c r="D1103" s="60"/>
      <c r="E1103" s="60"/>
      <c r="F1103" s="79"/>
      <c r="G1103" s="79"/>
      <c r="H1103" s="79"/>
      <c r="I1103" s="79"/>
      <c r="J1103" s="79"/>
      <c r="K1103" s="79"/>
      <c r="L1103" s="79"/>
      <c r="M1103" s="79"/>
      <c r="N1103" s="79"/>
      <c r="O1103" s="83"/>
      <c r="P1103" s="83"/>
      <c r="Q1103" s="83"/>
      <c r="R1103" s="83"/>
      <c r="S1103" s="79"/>
      <c r="T1103" s="79"/>
      <c r="U1103" s="79"/>
      <c r="V1103" s="83"/>
      <c r="W1103" s="176"/>
      <c r="X1103" s="176"/>
      <c r="Y1103" s="176"/>
      <c r="Z1103" s="176"/>
      <c r="AA1103" s="177"/>
      <c r="AB1103" s="172"/>
    </row>
    <row r="1104" spans="1:28" s="170" customFormat="1">
      <c r="A1104" s="60" t="s">
        <v>683</v>
      </c>
      <c r="B1104" s="60"/>
      <c r="C1104" s="60"/>
      <c r="D1104" s="60" t="s">
        <v>684</v>
      </c>
      <c r="E1104" s="60"/>
      <c r="F1104" s="79">
        <v>2707235</v>
      </c>
      <c r="G1104" s="79">
        <f>(G969/($G$969+$H$969))*2147669.93</f>
        <v>2142381.7879218752</v>
      </c>
      <c r="H1104" s="79">
        <f>(H969/($G$969+$H$969))*2147669.93</f>
        <v>5288.1420781248235</v>
      </c>
      <c r="I1104" s="79">
        <v>209067.33</v>
      </c>
      <c r="J1104" s="79">
        <f>(J968/($J$968+$K$968+$L$968+$M$968+$N$968))*(69682.16+260842.5+19972.58)</f>
        <v>7005.9468858866458</v>
      </c>
      <c r="K1104" s="79">
        <f t="shared" ref="K1104:N1104" si="588">(K968/($J$968+$K$968+$L$968+$M$968+$N$968))*(69682.16+260842.5+19972.58)</f>
        <v>278476.10601308534</v>
      </c>
      <c r="L1104" s="79">
        <f t="shared" si="588"/>
        <v>13170.631734751754</v>
      </c>
      <c r="M1104" s="79">
        <f t="shared" si="588"/>
        <v>50543.45094461165</v>
      </c>
      <c r="N1104" s="79">
        <f t="shared" si="588"/>
        <v>1301.1044216646628</v>
      </c>
      <c r="O1104" s="79">
        <v>0</v>
      </c>
      <c r="P1104" s="79">
        <v>0.5</v>
      </c>
      <c r="Q1104" s="79">
        <v>0</v>
      </c>
      <c r="R1104" s="79">
        <v>0</v>
      </c>
      <c r="S1104" s="79">
        <v>0</v>
      </c>
      <c r="T1104" s="79">
        <v>0</v>
      </c>
      <c r="U1104" s="79">
        <v>0</v>
      </c>
      <c r="V1104" s="79"/>
      <c r="W1104" s="171"/>
      <c r="X1104" s="171"/>
      <c r="Y1104" s="171"/>
      <c r="Z1104" s="171"/>
      <c r="AA1104" s="174">
        <f t="shared" ref="AA1104:AA1108" si="589">SUM(G1104:Z1104)</f>
        <v>2707235</v>
      </c>
      <c r="AB1104" s="172" t="str">
        <f>IF(ABS(F1104-AA1104)&lt;0.01,"ok","err")</f>
        <v>ok</v>
      </c>
    </row>
    <row r="1105" spans="1:29" s="60" customFormat="1">
      <c r="A1105" s="60" t="s">
        <v>1182</v>
      </c>
      <c r="D1105" s="60" t="s">
        <v>179</v>
      </c>
      <c r="F1105" s="79">
        <v>1837729.84</v>
      </c>
      <c r="G1105" s="79">
        <f>(G969/($G$969+$H$969))*(235820+975+153.89+1516592)</f>
        <v>1749223.1998202426</v>
      </c>
      <c r="H1105" s="79">
        <f>(H969/($G$969+$H$969))*(235820+975+153.89+1516592)</f>
        <v>4317.6901797574883</v>
      </c>
      <c r="I1105" s="79">
        <f>7252+61516.95+880</f>
        <v>69648.95</v>
      </c>
      <c r="J1105" s="79">
        <f>(J968/($J$968+$K$968+$L$968+$M$968+$N$968))*(84+10612+644+150+3050)</f>
        <v>290.63415084464521</v>
      </c>
      <c r="K1105" s="79">
        <f t="shared" ref="K1105:N1105" si="590">(K968/($J$968+$K$968+$L$968+$M$968+$N$968))*(84+10612+644+150+3050)</f>
        <v>11552.280929317047</v>
      </c>
      <c r="L1105" s="79">
        <f t="shared" si="590"/>
        <v>546.36945336086092</v>
      </c>
      <c r="M1105" s="79">
        <f t="shared" si="590"/>
        <v>2096.7405527491551</v>
      </c>
      <c r="N1105" s="79">
        <f t="shared" si="590"/>
        <v>53.974913728291256</v>
      </c>
      <c r="O1105" s="79">
        <v>0</v>
      </c>
      <c r="P1105" s="79">
        <v>0</v>
      </c>
      <c r="Q1105" s="79">
        <v>0</v>
      </c>
      <c r="R1105" s="79">
        <v>0</v>
      </c>
      <c r="S1105" s="79">
        <v>0</v>
      </c>
      <c r="T1105" s="79">
        <v>0</v>
      </c>
      <c r="U1105" s="79">
        <v>0</v>
      </c>
      <c r="V1105" s="79">
        <v>0</v>
      </c>
      <c r="W1105" s="79"/>
      <c r="X1105" s="79"/>
      <c r="Y1105" s="79"/>
      <c r="Z1105" s="79"/>
      <c r="AA1105" s="112">
        <f t="shared" si="589"/>
        <v>1837729.8399999999</v>
      </c>
      <c r="AB1105" s="172" t="str">
        <f>IF(ABS(F1105-AA1105)&lt;0.01,"ok","err")</f>
        <v>ok</v>
      </c>
      <c r="AC1105" s="159"/>
    </row>
    <row r="1106" spans="1:29" s="170" customFormat="1" hidden="1">
      <c r="A1106" s="60" t="s">
        <v>1156</v>
      </c>
      <c r="B1106" s="60"/>
      <c r="C1106" s="60"/>
      <c r="D1106" s="60" t="s">
        <v>1157</v>
      </c>
      <c r="E1106" s="60"/>
      <c r="F1106" s="80">
        <f>SUM(F751:F752)-SUM(F774:F774)</f>
        <v>0</v>
      </c>
      <c r="G1106" s="80">
        <f>SUM(G751:G752)-SUM(G774:G774)</f>
        <v>0</v>
      </c>
      <c r="H1106" s="80">
        <f>SUM(H751:H752)-SUM(H774:H774)</f>
        <v>0</v>
      </c>
      <c r="I1106" s="80">
        <v>0</v>
      </c>
      <c r="J1106" s="80">
        <f>SUM(J751:J752)-SUM(J774:J774)</f>
        <v>0</v>
      </c>
      <c r="K1106" s="80">
        <f>SUM(K751:K752)-SUM(K774:K774)</f>
        <v>0</v>
      </c>
      <c r="L1106" s="80">
        <f>SUM(L751:L752)-SUM(L774:L774)</f>
        <v>0</v>
      </c>
      <c r="M1106" s="80">
        <v>0</v>
      </c>
      <c r="N1106" s="80">
        <f t="shared" ref="N1106:Z1106" si="591">SUM(N751:N752)-SUM(N774:N774)</f>
        <v>0</v>
      </c>
      <c r="O1106" s="80">
        <f t="shared" si="591"/>
        <v>0</v>
      </c>
      <c r="P1106" s="80">
        <f t="shared" si="591"/>
        <v>0</v>
      </c>
      <c r="Q1106" s="80">
        <f t="shared" si="591"/>
        <v>0</v>
      </c>
      <c r="R1106" s="80">
        <f t="shared" si="591"/>
        <v>0</v>
      </c>
      <c r="S1106" s="80">
        <f t="shared" si="591"/>
        <v>0</v>
      </c>
      <c r="T1106" s="80">
        <f t="shared" si="591"/>
        <v>0</v>
      </c>
      <c r="U1106" s="80">
        <f t="shared" si="591"/>
        <v>0</v>
      </c>
      <c r="V1106" s="80">
        <f t="shared" si="591"/>
        <v>0</v>
      </c>
      <c r="W1106" s="177">
        <f t="shared" si="591"/>
        <v>0</v>
      </c>
      <c r="X1106" s="177">
        <f t="shared" si="591"/>
        <v>0</v>
      </c>
      <c r="Y1106" s="177">
        <f t="shared" si="591"/>
        <v>0</v>
      </c>
      <c r="Z1106" s="177">
        <f t="shared" si="591"/>
        <v>0</v>
      </c>
      <c r="AA1106" s="173">
        <f t="shared" si="589"/>
        <v>0</v>
      </c>
      <c r="AB1106" s="172" t="str">
        <f>IF(ABS(F1106-AA1106)&lt;0.01,"ok","err")</f>
        <v>ok</v>
      </c>
    </row>
    <row r="1107" spans="1:29" s="170" customFormat="1">
      <c r="A1107" s="60" t="s">
        <v>1321</v>
      </c>
      <c r="B1107" s="60"/>
      <c r="C1107" s="60"/>
      <c r="D1107" s="60" t="s">
        <v>1323</v>
      </c>
      <c r="E1107" s="60"/>
      <c r="F1107" s="79">
        <v>3457582356.5038681</v>
      </c>
      <c r="G1107" s="79">
        <f t="shared" ref="G1107:S1107" si="592">G176</f>
        <v>1749779989.101094</v>
      </c>
      <c r="H1107" s="79">
        <f t="shared" si="592"/>
        <v>2804049.0308775981</v>
      </c>
      <c r="I1107" s="79">
        <f t="shared" si="592"/>
        <v>403377509.80225503</v>
      </c>
      <c r="J1107" s="79">
        <f t="shared" si="592"/>
        <v>22807737.128033813</v>
      </c>
      <c r="K1107" s="79">
        <f t="shared" si="592"/>
        <v>389970355.05789894</v>
      </c>
      <c r="L1107" s="79">
        <f t="shared" si="592"/>
        <v>335231274.66265321</v>
      </c>
      <c r="M1107" s="79">
        <f t="shared" si="592"/>
        <v>295971692.74197924</v>
      </c>
      <c r="N1107" s="79">
        <f t="shared" si="592"/>
        <v>145201940.52601016</v>
      </c>
      <c r="O1107" s="79">
        <f t="shared" si="592"/>
        <v>9829885.2741891239</v>
      </c>
      <c r="P1107" s="79">
        <f t="shared" si="592"/>
        <v>101453118.33768603</v>
      </c>
      <c r="Q1107" s="79">
        <f t="shared" si="592"/>
        <v>518687.22011027404</v>
      </c>
      <c r="R1107" s="79">
        <f t="shared" si="592"/>
        <v>623313.44507924758</v>
      </c>
      <c r="S1107" s="79">
        <f t="shared" si="592"/>
        <v>12804.176001885042</v>
      </c>
      <c r="T1107" s="79">
        <v>0</v>
      </c>
      <c r="U1107" s="79">
        <v>0</v>
      </c>
      <c r="V1107" s="79"/>
      <c r="W1107" s="79"/>
      <c r="X1107" s="171"/>
      <c r="Y1107" s="171"/>
      <c r="Z1107" s="171"/>
      <c r="AA1107" s="171">
        <f t="shared" si="589"/>
        <v>3457582356.5038681</v>
      </c>
      <c r="AB1107" s="172" t="str">
        <f>IF(ABS(F1107-AA1107)&lt;0.01,"ok","err")</f>
        <v>ok</v>
      </c>
    </row>
    <row r="1108" spans="1:29" s="170" customFormat="1">
      <c r="A1108" s="60" t="s">
        <v>1322</v>
      </c>
      <c r="B1108" s="60"/>
      <c r="C1108" s="60"/>
      <c r="D1108" s="60" t="s">
        <v>1324</v>
      </c>
      <c r="E1108" s="60"/>
      <c r="F1108" s="79">
        <v>3457582356.5038681</v>
      </c>
      <c r="G1108" s="79">
        <f t="shared" ref="G1108:V1108" si="593">G1107</f>
        <v>1749779989.101094</v>
      </c>
      <c r="H1108" s="79">
        <f t="shared" si="593"/>
        <v>2804049.0308775981</v>
      </c>
      <c r="I1108" s="79">
        <f t="shared" si="593"/>
        <v>403377509.80225503</v>
      </c>
      <c r="J1108" s="79">
        <f t="shared" si="593"/>
        <v>22807737.128033813</v>
      </c>
      <c r="K1108" s="79">
        <f t="shared" si="593"/>
        <v>389970355.05789894</v>
      </c>
      <c r="L1108" s="79">
        <f t="shared" si="593"/>
        <v>335231274.66265321</v>
      </c>
      <c r="M1108" s="79">
        <f t="shared" si="593"/>
        <v>295971692.74197924</v>
      </c>
      <c r="N1108" s="79">
        <f t="shared" si="593"/>
        <v>145201940.52601016</v>
      </c>
      <c r="O1108" s="79">
        <f t="shared" si="593"/>
        <v>9829885.2741891239</v>
      </c>
      <c r="P1108" s="79">
        <f t="shared" si="593"/>
        <v>101453118.33768603</v>
      </c>
      <c r="Q1108" s="79">
        <f t="shared" si="593"/>
        <v>518687.22011027404</v>
      </c>
      <c r="R1108" s="79">
        <f t="shared" si="593"/>
        <v>623313.44507924758</v>
      </c>
      <c r="S1108" s="79">
        <f t="shared" si="593"/>
        <v>12804.176001885042</v>
      </c>
      <c r="T1108" s="79">
        <f t="shared" si="593"/>
        <v>0</v>
      </c>
      <c r="U1108" s="79">
        <f t="shared" si="593"/>
        <v>0</v>
      </c>
      <c r="V1108" s="79">
        <f t="shared" si="593"/>
        <v>0</v>
      </c>
      <c r="W1108" s="79"/>
      <c r="X1108" s="171"/>
      <c r="Y1108" s="171"/>
      <c r="Z1108" s="171"/>
      <c r="AA1108" s="171">
        <f t="shared" si="589"/>
        <v>3457582356.5038681</v>
      </c>
      <c r="AB1108" s="172" t="str">
        <f t="shared" ref="AB1108:AB1110" si="594">IF(ABS(F1108-AA1108)&lt;0.01,"ok","err")</f>
        <v>ok</v>
      </c>
    </row>
    <row r="1109" spans="1:29" s="60" customFormat="1" hidden="1">
      <c r="A1109" s="60" t="s">
        <v>612</v>
      </c>
      <c r="D1109" s="60" t="s">
        <v>653</v>
      </c>
      <c r="F1109" s="79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>
        <v>0</v>
      </c>
      <c r="W1109" s="79">
        <v>0</v>
      </c>
      <c r="X1109" s="79"/>
      <c r="Y1109" s="79"/>
      <c r="Z1109" s="79"/>
      <c r="AA1109" s="79">
        <f t="shared" ref="AA1109" si="595">SUM(G1109:Z1109)</f>
        <v>0</v>
      </c>
      <c r="AB1109" s="93" t="str">
        <f t="shared" si="594"/>
        <v>ok</v>
      </c>
    </row>
    <row r="1110" spans="1:29" s="164" customFormat="1" hidden="1">
      <c r="A1110" s="60" t="s">
        <v>1154</v>
      </c>
      <c r="B1110" s="60"/>
      <c r="C1110" s="60"/>
      <c r="D1110" s="60" t="s">
        <v>1153</v>
      </c>
      <c r="E1110" s="60"/>
      <c r="F1110" s="79">
        <v>0</v>
      </c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  <c r="W1110" s="79"/>
      <c r="X1110" s="160"/>
      <c r="Y1110" s="160"/>
      <c r="Z1110" s="160"/>
      <c r="AA1110" s="160">
        <f>SUM(G1110:Z1110)</f>
        <v>0</v>
      </c>
      <c r="AB1110" s="163" t="str">
        <f t="shared" si="594"/>
        <v>ok</v>
      </c>
    </row>
    <row r="1111" spans="1:29" s="170" customFormat="1">
      <c r="A1111" s="60"/>
      <c r="B1111" s="60"/>
      <c r="C1111" s="60"/>
      <c r="D1111" s="60"/>
      <c r="E1111" s="60"/>
      <c r="F1111" s="110"/>
      <c r="G1111" s="83"/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  <c r="T1111" s="83"/>
      <c r="U1111" s="83"/>
      <c r="V1111" s="83"/>
      <c r="W1111" s="176"/>
      <c r="X1111" s="176"/>
      <c r="Y1111" s="176"/>
      <c r="Z1111" s="176"/>
      <c r="AA1111" s="176"/>
      <c r="AB1111" s="172"/>
    </row>
    <row r="1112" spans="1:29" s="170" customFormat="1">
      <c r="A1112" s="60"/>
      <c r="B1112" s="60"/>
      <c r="C1112" s="60"/>
      <c r="D1112" s="60"/>
      <c r="E1112" s="60"/>
      <c r="F1112" s="110"/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  <c r="U1112" s="83"/>
      <c r="V1112" s="83"/>
      <c r="W1112" s="176"/>
      <c r="X1112" s="176"/>
      <c r="Y1112" s="176"/>
      <c r="Z1112" s="176"/>
      <c r="AA1112" s="176"/>
      <c r="AB1112" s="172"/>
    </row>
    <row r="1113" spans="1:29" s="164" customFormat="1" ht="14.1">
      <c r="A1113" s="65" t="s">
        <v>655</v>
      </c>
      <c r="B1113" s="60"/>
      <c r="C1113" s="60"/>
      <c r="D1113" s="60"/>
      <c r="E1113" s="60"/>
      <c r="F1113" s="110"/>
      <c r="G1113" s="83"/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  <c r="T1113" s="83"/>
      <c r="U1113" s="83"/>
      <c r="V1113" s="83"/>
      <c r="W1113" s="83"/>
      <c r="X1113" s="167"/>
      <c r="Y1113" s="167"/>
      <c r="Z1113" s="167"/>
      <c r="AA1113" s="167"/>
      <c r="AB1113" s="163"/>
    </row>
    <row r="1114" spans="1:29" s="164" customFormat="1">
      <c r="A1114" s="60" t="s">
        <v>1330</v>
      </c>
      <c r="B1114" s="60"/>
      <c r="C1114" s="60"/>
      <c r="D1114" s="60" t="s">
        <v>661</v>
      </c>
      <c r="E1114" s="60"/>
      <c r="F1114" s="79">
        <v>3862851798.0984583</v>
      </c>
      <c r="G1114" s="79">
        <f t="shared" ref="G1114:S1114" si="596">G9</f>
        <v>1691639086.838073</v>
      </c>
      <c r="H1114" s="79">
        <f t="shared" si="596"/>
        <v>644161.93536395463</v>
      </c>
      <c r="I1114" s="79">
        <f t="shared" si="596"/>
        <v>472629604.59087694</v>
      </c>
      <c r="J1114" s="79">
        <f t="shared" si="596"/>
        <v>32027384.066624563</v>
      </c>
      <c r="K1114" s="79">
        <f t="shared" si="596"/>
        <v>526916319.50753546</v>
      </c>
      <c r="L1114" s="79">
        <f t="shared" si="596"/>
        <v>475631343.05330837</v>
      </c>
      <c r="M1114" s="79">
        <f t="shared" si="596"/>
        <v>404660743.88746178</v>
      </c>
      <c r="N1114" s="79">
        <f t="shared" si="596"/>
        <v>229909277.3749114</v>
      </c>
      <c r="O1114" s="79">
        <f t="shared" si="596"/>
        <v>13647668.736787571</v>
      </c>
      <c r="P1114" s="79">
        <f t="shared" si="596"/>
        <v>13987445.163690427</v>
      </c>
      <c r="Q1114" s="79">
        <f t="shared" si="596"/>
        <v>487183.00040750887</v>
      </c>
      <c r="R1114" s="79">
        <f t="shared" si="596"/>
        <v>670918.99765766412</v>
      </c>
      <c r="S1114" s="79">
        <f t="shared" si="596"/>
        <v>660.94575908800709</v>
      </c>
      <c r="T1114" s="79">
        <v>0</v>
      </c>
      <c r="U1114" s="79">
        <v>0</v>
      </c>
      <c r="V1114" s="79">
        <f>V10+V11</f>
        <v>0</v>
      </c>
      <c r="W1114" s="79">
        <f>W10+W11</f>
        <v>0</v>
      </c>
      <c r="X1114" s="160">
        <f>X10+X11</f>
        <v>0</v>
      </c>
      <c r="Y1114" s="160">
        <f>Y10+Y11</f>
        <v>0</v>
      </c>
      <c r="Z1114" s="160">
        <f>Z10+Z11</f>
        <v>0</v>
      </c>
      <c r="AA1114" s="166">
        <f>SUM(G1114:Z1114)</f>
        <v>3862851798.0984588</v>
      </c>
      <c r="AB1114" s="163" t="str">
        <f>IF(ABS(F1114-AA1114)&lt;0.01,"ok","err")</f>
        <v>ok</v>
      </c>
    </row>
    <row r="1115" spans="1:29" s="164" customFormat="1">
      <c r="A1115" s="60" t="s">
        <v>662</v>
      </c>
      <c r="B1115" s="60"/>
      <c r="C1115" s="60"/>
      <c r="D1115" s="60" t="s">
        <v>663</v>
      </c>
      <c r="E1115" s="60"/>
      <c r="F1115" s="79">
        <f t="shared" ref="F1115:Z1115" si="597">F233-F185</f>
        <v>245941142.69950116</v>
      </c>
      <c r="G1115" s="79">
        <f t="shared" si="597"/>
        <v>136067946.80498001</v>
      </c>
      <c r="H1115" s="79">
        <f t="shared" si="597"/>
        <v>264124.21174984734</v>
      </c>
      <c r="I1115" s="79">
        <f t="shared" si="597"/>
        <v>31462002.155876271</v>
      </c>
      <c r="J1115" s="79">
        <f t="shared" si="597"/>
        <v>1475212.5303948745</v>
      </c>
      <c r="K1115" s="79">
        <f t="shared" si="597"/>
        <v>24781561.000833221</v>
      </c>
      <c r="L1115" s="79">
        <f t="shared" si="597"/>
        <v>20252762.158082604</v>
      </c>
      <c r="M1115" s="79">
        <f t="shared" si="597"/>
        <v>18370500.34966255</v>
      </c>
      <c r="N1115" s="79">
        <f t="shared" si="597"/>
        <v>8642504.8094499782</v>
      </c>
      <c r="O1115" s="79">
        <f t="shared" si="597"/>
        <v>593326.33634622837</v>
      </c>
      <c r="P1115" s="79">
        <f t="shared" si="597"/>
        <v>3818238.4557518749</v>
      </c>
      <c r="Q1115" s="79">
        <f t="shared" si="597"/>
        <v>37480.895314369118</v>
      </c>
      <c r="R1115" s="79">
        <f t="shared" si="597"/>
        <v>66194.145116904561</v>
      </c>
      <c r="S1115" s="79">
        <f t="shared" si="597"/>
        <v>1453.480546580193</v>
      </c>
      <c r="T1115" s="79">
        <f t="shared" si="597"/>
        <v>25932.365396001944</v>
      </c>
      <c r="U1115" s="82">
        <f t="shared" si="597"/>
        <v>71903</v>
      </c>
      <c r="V1115" s="82">
        <f t="shared" si="597"/>
        <v>10000</v>
      </c>
      <c r="W1115" s="82">
        <f t="shared" si="597"/>
        <v>0</v>
      </c>
      <c r="X1115" s="168">
        <f t="shared" si="597"/>
        <v>0</v>
      </c>
      <c r="Y1115" s="168">
        <f t="shared" si="597"/>
        <v>0</v>
      </c>
      <c r="Z1115" s="168">
        <f t="shared" si="597"/>
        <v>0</v>
      </c>
      <c r="AA1115" s="166">
        <f>SUM(G1115:Z1115)</f>
        <v>245941142.69950131</v>
      </c>
      <c r="AB1115" s="163" t="str">
        <f>IF(ABS(F1115-AA1115)&lt;0.01,"ok","err")</f>
        <v>ok</v>
      </c>
    </row>
    <row r="1116" spans="1:29" s="164" customFormat="1">
      <c r="A1116" s="60" t="s">
        <v>803</v>
      </c>
      <c r="B1116" s="60"/>
      <c r="C1116" s="60"/>
      <c r="D1116" s="60"/>
      <c r="E1116" s="60"/>
      <c r="F1116" s="79">
        <v>1066019145.3134884</v>
      </c>
      <c r="G1116" s="79">
        <f>'Billing Det'!$D$8</f>
        <v>431190869.32348835</v>
      </c>
      <c r="H1116" s="79">
        <f>'Billing Det'!$D$12</f>
        <v>148100588.18000001</v>
      </c>
      <c r="I1116" s="79">
        <f>'Billing Det'!$D$14</f>
        <v>10054861.74</v>
      </c>
      <c r="J1116" s="79">
        <f>'Billing Det'!$D$16</f>
        <v>147448878.13999999</v>
      </c>
      <c r="K1116" s="79">
        <f>'Billing Det'!$D$18</f>
        <v>136688084.54999998</v>
      </c>
      <c r="L1116" s="79">
        <f>'Billing Det'!$D$20</f>
        <v>101626163.23</v>
      </c>
      <c r="M1116" s="79">
        <f>'Billing Det'!$D$22</f>
        <v>64286866.589999996</v>
      </c>
      <c r="N1116" s="79">
        <f>'Billing Det'!$D$24</f>
        <v>3635159.88</v>
      </c>
      <c r="O1116" s="79">
        <f>'Billing Det'!$D$26</f>
        <v>22160939.829999998</v>
      </c>
      <c r="P1116" s="79">
        <f>'Billing Det'!$D$28</f>
        <v>243958.97</v>
      </c>
      <c r="Q1116" s="79">
        <f>'Billing Det'!$D$30</f>
        <v>318741.55000000005</v>
      </c>
      <c r="R1116" s="79">
        <f>'Billing Det'!$D$32</f>
        <v>15468.33</v>
      </c>
      <c r="S1116" s="79">
        <f>'Billing Det'!$D$34</f>
        <v>1533</v>
      </c>
      <c r="T1116" s="79">
        <f>'Billing Det'!$D$36</f>
        <v>237096</v>
      </c>
      <c r="U1116" s="79">
        <f>'Billing Det'!$D$38</f>
        <v>9936</v>
      </c>
      <c r="V1116" s="79">
        <v>0</v>
      </c>
      <c r="W1116" s="79">
        <v>0</v>
      </c>
      <c r="X1116" s="160">
        <v>0</v>
      </c>
      <c r="Y1116" s="160">
        <v>0</v>
      </c>
      <c r="Z1116" s="160">
        <v>0</v>
      </c>
      <c r="AA1116" s="160">
        <f>SUM(G1116:Z1116)</f>
        <v>1066019145.3134884</v>
      </c>
      <c r="AB1116" s="163" t="str">
        <f>IF(ABS(F1116-AA1116)&lt;0.01,"ok","err")</f>
        <v>ok</v>
      </c>
    </row>
    <row r="1117" spans="1:29" s="164" customFormat="1">
      <c r="A1117" s="60"/>
      <c r="B1117" s="60"/>
      <c r="C1117" s="60"/>
      <c r="D1117" s="60"/>
      <c r="E1117" s="60"/>
      <c r="F1117" s="110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83"/>
      <c r="U1117" s="83"/>
      <c r="V1117" s="83"/>
      <c r="W1117" s="83"/>
      <c r="X1117" s="167"/>
      <c r="Y1117" s="167"/>
      <c r="Z1117" s="167"/>
      <c r="AA1117" s="167"/>
      <c r="AB1117" s="163"/>
    </row>
    <row r="1118" spans="1:29" s="60" customFormat="1" ht="14.1">
      <c r="A1118" s="65" t="s">
        <v>812</v>
      </c>
      <c r="F1118" s="110"/>
      <c r="G1118" s="110"/>
      <c r="H1118" s="110"/>
      <c r="I1118" s="110"/>
      <c r="J1118" s="110"/>
      <c r="K1118" s="110"/>
      <c r="L1118" s="110"/>
      <c r="M1118" s="110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  <c r="AA1118" s="282"/>
      <c r="AB1118" s="93"/>
    </row>
    <row r="1119" spans="1:29" s="60" customFormat="1">
      <c r="A1119" s="60" t="s">
        <v>813</v>
      </c>
      <c r="F1119" s="79">
        <f>SUM(G1119:Z1119)</f>
        <v>433038.15254237287</v>
      </c>
      <c r="G1119" s="110"/>
      <c r="H1119" s="110"/>
      <c r="I1119" s="110"/>
      <c r="J1119" s="110"/>
      <c r="K1119" s="79"/>
      <c r="L1119" s="79">
        <v>38819</v>
      </c>
      <c r="M1119" s="79"/>
      <c r="N1119" s="79">
        <f>N1121/N1120</f>
        <v>394219.15254237287</v>
      </c>
      <c r="O1119" s="79"/>
      <c r="P1119" s="79"/>
      <c r="Q1119" s="110"/>
      <c r="R1119" s="110"/>
      <c r="S1119" s="110"/>
      <c r="T1119" s="110"/>
      <c r="U1119" s="110"/>
      <c r="V1119" s="110"/>
      <c r="W1119" s="110"/>
      <c r="X1119" s="110"/>
      <c r="Y1119" s="110"/>
      <c r="Z1119" s="110"/>
      <c r="AA1119" s="282"/>
      <c r="AB1119" s="93"/>
    </row>
    <row r="1120" spans="1:29" s="60" customFormat="1">
      <c r="A1120" s="60" t="s">
        <v>814</v>
      </c>
      <c r="F1120" s="79"/>
      <c r="G1120" s="110"/>
      <c r="H1120" s="110"/>
      <c r="I1120" s="110"/>
      <c r="J1120" s="110"/>
      <c r="K1120" s="290"/>
      <c r="L1120" s="290">
        <f>L1121/L1119</f>
        <v>3.6700327159380715</v>
      </c>
      <c r="M1120" s="290"/>
      <c r="N1120" s="290">
        <v>5.9</v>
      </c>
      <c r="O1120" s="290"/>
      <c r="P1120" s="290"/>
      <c r="Q1120" s="110"/>
      <c r="R1120" s="110"/>
      <c r="S1120" s="110"/>
      <c r="T1120" s="110"/>
      <c r="U1120" s="110"/>
      <c r="V1120" s="110"/>
      <c r="W1120" s="110"/>
      <c r="X1120" s="110"/>
      <c r="Y1120" s="110"/>
      <c r="Z1120" s="110"/>
      <c r="AA1120" s="282"/>
      <c r="AB1120" s="93"/>
    </row>
    <row r="1121" spans="1:29" s="60" customFormat="1">
      <c r="A1121" s="60" t="s">
        <v>815</v>
      </c>
      <c r="F1121" s="79">
        <f>SUM(G1121:Z1121)</f>
        <v>2468360</v>
      </c>
      <c r="G1121" s="110"/>
      <c r="H1121" s="110"/>
      <c r="I1121" s="110"/>
      <c r="J1121" s="110"/>
      <c r="K1121" s="79"/>
      <c r="L1121" s="79">
        <v>142467</v>
      </c>
      <c r="M1121" s="79"/>
      <c r="N1121" s="79">
        <v>2325893</v>
      </c>
      <c r="O1121" s="79"/>
      <c r="P1121" s="79"/>
      <c r="Q1121" s="110"/>
      <c r="R1121" s="110"/>
      <c r="S1121" s="110"/>
      <c r="T1121" s="110"/>
      <c r="U1121" s="110"/>
      <c r="V1121" s="110"/>
      <c r="W1121" s="110"/>
      <c r="X1121" s="110"/>
      <c r="Y1121" s="110"/>
      <c r="Z1121" s="110"/>
      <c r="AA1121" s="282"/>
      <c r="AB1121" s="93"/>
    </row>
    <row r="1122" spans="1:29">
      <c r="D1122" s="162"/>
      <c r="F1122" s="79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76"/>
      <c r="R1122" s="76"/>
      <c r="S1122" s="76"/>
      <c r="T1122" s="76"/>
      <c r="U1122" s="76"/>
      <c r="V1122" s="76"/>
      <c r="W1122" s="76"/>
      <c r="X1122" s="76"/>
      <c r="Y1122" s="76"/>
      <c r="Z1122" s="76"/>
      <c r="AA1122" s="79"/>
      <c r="AB1122" s="93"/>
      <c r="AC1122" s="75"/>
    </row>
    <row r="1123" spans="1:29" ht="14.1">
      <c r="A1123" s="137"/>
      <c r="B1123" s="70"/>
      <c r="C1123" s="70"/>
      <c r="D1123" s="70"/>
      <c r="E1123" s="70"/>
      <c r="F1123" s="70"/>
      <c r="G1123" s="70"/>
      <c r="H1123" s="70"/>
      <c r="I1123" s="70"/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69"/>
      <c r="Y1123" s="69"/>
      <c r="Z1123" s="69"/>
      <c r="AA1123" s="69"/>
      <c r="AB1123" s="69"/>
    </row>
    <row r="1124" spans="1:29" ht="14.1">
      <c r="A1124" s="137"/>
      <c r="B1124" s="70"/>
      <c r="C1124" s="70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69"/>
      <c r="Y1124" s="69"/>
      <c r="Z1124" s="69"/>
      <c r="AA1124" s="69"/>
      <c r="AB1124" s="69"/>
    </row>
    <row r="1125" spans="1:29" ht="14.1">
      <c r="A1125" s="137"/>
      <c r="B1125" s="70"/>
      <c r="C1125" s="70"/>
      <c r="D1125" s="70"/>
      <c r="E1125" s="444"/>
      <c r="F1125" s="216"/>
      <c r="G1125" s="216"/>
      <c r="H1125" s="216"/>
      <c r="I1125" s="216"/>
      <c r="J1125" s="216"/>
      <c r="K1125" s="216"/>
      <c r="L1125" s="216"/>
      <c r="M1125" s="216"/>
      <c r="N1125" s="216"/>
      <c r="O1125" s="216"/>
      <c r="P1125" s="216"/>
      <c r="Q1125" s="216"/>
      <c r="R1125" s="216"/>
      <c r="S1125" s="216"/>
      <c r="T1125" s="70"/>
      <c r="U1125" s="70"/>
      <c r="V1125" s="70"/>
      <c r="W1125" s="70"/>
      <c r="X1125" s="69"/>
      <c r="Y1125" s="69"/>
      <c r="Z1125" s="69"/>
      <c r="AA1125" s="69"/>
      <c r="AB1125" s="69"/>
    </row>
    <row r="1126" spans="1:29">
      <c r="A1126" s="70"/>
      <c r="B1126" s="70"/>
      <c r="C1126" s="70"/>
      <c r="D1126" s="70"/>
      <c r="E1126" s="445"/>
      <c r="F1126" s="216"/>
      <c r="G1126" s="216"/>
      <c r="H1126" s="216"/>
      <c r="I1126" s="216"/>
      <c r="J1126" s="216"/>
      <c r="K1126" s="216"/>
      <c r="L1126" s="216"/>
      <c r="M1126" s="216"/>
      <c r="N1126" s="216"/>
      <c r="O1126" s="216"/>
      <c r="P1126" s="216"/>
      <c r="Q1126" s="216"/>
      <c r="R1126" s="216"/>
      <c r="S1126" s="216"/>
      <c r="T1126" s="149"/>
      <c r="U1126" s="149"/>
      <c r="V1126" s="149"/>
      <c r="W1126" s="149"/>
      <c r="X1126" s="292"/>
      <c r="Y1126" s="292"/>
      <c r="Z1126" s="292"/>
      <c r="AA1126" s="292"/>
      <c r="AB1126" s="268"/>
    </row>
    <row r="1127" spans="1:29">
      <c r="A1127" s="70"/>
      <c r="B1127" s="70"/>
      <c r="C1127" s="70"/>
      <c r="D1127" s="70"/>
      <c r="E1127" s="445"/>
      <c r="F1127" s="83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149"/>
      <c r="U1127" s="149"/>
      <c r="V1127" s="149"/>
      <c r="W1127" s="149"/>
      <c r="X1127" s="292"/>
      <c r="Y1127" s="292"/>
      <c r="Z1127" s="292"/>
      <c r="AA1127" s="292"/>
      <c r="AB1127" s="268"/>
    </row>
    <row r="1128" spans="1:29">
      <c r="A1128" s="70"/>
      <c r="B1128" s="70"/>
      <c r="C1128" s="70"/>
      <c r="D1128" s="70"/>
      <c r="E1128" s="445"/>
      <c r="T1128" s="149"/>
      <c r="U1128" s="149"/>
      <c r="V1128" s="149"/>
      <c r="W1128" s="149"/>
      <c r="X1128" s="292"/>
      <c r="Y1128" s="292"/>
      <c r="Z1128" s="292"/>
      <c r="AA1128" s="292"/>
      <c r="AB1128" s="268"/>
    </row>
    <row r="1129" spans="1:29">
      <c r="A1129" s="70"/>
      <c r="B1129" s="70"/>
      <c r="C1129" s="70"/>
      <c r="D1129" s="70"/>
      <c r="E1129" s="445"/>
      <c r="T1129" s="149"/>
      <c r="U1129" s="149"/>
      <c r="V1129" s="149"/>
      <c r="W1129" s="149"/>
      <c r="X1129" s="292"/>
      <c r="Y1129" s="292"/>
      <c r="Z1129" s="292"/>
      <c r="AA1129" s="292"/>
      <c r="AB1129" s="268"/>
    </row>
    <row r="1130" spans="1:29">
      <c r="A1130" s="70"/>
      <c r="B1130" s="70"/>
      <c r="C1130" s="70"/>
      <c r="D1130" s="70"/>
      <c r="E1130" s="445"/>
      <c r="F1130" s="446"/>
      <c r="G1130" s="446"/>
      <c r="H1130" s="446"/>
      <c r="I1130" s="446"/>
      <c r="J1130" s="446"/>
      <c r="K1130" s="446"/>
      <c r="L1130" s="446"/>
      <c r="M1130" s="446"/>
      <c r="N1130" s="446"/>
      <c r="O1130" s="446"/>
      <c r="P1130" s="446"/>
      <c r="Q1130" s="446"/>
      <c r="R1130" s="446"/>
      <c r="S1130" s="446"/>
      <c r="T1130" s="149"/>
      <c r="U1130" s="149"/>
      <c r="V1130" s="149"/>
      <c r="W1130" s="149"/>
      <c r="X1130" s="292"/>
      <c r="Y1130" s="292"/>
      <c r="Z1130" s="292"/>
      <c r="AA1130" s="292"/>
      <c r="AB1130" s="268"/>
    </row>
    <row r="1131" spans="1:29">
      <c r="A1131" s="70"/>
      <c r="B1131" s="70"/>
      <c r="C1131" s="70"/>
      <c r="D1131" s="70"/>
      <c r="E1131" s="445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9"/>
      <c r="U1131" s="149"/>
      <c r="V1131" s="149"/>
      <c r="W1131" s="149"/>
      <c r="X1131" s="292"/>
      <c r="Y1131" s="292"/>
      <c r="Z1131" s="292"/>
      <c r="AA1131" s="292"/>
      <c r="AB1131" s="268"/>
    </row>
    <row r="1132" spans="1:29">
      <c r="A1132" s="70"/>
      <c r="B1132" s="70"/>
      <c r="C1132" s="70"/>
      <c r="D1132" s="70"/>
      <c r="E1132" s="70"/>
      <c r="F1132" s="149"/>
      <c r="G1132" s="149"/>
      <c r="H1132" s="149"/>
      <c r="I1132" s="149"/>
      <c r="J1132" s="149"/>
      <c r="K1132" s="149"/>
      <c r="L1132" s="149"/>
      <c r="M1132" s="149"/>
      <c r="N1132" s="149"/>
      <c r="O1132" s="149"/>
      <c r="P1132" s="149"/>
      <c r="Q1132" s="149"/>
      <c r="R1132" s="149"/>
      <c r="S1132" s="149"/>
      <c r="T1132" s="149"/>
      <c r="U1132" s="149"/>
      <c r="V1132" s="149"/>
      <c r="W1132" s="149"/>
      <c r="X1132" s="292"/>
      <c r="Y1132" s="292"/>
      <c r="Z1132" s="292"/>
      <c r="AA1132" s="292"/>
      <c r="AB1132" s="268"/>
    </row>
    <row r="1133" spans="1:29">
      <c r="A1133" s="70"/>
      <c r="B1133" s="70"/>
      <c r="C1133" s="70"/>
      <c r="D1133" s="70"/>
      <c r="E1133" s="70"/>
      <c r="F1133" s="149"/>
      <c r="G1133" s="149"/>
      <c r="H1133" s="149"/>
      <c r="I1133" s="149"/>
      <c r="J1133" s="149"/>
      <c r="K1133" s="149"/>
      <c r="L1133" s="149"/>
      <c r="M1133" s="149"/>
      <c r="N1133" s="149"/>
      <c r="O1133" s="149"/>
      <c r="P1133" s="149"/>
      <c r="Q1133" s="149"/>
      <c r="R1133" s="149"/>
      <c r="S1133" s="149"/>
      <c r="T1133" s="149"/>
      <c r="U1133" s="149"/>
      <c r="V1133" s="149"/>
      <c r="W1133" s="149"/>
      <c r="X1133" s="292"/>
      <c r="Y1133" s="292"/>
      <c r="Z1133" s="292"/>
      <c r="AA1133" s="292"/>
      <c r="AB1133" s="268"/>
    </row>
    <row r="1134" spans="1:29">
      <c r="A1134" s="70"/>
      <c r="B1134" s="70"/>
      <c r="C1134" s="70"/>
      <c r="D1134" s="70"/>
      <c r="E1134" s="70"/>
      <c r="F1134" s="293"/>
      <c r="G1134" s="293"/>
      <c r="H1134" s="293"/>
      <c r="I1134" s="293"/>
      <c r="J1134" s="293"/>
      <c r="K1134" s="293"/>
      <c r="L1134" s="293"/>
      <c r="M1134" s="293"/>
      <c r="N1134" s="293"/>
      <c r="O1134" s="293"/>
      <c r="P1134" s="293"/>
      <c r="Q1134" s="293"/>
      <c r="R1134" s="293"/>
      <c r="S1134" s="293"/>
      <c r="T1134" s="293"/>
      <c r="U1134" s="293"/>
      <c r="V1134" s="293"/>
      <c r="W1134" s="293"/>
      <c r="X1134" s="294"/>
      <c r="Y1134" s="294"/>
      <c r="Z1134" s="294"/>
      <c r="AA1134" s="292"/>
      <c r="AB1134" s="268"/>
    </row>
    <row r="1135" spans="1:29">
      <c r="A1135" s="70"/>
      <c r="B1135" s="70"/>
      <c r="C1135" s="70"/>
      <c r="D1135" s="70"/>
      <c r="E1135" s="295"/>
      <c r="F1135" s="149"/>
      <c r="G1135" s="149"/>
      <c r="H1135" s="149"/>
      <c r="I1135" s="149"/>
      <c r="J1135" s="149"/>
      <c r="K1135" s="149"/>
      <c r="L1135" s="149"/>
      <c r="M1135" s="149"/>
      <c r="N1135" s="149"/>
      <c r="O1135" s="149"/>
      <c r="P1135" s="149"/>
      <c r="Q1135" s="149"/>
      <c r="R1135" s="149"/>
      <c r="S1135" s="149"/>
      <c r="T1135" s="149"/>
      <c r="U1135" s="149"/>
      <c r="V1135" s="149"/>
      <c r="W1135" s="149"/>
      <c r="X1135" s="292"/>
      <c r="Y1135" s="292"/>
      <c r="Z1135" s="292"/>
      <c r="AA1135" s="292"/>
      <c r="AB1135" s="268"/>
    </row>
    <row r="1136" spans="1:29">
      <c r="A1136" s="70"/>
      <c r="B1136" s="70"/>
      <c r="C1136" s="70"/>
      <c r="D1136" s="70"/>
      <c r="E1136" s="70"/>
      <c r="F1136" s="149"/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69"/>
      <c r="Y1136" s="69"/>
      <c r="Z1136" s="69"/>
      <c r="AA1136" s="69"/>
      <c r="AB1136" s="69"/>
    </row>
    <row r="1137" spans="1:29" ht="14.1">
      <c r="A1137" s="137"/>
      <c r="B1137" s="70"/>
      <c r="C1137" s="70"/>
      <c r="D1137" s="70"/>
      <c r="E1137" s="296"/>
      <c r="F1137" s="149"/>
      <c r="G1137" s="70"/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69"/>
      <c r="Y1137" s="69"/>
      <c r="Z1137" s="69"/>
      <c r="AA1137" s="69"/>
      <c r="AB1137" s="69"/>
    </row>
    <row r="1138" spans="1:29">
      <c r="A1138" s="70"/>
      <c r="B1138" s="70"/>
      <c r="C1138" s="70"/>
      <c r="D1138" s="70"/>
      <c r="E1138" s="295"/>
      <c r="F1138" s="220"/>
      <c r="G1138" s="149"/>
      <c r="H1138" s="149"/>
      <c r="I1138" s="149"/>
      <c r="J1138" s="149"/>
      <c r="K1138" s="149"/>
      <c r="L1138" s="149"/>
      <c r="M1138" s="149"/>
      <c r="N1138" s="149"/>
      <c r="O1138" s="149"/>
      <c r="P1138" s="149"/>
      <c r="Q1138" s="149"/>
      <c r="R1138" s="149"/>
      <c r="S1138" s="149"/>
      <c r="T1138" s="149"/>
      <c r="U1138" s="149"/>
      <c r="V1138" s="149"/>
      <c r="W1138" s="149"/>
      <c r="X1138" s="292"/>
      <c r="Y1138" s="292"/>
      <c r="Z1138" s="292"/>
      <c r="AA1138" s="292"/>
      <c r="AB1138" s="268"/>
    </row>
    <row r="1139" spans="1:29">
      <c r="A1139" s="70"/>
      <c r="B1139" s="70"/>
      <c r="C1139" s="70"/>
      <c r="D1139" s="70"/>
      <c r="E1139" s="70"/>
      <c r="F1139" s="149"/>
      <c r="G1139" s="149"/>
      <c r="H1139" s="149"/>
      <c r="I1139" s="149"/>
      <c r="J1139" s="149"/>
      <c r="K1139" s="149"/>
      <c r="L1139" s="149"/>
      <c r="M1139" s="149"/>
      <c r="N1139" s="149"/>
      <c r="O1139" s="149"/>
      <c r="P1139" s="149"/>
      <c r="Q1139" s="149"/>
      <c r="R1139" s="149"/>
      <c r="S1139" s="149"/>
      <c r="T1139" s="149"/>
      <c r="U1139" s="149"/>
      <c r="V1139" s="149"/>
      <c r="W1139" s="149"/>
      <c r="X1139" s="292"/>
      <c r="Y1139" s="292"/>
      <c r="Z1139" s="292"/>
      <c r="AA1139" s="292"/>
      <c r="AB1139" s="268"/>
    </row>
    <row r="1140" spans="1:29">
      <c r="A1140" s="70"/>
      <c r="B1140" s="70"/>
      <c r="C1140" s="70"/>
      <c r="D1140" s="70"/>
      <c r="E1140" s="70"/>
      <c r="F1140" s="149"/>
      <c r="G1140" s="149"/>
      <c r="H1140" s="149"/>
      <c r="I1140" s="149"/>
      <c r="J1140" s="149"/>
      <c r="K1140" s="149"/>
      <c r="L1140" s="149"/>
      <c r="M1140" s="149"/>
      <c r="N1140" s="149"/>
      <c r="O1140" s="149"/>
      <c r="P1140" s="149"/>
      <c r="Q1140" s="149"/>
      <c r="R1140" s="149"/>
      <c r="S1140" s="149"/>
      <c r="T1140" s="149"/>
      <c r="U1140" s="149"/>
      <c r="V1140" s="149"/>
      <c r="W1140" s="149"/>
      <c r="X1140" s="292"/>
      <c r="Y1140" s="292"/>
      <c r="Z1140" s="292"/>
      <c r="AA1140" s="292"/>
      <c r="AB1140" s="268"/>
    </row>
    <row r="1141" spans="1:29">
      <c r="A1141" s="70"/>
      <c r="B1141" s="70"/>
      <c r="C1141" s="70"/>
      <c r="D1141" s="70"/>
      <c r="E1141" s="70"/>
      <c r="F1141" s="149"/>
      <c r="G1141" s="149"/>
      <c r="H1141" s="149"/>
      <c r="I1141" s="149"/>
      <c r="J1141" s="149"/>
      <c r="K1141" s="149"/>
      <c r="L1141" s="149"/>
      <c r="M1141" s="149"/>
      <c r="N1141" s="149"/>
      <c r="O1141" s="149"/>
      <c r="P1141" s="149"/>
      <c r="Q1141" s="149"/>
      <c r="R1141" s="149"/>
      <c r="S1141" s="149"/>
      <c r="T1141" s="149"/>
      <c r="U1141" s="149"/>
      <c r="V1141" s="149"/>
      <c r="W1141" s="149"/>
      <c r="X1141" s="292"/>
      <c r="Y1141" s="292"/>
      <c r="Z1141" s="292"/>
      <c r="AA1141" s="292"/>
      <c r="AB1141" s="268"/>
    </row>
    <row r="1142" spans="1:29">
      <c r="A1142" s="70"/>
      <c r="B1142" s="70"/>
      <c r="C1142" s="70"/>
      <c r="D1142" s="70"/>
      <c r="E1142" s="70"/>
      <c r="F1142" s="149"/>
      <c r="G1142" s="149"/>
      <c r="H1142" s="149"/>
      <c r="I1142" s="149"/>
      <c r="J1142" s="149"/>
      <c r="K1142" s="149"/>
      <c r="L1142" s="149"/>
      <c r="M1142" s="149"/>
      <c r="N1142" s="149"/>
      <c r="O1142" s="149"/>
      <c r="P1142" s="149"/>
      <c r="Q1142" s="149"/>
      <c r="R1142" s="149"/>
      <c r="S1142" s="149"/>
      <c r="T1142" s="149"/>
      <c r="U1142" s="149"/>
      <c r="V1142" s="149"/>
      <c r="W1142" s="149"/>
      <c r="X1142" s="292"/>
      <c r="Y1142" s="292"/>
      <c r="Z1142" s="292"/>
      <c r="AA1142" s="292"/>
      <c r="AB1142" s="268"/>
    </row>
    <row r="1143" spans="1:29">
      <c r="A1143" s="70"/>
      <c r="B1143" s="70"/>
      <c r="C1143" s="70"/>
      <c r="D1143" s="70"/>
      <c r="E1143" s="70"/>
      <c r="F1143" s="149"/>
      <c r="G1143" s="149"/>
      <c r="H1143" s="149"/>
      <c r="I1143" s="149"/>
      <c r="J1143" s="149"/>
      <c r="K1143" s="149"/>
      <c r="L1143" s="149"/>
      <c r="M1143" s="149"/>
      <c r="N1143" s="149"/>
      <c r="O1143" s="149"/>
      <c r="P1143" s="149"/>
      <c r="Q1143" s="149"/>
      <c r="R1143" s="149"/>
      <c r="S1143" s="149"/>
      <c r="T1143" s="149"/>
      <c r="U1143" s="149"/>
      <c r="V1143" s="149"/>
      <c r="W1143" s="149"/>
      <c r="X1143" s="292"/>
      <c r="Y1143" s="292"/>
      <c r="Z1143" s="292"/>
      <c r="AA1143" s="292"/>
      <c r="AB1143" s="268"/>
    </row>
    <row r="1144" spans="1:29">
      <c r="A1144" s="70"/>
      <c r="B1144" s="70"/>
      <c r="C1144" s="70"/>
      <c r="D1144" s="70"/>
      <c r="E1144" s="70"/>
      <c r="F1144" s="149"/>
      <c r="G1144" s="149"/>
      <c r="H1144" s="149"/>
      <c r="I1144" s="149"/>
      <c r="J1144" s="149"/>
      <c r="K1144" s="149"/>
      <c r="L1144" s="149"/>
      <c r="M1144" s="149"/>
      <c r="N1144" s="149"/>
      <c r="O1144" s="149"/>
      <c r="P1144" s="149"/>
      <c r="Q1144" s="149"/>
      <c r="R1144" s="149"/>
      <c r="S1144" s="149"/>
      <c r="T1144" s="149"/>
      <c r="U1144" s="149"/>
      <c r="V1144" s="149"/>
      <c r="W1144" s="149"/>
      <c r="X1144" s="292"/>
      <c r="Y1144" s="292"/>
      <c r="Z1144" s="292"/>
      <c r="AA1144" s="292"/>
      <c r="AB1144" s="268"/>
      <c r="AC1144" s="64"/>
    </row>
    <row r="1145" spans="1:29">
      <c r="A1145" s="70"/>
      <c r="B1145" s="70"/>
      <c r="C1145" s="70"/>
      <c r="D1145" s="70"/>
      <c r="E1145" s="70"/>
      <c r="F1145" s="149"/>
      <c r="G1145" s="149"/>
      <c r="H1145" s="149"/>
      <c r="I1145" s="149"/>
      <c r="J1145" s="149"/>
      <c r="K1145" s="149"/>
      <c r="L1145" s="149"/>
      <c r="M1145" s="149"/>
      <c r="N1145" s="149"/>
      <c r="O1145" s="149"/>
      <c r="P1145" s="149"/>
      <c r="Q1145" s="149"/>
      <c r="R1145" s="149"/>
      <c r="S1145" s="149"/>
      <c r="T1145" s="149"/>
      <c r="U1145" s="149"/>
      <c r="V1145" s="149"/>
      <c r="W1145" s="149"/>
      <c r="X1145" s="292"/>
      <c r="Y1145" s="292"/>
      <c r="Z1145" s="292"/>
      <c r="AA1145" s="292"/>
      <c r="AB1145" s="268"/>
    </row>
    <row r="1146" spans="1:29">
      <c r="A1146" s="70"/>
      <c r="B1146" s="70"/>
      <c r="C1146" s="70"/>
      <c r="D1146" s="70"/>
      <c r="E1146" s="70"/>
      <c r="F1146" s="293"/>
      <c r="G1146" s="293"/>
      <c r="H1146" s="293"/>
      <c r="I1146" s="293"/>
      <c r="J1146" s="293"/>
      <c r="K1146" s="293"/>
      <c r="L1146" s="293"/>
      <c r="M1146" s="293"/>
      <c r="N1146" s="293"/>
      <c r="O1146" s="293"/>
      <c r="P1146" s="293"/>
      <c r="Q1146" s="293"/>
      <c r="R1146" s="293"/>
      <c r="S1146" s="293"/>
      <c r="T1146" s="293"/>
      <c r="U1146" s="293"/>
      <c r="V1146" s="293"/>
      <c r="W1146" s="293"/>
      <c r="X1146" s="294"/>
      <c r="Y1146" s="294"/>
      <c r="Z1146" s="294"/>
      <c r="AA1146" s="292"/>
      <c r="AB1146" s="268"/>
    </row>
    <row r="1147" spans="1:29">
      <c r="A1147" s="70"/>
      <c r="B1147" s="70"/>
      <c r="C1147" s="70"/>
      <c r="D1147" s="70"/>
      <c r="E1147" s="70"/>
      <c r="F1147" s="149"/>
      <c r="G1147" s="149"/>
      <c r="H1147" s="149"/>
      <c r="I1147" s="149"/>
      <c r="J1147" s="149"/>
      <c r="K1147" s="149"/>
      <c r="L1147" s="149"/>
      <c r="M1147" s="149"/>
      <c r="N1147" s="149"/>
      <c r="O1147" s="149"/>
      <c r="P1147" s="149"/>
      <c r="Q1147" s="149"/>
      <c r="R1147" s="149"/>
      <c r="S1147" s="149"/>
      <c r="T1147" s="149"/>
      <c r="U1147" s="149"/>
      <c r="V1147" s="149"/>
      <c r="W1147" s="149"/>
      <c r="X1147" s="292"/>
      <c r="Y1147" s="292"/>
      <c r="Z1147" s="292"/>
      <c r="AA1147" s="292"/>
      <c r="AB1147" s="268"/>
    </row>
    <row r="1148" spans="1:29">
      <c r="A1148" s="70"/>
      <c r="B1148" s="70"/>
      <c r="C1148" s="70"/>
      <c r="D1148" s="70"/>
      <c r="E1148" s="70"/>
      <c r="F1148" s="149"/>
      <c r="G1148" s="70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69"/>
      <c r="Y1148" s="69"/>
      <c r="Z1148" s="69"/>
      <c r="AA1148" s="69"/>
      <c r="AB1148" s="69"/>
    </row>
    <row r="1149" spans="1:29">
      <c r="A1149" s="70"/>
      <c r="B1149" s="70"/>
      <c r="C1149" s="70"/>
      <c r="D1149" s="70"/>
      <c r="E1149" s="70"/>
      <c r="F1149" s="149"/>
      <c r="G1149" s="70"/>
      <c r="H1149" s="70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69"/>
      <c r="Y1149" s="69"/>
      <c r="Z1149" s="69"/>
      <c r="AA1149" s="69"/>
      <c r="AB1149" s="69"/>
    </row>
    <row r="1150" spans="1:29" ht="14.1">
      <c r="A1150" s="137"/>
      <c r="B1150" s="70"/>
      <c r="C1150" s="70"/>
      <c r="D1150" s="70"/>
      <c r="E1150" s="70"/>
      <c r="F1150" s="149"/>
      <c r="G1150" s="149"/>
      <c r="H1150" s="70"/>
      <c r="I1150" s="70"/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69"/>
      <c r="Y1150" s="69"/>
      <c r="Z1150" s="69"/>
      <c r="AA1150" s="69"/>
      <c r="AB1150" s="69"/>
    </row>
    <row r="1151" spans="1:29">
      <c r="A1151" s="70"/>
      <c r="B1151" s="70"/>
      <c r="C1151" s="70"/>
      <c r="D1151" s="70"/>
      <c r="E1151" s="70"/>
      <c r="F1151" s="149"/>
      <c r="G1151" s="149"/>
      <c r="H1151" s="149"/>
      <c r="I1151" s="149"/>
      <c r="J1151" s="149"/>
      <c r="K1151" s="149"/>
      <c r="L1151" s="149"/>
      <c r="M1151" s="149"/>
      <c r="N1151" s="149"/>
      <c r="O1151" s="149"/>
      <c r="P1151" s="149"/>
      <c r="Q1151" s="149"/>
      <c r="R1151" s="149"/>
      <c r="S1151" s="149"/>
      <c r="T1151" s="149"/>
      <c r="U1151" s="149"/>
      <c r="V1151" s="149"/>
      <c r="W1151" s="149"/>
      <c r="X1151" s="149"/>
      <c r="Y1151" s="149"/>
      <c r="Z1151" s="149"/>
      <c r="AA1151" s="292"/>
      <c r="AB1151" s="268"/>
    </row>
    <row r="1152" spans="1:29">
      <c r="A1152" s="70"/>
      <c r="B1152" s="70"/>
      <c r="C1152" s="70"/>
      <c r="D1152" s="70"/>
      <c r="E1152" s="70"/>
      <c r="F1152" s="149"/>
      <c r="G1152" s="149"/>
      <c r="H1152" s="149"/>
      <c r="I1152" s="149"/>
      <c r="J1152" s="149"/>
      <c r="K1152" s="149"/>
      <c r="L1152" s="149"/>
      <c r="M1152" s="149"/>
      <c r="N1152" s="149"/>
      <c r="O1152" s="149"/>
      <c r="P1152" s="149"/>
      <c r="Q1152" s="149"/>
      <c r="R1152" s="149"/>
      <c r="S1152" s="149"/>
      <c r="T1152" s="149"/>
      <c r="U1152" s="149"/>
      <c r="V1152" s="149"/>
      <c r="W1152" s="149"/>
      <c r="X1152" s="149"/>
      <c r="Y1152" s="149"/>
      <c r="Z1152" s="149"/>
      <c r="AA1152" s="292"/>
      <c r="AB1152" s="268"/>
    </row>
    <row r="1153" spans="1:28">
      <c r="A1153" s="70"/>
      <c r="B1153" s="70"/>
      <c r="C1153" s="70"/>
      <c r="D1153" s="70"/>
      <c r="E1153" s="70"/>
      <c r="F1153" s="149"/>
      <c r="G1153" s="149"/>
      <c r="H1153" s="149"/>
      <c r="I1153" s="149"/>
      <c r="J1153" s="149"/>
      <c r="K1153" s="149"/>
      <c r="L1153" s="149"/>
      <c r="M1153" s="149"/>
      <c r="N1153" s="149"/>
      <c r="O1153" s="149"/>
      <c r="P1153" s="149"/>
      <c r="Q1153" s="149"/>
      <c r="R1153" s="149"/>
      <c r="S1153" s="149"/>
      <c r="T1153" s="149"/>
      <c r="U1153" s="149"/>
      <c r="V1153" s="149"/>
      <c r="W1153" s="149"/>
      <c r="X1153" s="149"/>
      <c r="Y1153" s="149"/>
      <c r="Z1153" s="149"/>
      <c r="AA1153" s="292"/>
      <c r="AB1153" s="268"/>
    </row>
    <row r="1154" spans="1:28">
      <c r="A1154" s="70"/>
      <c r="B1154" s="70"/>
      <c r="C1154" s="70"/>
      <c r="D1154" s="70"/>
      <c r="E1154" s="70"/>
      <c r="F1154" s="149"/>
      <c r="G1154" s="149"/>
      <c r="H1154" s="149"/>
      <c r="I1154" s="149"/>
      <c r="J1154" s="149"/>
      <c r="K1154" s="149"/>
      <c r="L1154" s="149"/>
      <c r="M1154" s="149"/>
      <c r="N1154" s="149"/>
      <c r="O1154" s="149"/>
      <c r="P1154" s="149"/>
      <c r="Q1154" s="149"/>
      <c r="R1154" s="149"/>
      <c r="S1154" s="149"/>
      <c r="T1154" s="149"/>
      <c r="U1154" s="149"/>
      <c r="V1154" s="149"/>
      <c r="W1154" s="149"/>
      <c r="X1154" s="149"/>
      <c r="Y1154" s="149"/>
      <c r="Z1154" s="149"/>
      <c r="AA1154" s="292"/>
      <c r="AB1154" s="268"/>
    </row>
    <row r="1155" spans="1:28">
      <c r="A1155" s="70"/>
      <c r="B1155" s="70"/>
      <c r="C1155" s="70"/>
      <c r="D1155" s="70"/>
      <c r="E1155" s="70"/>
      <c r="F1155" s="149"/>
      <c r="G1155" s="149"/>
      <c r="H1155" s="149"/>
      <c r="I1155" s="149"/>
      <c r="J1155" s="149"/>
      <c r="K1155" s="149"/>
      <c r="L1155" s="149"/>
      <c r="M1155" s="149"/>
      <c r="N1155" s="149"/>
      <c r="O1155" s="149"/>
      <c r="P1155" s="149"/>
      <c r="Q1155" s="149"/>
      <c r="R1155" s="149"/>
      <c r="S1155" s="149"/>
      <c r="T1155" s="149"/>
      <c r="U1155" s="149"/>
      <c r="V1155" s="149"/>
      <c r="W1155" s="149"/>
      <c r="X1155" s="149"/>
      <c r="Y1155" s="149"/>
      <c r="Z1155" s="149"/>
      <c r="AA1155" s="292"/>
      <c r="AB1155" s="268"/>
    </row>
    <row r="1156" spans="1:28">
      <c r="A1156" s="70"/>
      <c r="B1156" s="70"/>
      <c r="C1156" s="70"/>
      <c r="D1156" s="70"/>
      <c r="E1156" s="70"/>
      <c r="F1156" s="149"/>
      <c r="G1156" s="149"/>
      <c r="H1156" s="149"/>
      <c r="I1156" s="149"/>
      <c r="J1156" s="149"/>
      <c r="K1156" s="149"/>
      <c r="L1156" s="149"/>
      <c r="M1156" s="149"/>
      <c r="N1156" s="149"/>
      <c r="O1156" s="149"/>
      <c r="P1156" s="149"/>
      <c r="Q1156" s="149"/>
      <c r="R1156" s="149"/>
      <c r="S1156" s="149"/>
      <c r="T1156" s="149"/>
      <c r="U1156" s="149"/>
      <c r="V1156" s="149"/>
      <c r="W1156" s="149"/>
      <c r="X1156" s="149"/>
      <c r="Y1156" s="149"/>
      <c r="Z1156" s="149"/>
      <c r="AA1156" s="292"/>
      <c r="AB1156" s="268"/>
    </row>
    <row r="1157" spans="1:28">
      <c r="A1157" s="70"/>
      <c r="B1157" s="70"/>
      <c r="C1157" s="70"/>
      <c r="D1157" s="70"/>
      <c r="E1157" s="70"/>
      <c r="F1157" s="149"/>
      <c r="G1157" s="149"/>
      <c r="H1157" s="149"/>
      <c r="I1157" s="149"/>
      <c r="J1157" s="149"/>
      <c r="K1157" s="149"/>
      <c r="L1157" s="149"/>
      <c r="M1157" s="149"/>
      <c r="N1157" s="149"/>
      <c r="O1157" s="149"/>
      <c r="P1157" s="149"/>
      <c r="Q1157" s="149"/>
      <c r="R1157" s="149"/>
      <c r="S1157" s="149"/>
      <c r="T1157" s="149"/>
      <c r="U1157" s="149"/>
      <c r="V1157" s="149"/>
      <c r="W1157" s="149"/>
      <c r="X1157" s="149"/>
      <c r="Y1157" s="149"/>
      <c r="Z1157" s="149"/>
      <c r="AA1157" s="292"/>
      <c r="AB1157" s="268"/>
    </row>
    <row r="1158" spans="1:28">
      <c r="A1158" s="70"/>
      <c r="B1158" s="70"/>
      <c r="C1158" s="70"/>
      <c r="D1158" s="70"/>
      <c r="E1158" s="70"/>
      <c r="F1158" s="149"/>
      <c r="G1158" s="149"/>
      <c r="H1158" s="149"/>
      <c r="I1158" s="149"/>
      <c r="J1158" s="149"/>
      <c r="K1158" s="149"/>
      <c r="L1158" s="149"/>
      <c r="M1158" s="149"/>
      <c r="N1158" s="149"/>
      <c r="O1158" s="149"/>
      <c r="P1158" s="149"/>
      <c r="Q1158" s="149"/>
      <c r="R1158" s="149"/>
      <c r="S1158" s="149"/>
      <c r="T1158" s="149"/>
      <c r="U1158" s="149"/>
      <c r="V1158" s="149"/>
      <c r="W1158" s="149"/>
      <c r="X1158" s="149"/>
      <c r="Y1158" s="149"/>
      <c r="Z1158" s="149"/>
      <c r="AA1158" s="292"/>
      <c r="AB1158" s="268"/>
    </row>
    <row r="1159" spans="1:28">
      <c r="A1159" s="70"/>
      <c r="B1159" s="70"/>
      <c r="C1159" s="70"/>
      <c r="D1159" s="70"/>
      <c r="E1159" s="70"/>
      <c r="F1159" s="293"/>
      <c r="G1159" s="293"/>
      <c r="H1159" s="293"/>
      <c r="I1159" s="293"/>
      <c r="J1159" s="293"/>
      <c r="K1159" s="293"/>
      <c r="L1159" s="293"/>
      <c r="M1159" s="293"/>
      <c r="N1159" s="293"/>
      <c r="O1159" s="293"/>
      <c r="P1159" s="293"/>
      <c r="Q1159" s="293"/>
      <c r="R1159" s="293"/>
      <c r="S1159" s="293"/>
      <c r="T1159" s="293"/>
      <c r="U1159" s="293"/>
      <c r="V1159" s="293"/>
      <c r="W1159" s="293"/>
      <c r="X1159" s="293"/>
      <c r="Y1159" s="293"/>
      <c r="Z1159" s="293"/>
      <c r="AA1159" s="292"/>
      <c r="AB1159" s="268"/>
    </row>
    <row r="1160" spans="1:28">
      <c r="A1160" s="70"/>
      <c r="B1160" s="70"/>
      <c r="C1160" s="70"/>
      <c r="D1160" s="70"/>
      <c r="E1160" s="70"/>
      <c r="F1160" s="149"/>
      <c r="G1160" s="149"/>
      <c r="H1160" s="149"/>
      <c r="I1160" s="149"/>
      <c r="J1160" s="149"/>
      <c r="K1160" s="149"/>
      <c r="L1160" s="149"/>
      <c r="M1160" s="149"/>
      <c r="N1160" s="149"/>
      <c r="O1160" s="149"/>
      <c r="P1160" s="149"/>
      <c r="Q1160" s="149"/>
      <c r="R1160" s="149"/>
      <c r="S1160" s="149"/>
      <c r="T1160" s="149"/>
      <c r="U1160" s="149"/>
      <c r="V1160" s="149"/>
      <c r="W1160" s="149"/>
      <c r="X1160" s="149"/>
      <c r="Y1160" s="149"/>
      <c r="Z1160" s="149"/>
      <c r="AA1160" s="292"/>
      <c r="AB1160" s="268"/>
    </row>
    <row r="1161" spans="1:28">
      <c r="A1161" s="70"/>
      <c r="B1161" s="70"/>
      <c r="C1161" s="70"/>
      <c r="D1161" s="70"/>
      <c r="E1161" s="70"/>
      <c r="F1161" s="149"/>
      <c r="G1161" s="70"/>
      <c r="H1161" s="70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69"/>
      <c r="Y1161" s="69"/>
      <c r="Z1161" s="69"/>
      <c r="AA1161" s="69"/>
      <c r="AB1161" s="69"/>
    </row>
    <row r="1162" spans="1:28">
      <c r="A1162" s="70"/>
      <c r="B1162" s="70"/>
      <c r="C1162" s="70"/>
      <c r="D1162" s="70"/>
      <c r="E1162" s="70"/>
      <c r="F1162" s="149"/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69"/>
      <c r="Y1162" s="69"/>
      <c r="Z1162" s="69"/>
      <c r="AA1162" s="69"/>
      <c r="AB1162" s="69"/>
    </row>
    <row r="1163" spans="1:28" ht="14.1">
      <c r="A1163" s="137"/>
      <c r="B1163" s="70"/>
      <c r="C1163" s="70"/>
      <c r="D1163" s="70"/>
      <c r="E1163" s="70"/>
      <c r="F1163" s="220"/>
      <c r="G1163" s="70"/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69"/>
      <c r="Y1163" s="69"/>
      <c r="Z1163" s="69"/>
      <c r="AA1163" s="69"/>
      <c r="AB1163" s="69"/>
    </row>
    <row r="1164" spans="1:28">
      <c r="A1164" s="70"/>
      <c r="B1164" s="70"/>
      <c r="C1164" s="70"/>
      <c r="D1164" s="70"/>
      <c r="E1164" s="70"/>
      <c r="F1164" s="70"/>
      <c r="G1164" s="158"/>
      <c r="H1164" s="158"/>
      <c r="I1164" s="297"/>
      <c r="J1164" s="297"/>
      <c r="K1164" s="297"/>
      <c r="L1164" s="297"/>
      <c r="M1164" s="297"/>
      <c r="N1164" s="297"/>
      <c r="O1164" s="297"/>
      <c r="P1164" s="297"/>
      <c r="Q1164" s="297"/>
      <c r="R1164" s="297"/>
      <c r="S1164" s="298"/>
      <c r="T1164" s="298"/>
      <c r="U1164" s="298"/>
      <c r="V1164" s="297"/>
      <c r="W1164" s="297"/>
      <c r="X1164" s="299"/>
      <c r="Y1164" s="299"/>
      <c r="Z1164" s="299"/>
      <c r="AA1164" s="69"/>
      <c r="AB1164" s="69"/>
    </row>
    <row r="1165" spans="1:28" s="60" customFormat="1">
      <c r="A1165" s="70"/>
      <c r="B1165" s="70"/>
      <c r="C1165" s="70"/>
      <c r="D1165" s="70"/>
      <c r="E1165" s="70"/>
      <c r="F1165" s="70"/>
      <c r="G1165" s="158"/>
      <c r="H1165" s="158"/>
      <c r="I1165" s="297"/>
      <c r="J1165" s="297"/>
      <c r="K1165" s="297"/>
      <c r="L1165" s="297"/>
      <c r="M1165" s="297"/>
      <c r="N1165" s="297"/>
      <c r="O1165" s="297"/>
      <c r="P1165" s="297"/>
      <c r="Q1165" s="297"/>
      <c r="R1165" s="297"/>
      <c r="S1165" s="298"/>
      <c r="T1165" s="298"/>
      <c r="U1165" s="298"/>
      <c r="V1165" s="297"/>
      <c r="W1165" s="297"/>
      <c r="X1165" s="70"/>
      <c r="Y1165" s="70"/>
      <c r="Z1165" s="70"/>
      <c r="AA1165" s="70"/>
      <c r="AB1165" s="70"/>
    </row>
    <row r="1166" spans="1:28" s="60" customFormat="1">
      <c r="A1166" s="70"/>
      <c r="B1166" s="70"/>
      <c r="C1166" s="70"/>
      <c r="D1166" s="70"/>
      <c r="E1166" s="70"/>
      <c r="F1166" s="70"/>
      <c r="G1166" s="300"/>
      <c r="H1166" s="300"/>
      <c r="I1166" s="297"/>
      <c r="J1166" s="297"/>
      <c r="K1166" s="297"/>
      <c r="L1166" s="297"/>
      <c r="M1166" s="297"/>
      <c r="N1166" s="297"/>
      <c r="O1166" s="297"/>
      <c r="P1166" s="297"/>
      <c r="Q1166" s="297"/>
      <c r="R1166" s="297"/>
      <c r="S1166" s="298"/>
      <c r="T1166" s="298"/>
      <c r="U1166" s="298"/>
      <c r="V1166" s="297"/>
      <c r="W1166" s="297"/>
      <c r="X1166" s="70"/>
      <c r="Y1166" s="70"/>
      <c r="Z1166" s="70"/>
      <c r="AA1166" s="70"/>
      <c r="AB1166" s="70"/>
    </row>
    <row r="1167" spans="1:28" s="60" customFormat="1">
      <c r="A1167" s="70"/>
      <c r="B1167" s="70"/>
      <c r="C1167" s="70"/>
      <c r="D1167" s="70"/>
      <c r="E1167" s="70"/>
      <c r="F1167" s="70"/>
      <c r="G1167" s="158"/>
      <c r="H1167" s="158"/>
      <c r="I1167" s="297"/>
      <c r="J1167" s="297"/>
      <c r="K1167" s="297"/>
      <c r="L1167" s="297"/>
      <c r="M1167" s="297"/>
      <c r="N1167" s="297"/>
      <c r="O1167" s="297"/>
      <c r="P1167" s="297"/>
      <c r="Q1167" s="297"/>
      <c r="R1167" s="297"/>
      <c r="S1167" s="298"/>
      <c r="T1167" s="298"/>
      <c r="U1167" s="298"/>
      <c r="V1167" s="297"/>
      <c r="W1167" s="297"/>
      <c r="X1167" s="70"/>
      <c r="Y1167" s="70"/>
      <c r="Z1167" s="70"/>
      <c r="AA1167" s="70"/>
      <c r="AB1167" s="70"/>
    </row>
    <row r="1168" spans="1:28" s="60" customFormat="1">
      <c r="A1168" s="70"/>
      <c r="B1168" s="70"/>
      <c r="C1168" s="70"/>
      <c r="D1168" s="70"/>
      <c r="E1168" s="70"/>
      <c r="F1168" s="70"/>
      <c r="G1168" s="158"/>
      <c r="H1168" s="158"/>
      <c r="I1168" s="297"/>
      <c r="J1168" s="297"/>
      <c r="K1168" s="297"/>
      <c r="L1168" s="297"/>
      <c r="M1168" s="297"/>
      <c r="N1168" s="297"/>
      <c r="O1168" s="297"/>
      <c r="P1168" s="297"/>
      <c r="Q1168" s="297"/>
      <c r="R1168" s="297"/>
      <c r="S1168" s="298"/>
      <c r="T1168" s="298"/>
      <c r="U1168" s="298"/>
      <c r="V1168" s="297"/>
      <c r="W1168" s="297"/>
      <c r="X1168" s="70"/>
      <c r="Y1168" s="70"/>
      <c r="Z1168" s="70"/>
      <c r="AA1168" s="70"/>
      <c r="AB1168" s="70"/>
    </row>
    <row r="1169" spans="1:28" s="60" customFormat="1">
      <c r="A1169" s="70"/>
      <c r="B1169" s="70"/>
      <c r="C1169" s="70"/>
      <c r="D1169" s="70"/>
      <c r="E1169" s="70"/>
      <c r="F1169" s="70"/>
      <c r="G1169" s="300"/>
      <c r="H1169" s="300"/>
      <c r="I1169" s="297"/>
      <c r="J1169" s="297"/>
      <c r="K1169" s="297"/>
      <c r="L1169" s="297"/>
      <c r="M1169" s="297"/>
      <c r="N1169" s="297"/>
      <c r="O1169" s="297"/>
      <c r="P1169" s="297"/>
      <c r="Q1169" s="297"/>
      <c r="R1169" s="297"/>
      <c r="S1169" s="298"/>
      <c r="T1169" s="298"/>
      <c r="U1169" s="298"/>
      <c r="V1169" s="297"/>
      <c r="W1169" s="297"/>
      <c r="X1169" s="70"/>
      <c r="Y1169" s="70"/>
      <c r="Z1169" s="70"/>
      <c r="AA1169" s="70"/>
      <c r="AB1169" s="70"/>
    </row>
    <row r="1170" spans="1:28">
      <c r="A1170" s="70"/>
      <c r="B1170" s="70"/>
      <c r="C1170" s="70"/>
      <c r="D1170" s="70"/>
      <c r="E1170" s="70"/>
      <c r="F1170" s="70"/>
      <c r="G1170" s="158"/>
      <c r="H1170" s="158"/>
      <c r="I1170" s="70"/>
      <c r="J1170" s="70"/>
      <c r="K1170" s="70"/>
      <c r="L1170" s="70"/>
      <c r="M1170" s="70"/>
      <c r="N1170" s="70"/>
      <c r="O1170" s="70"/>
      <c r="P1170" s="70"/>
      <c r="Q1170" s="70"/>
      <c r="R1170" s="70"/>
      <c r="S1170" s="298"/>
      <c r="T1170" s="298"/>
      <c r="U1170" s="298"/>
      <c r="V1170" s="70"/>
      <c r="W1170" s="70"/>
      <c r="X1170" s="69"/>
      <c r="Y1170" s="69"/>
      <c r="Z1170" s="69"/>
      <c r="AA1170" s="69"/>
      <c r="AB1170" s="69"/>
    </row>
    <row r="1171" spans="1:28">
      <c r="A1171" s="70"/>
      <c r="B1171" s="70"/>
      <c r="C1171" s="70"/>
      <c r="D1171" s="70"/>
      <c r="E1171" s="70"/>
      <c r="F1171" s="70"/>
      <c r="G1171" s="158"/>
      <c r="H1171" s="158"/>
      <c r="I1171" s="297"/>
      <c r="J1171" s="297"/>
      <c r="K1171" s="297"/>
      <c r="L1171" s="297"/>
      <c r="M1171" s="297"/>
      <c r="N1171" s="297"/>
      <c r="O1171" s="297"/>
      <c r="P1171" s="297"/>
      <c r="Q1171" s="297"/>
      <c r="R1171" s="297"/>
      <c r="S1171" s="298"/>
      <c r="T1171" s="298"/>
      <c r="U1171" s="298"/>
      <c r="V1171" s="297"/>
      <c r="W1171" s="297"/>
      <c r="X1171" s="69"/>
      <c r="Y1171" s="69"/>
      <c r="Z1171" s="69"/>
      <c r="AA1171" s="69"/>
      <c r="AB1171" s="69"/>
    </row>
    <row r="1172" spans="1:28">
      <c r="A1172" s="70"/>
      <c r="B1172" s="70"/>
      <c r="C1172" s="70"/>
      <c r="D1172" s="70"/>
      <c r="E1172" s="70"/>
      <c r="F1172" s="70"/>
      <c r="G1172" s="219"/>
      <c r="H1172" s="219"/>
      <c r="I1172" s="219"/>
      <c r="J1172" s="219"/>
      <c r="K1172" s="219"/>
      <c r="L1172" s="219"/>
      <c r="M1172" s="219"/>
      <c r="N1172" s="219"/>
      <c r="O1172" s="219"/>
      <c r="P1172" s="219"/>
      <c r="Q1172" s="219"/>
      <c r="R1172" s="219"/>
      <c r="S1172" s="219"/>
      <c r="T1172" s="298"/>
      <c r="U1172" s="298"/>
      <c r="V1172" s="219"/>
      <c r="W1172" s="219"/>
      <c r="X1172" s="301"/>
      <c r="Y1172" s="301"/>
      <c r="Z1172" s="301"/>
      <c r="AA1172" s="69"/>
      <c r="AB1172" s="69"/>
    </row>
    <row r="1173" spans="1:28">
      <c r="A1173" s="70"/>
      <c r="B1173" s="70"/>
      <c r="C1173" s="70"/>
      <c r="D1173" s="70"/>
      <c r="E1173" s="70"/>
      <c r="F1173" s="70"/>
      <c r="G1173" s="219"/>
      <c r="H1173" s="219"/>
      <c r="I1173" s="219"/>
      <c r="J1173" s="219"/>
      <c r="K1173" s="219"/>
      <c r="L1173" s="219"/>
      <c r="M1173" s="219"/>
      <c r="N1173" s="219"/>
      <c r="O1173" s="219"/>
      <c r="P1173" s="219"/>
      <c r="Q1173" s="219"/>
      <c r="R1173" s="219"/>
      <c r="S1173" s="219"/>
      <c r="T1173" s="298"/>
      <c r="U1173" s="298"/>
      <c r="V1173" s="219"/>
      <c r="W1173" s="219"/>
      <c r="X1173" s="301"/>
      <c r="Y1173" s="301"/>
      <c r="Z1173" s="301"/>
      <c r="AA1173" s="69"/>
      <c r="AB1173" s="69"/>
    </row>
    <row r="1174" spans="1:28">
      <c r="A1174" s="70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69"/>
      <c r="Y1174" s="69"/>
      <c r="Z1174" s="69"/>
      <c r="AA1174" s="69"/>
      <c r="AB1174" s="69"/>
    </row>
    <row r="1175" spans="1:28">
      <c r="A1175" s="70"/>
      <c r="B1175" s="70"/>
      <c r="C1175" s="70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69"/>
      <c r="Y1175" s="69"/>
      <c r="Z1175" s="69"/>
      <c r="AA1175" s="69"/>
      <c r="AB1175" s="69"/>
    </row>
    <row r="1176" spans="1:28" ht="14.1">
      <c r="A1176" s="137"/>
      <c r="B1176" s="70"/>
      <c r="C1176" s="70"/>
      <c r="D1176" s="70"/>
      <c r="E1176" s="70"/>
      <c r="F1176" s="70"/>
      <c r="G1176" s="70"/>
      <c r="H1176" s="70"/>
      <c r="I1176" s="70"/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69"/>
      <c r="Y1176" s="69"/>
      <c r="Z1176" s="69"/>
      <c r="AA1176" s="69"/>
      <c r="AB1176" s="69"/>
    </row>
    <row r="1177" spans="1:28">
      <c r="A1177" s="70"/>
      <c r="B1177" s="70"/>
      <c r="C1177" s="70"/>
      <c r="D1177" s="70"/>
      <c r="E1177" s="70"/>
      <c r="F1177" s="70"/>
      <c r="G1177" s="302"/>
      <c r="H1177" s="302"/>
      <c r="I1177" s="297"/>
      <c r="J1177" s="297"/>
      <c r="K1177" s="297"/>
      <c r="L1177" s="297"/>
      <c r="M1177" s="297"/>
      <c r="N1177" s="297"/>
      <c r="O1177" s="297"/>
      <c r="P1177" s="297"/>
      <c r="Q1177" s="297"/>
      <c r="R1177" s="297"/>
      <c r="S1177" s="302"/>
      <c r="T1177" s="302"/>
      <c r="U1177" s="302"/>
      <c r="V1177" s="297"/>
      <c r="W1177" s="297"/>
      <c r="X1177" s="69"/>
      <c r="Y1177" s="69"/>
      <c r="Z1177" s="69"/>
      <c r="AA1177" s="69"/>
      <c r="AB1177" s="69"/>
    </row>
    <row r="1178" spans="1:28" s="60" customFormat="1">
      <c r="A1178" s="70"/>
      <c r="B1178" s="70"/>
      <c r="C1178" s="70"/>
      <c r="D1178" s="70"/>
      <c r="E1178" s="70"/>
      <c r="F1178" s="70"/>
      <c r="G1178" s="302"/>
      <c r="H1178" s="302"/>
      <c r="I1178" s="297"/>
      <c r="J1178" s="297"/>
      <c r="K1178" s="297"/>
      <c r="L1178" s="297"/>
      <c r="M1178" s="297"/>
      <c r="N1178" s="297"/>
      <c r="O1178" s="297"/>
      <c r="P1178" s="297"/>
      <c r="Q1178" s="297"/>
      <c r="R1178" s="297"/>
      <c r="S1178" s="302"/>
      <c r="T1178" s="303"/>
      <c r="U1178" s="303"/>
      <c r="V1178" s="297"/>
      <c r="W1178" s="297"/>
      <c r="X1178" s="302"/>
      <c r="Y1178" s="302"/>
      <c r="Z1178" s="302"/>
      <c r="AA1178" s="70"/>
      <c r="AB1178" s="70"/>
    </row>
    <row r="1179" spans="1:28" s="60" customFormat="1">
      <c r="A1179" s="70"/>
      <c r="B1179" s="70"/>
      <c r="C1179" s="70"/>
      <c r="D1179" s="70"/>
      <c r="E1179" s="70"/>
      <c r="F1179" s="70"/>
      <c r="G1179" s="302"/>
      <c r="H1179" s="302"/>
      <c r="I1179" s="302"/>
      <c r="J1179" s="302"/>
      <c r="K1179" s="302"/>
      <c r="L1179" s="302"/>
      <c r="M1179" s="302"/>
      <c r="N1179" s="302"/>
      <c r="O1179" s="302"/>
      <c r="P1179" s="302"/>
      <c r="Q1179" s="302"/>
      <c r="R1179" s="302"/>
      <c r="S1179" s="302"/>
      <c r="T1179" s="302"/>
      <c r="U1179" s="302"/>
      <c r="V1179" s="302"/>
      <c r="W1179" s="302"/>
      <c r="X1179" s="302"/>
      <c r="Y1179" s="302"/>
      <c r="Z1179" s="302"/>
      <c r="AA1179" s="70"/>
      <c r="AB1179" s="70"/>
    </row>
    <row r="1180" spans="1:28" s="60" customFormat="1">
      <c r="A1180" s="70"/>
      <c r="B1180" s="70"/>
      <c r="C1180" s="70"/>
      <c r="D1180" s="70"/>
      <c r="E1180" s="70"/>
      <c r="F1180" s="70"/>
      <c r="G1180" s="302"/>
      <c r="H1180" s="302"/>
      <c r="I1180" s="297"/>
      <c r="J1180" s="297"/>
      <c r="K1180" s="297"/>
      <c r="L1180" s="297"/>
      <c r="M1180" s="297"/>
      <c r="N1180" s="297"/>
      <c r="O1180" s="297"/>
      <c r="P1180" s="297"/>
      <c r="Q1180" s="297"/>
      <c r="R1180" s="297"/>
      <c r="S1180" s="302"/>
      <c r="T1180" s="302"/>
      <c r="U1180" s="302"/>
      <c r="V1180" s="297"/>
      <c r="W1180" s="297"/>
      <c r="X1180" s="302"/>
      <c r="Y1180" s="302"/>
      <c r="Z1180" s="302"/>
      <c r="AA1180" s="70"/>
      <c r="AB1180" s="70"/>
    </row>
    <row r="1181" spans="1:28" s="60" customFormat="1">
      <c r="A1181" s="70"/>
      <c r="B1181" s="70"/>
      <c r="C1181" s="70"/>
      <c r="D1181" s="70"/>
      <c r="E1181" s="70"/>
      <c r="F1181" s="70"/>
      <c r="G1181" s="302"/>
      <c r="H1181" s="302"/>
      <c r="I1181" s="297"/>
      <c r="J1181" s="297"/>
      <c r="K1181" s="297"/>
      <c r="L1181" s="297"/>
      <c r="M1181" s="297"/>
      <c r="N1181" s="297"/>
      <c r="O1181" s="297"/>
      <c r="P1181" s="297"/>
      <c r="Q1181" s="297"/>
      <c r="R1181" s="297"/>
      <c r="S1181" s="302"/>
      <c r="T1181" s="302"/>
      <c r="U1181" s="302"/>
      <c r="V1181" s="297"/>
      <c r="W1181" s="297"/>
      <c r="X1181" s="70"/>
      <c r="Y1181" s="70"/>
      <c r="Z1181" s="70"/>
      <c r="AA1181" s="70"/>
      <c r="AB1181" s="70"/>
    </row>
    <row r="1182" spans="1:28" s="60" customFormat="1">
      <c r="A1182" s="70"/>
      <c r="B1182" s="70"/>
      <c r="C1182" s="70"/>
      <c r="D1182" s="70"/>
      <c r="E1182" s="70"/>
      <c r="F1182" s="70"/>
      <c r="G1182" s="302"/>
      <c r="H1182" s="302"/>
      <c r="I1182" s="297"/>
      <c r="J1182" s="297"/>
      <c r="K1182" s="297"/>
      <c r="L1182" s="297"/>
      <c r="M1182" s="297"/>
      <c r="N1182" s="297"/>
      <c r="O1182" s="297"/>
      <c r="P1182" s="297"/>
      <c r="Q1182" s="297"/>
      <c r="R1182" s="297"/>
      <c r="S1182" s="302"/>
      <c r="T1182" s="302"/>
      <c r="U1182" s="302"/>
      <c r="V1182" s="297"/>
      <c r="W1182" s="297"/>
      <c r="X1182" s="70"/>
      <c r="Y1182" s="70"/>
      <c r="Z1182" s="70"/>
      <c r="AA1182" s="70"/>
      <c r="AB1182" s="70"/>
    </row>
    <row r="1183" spans="1:28" s="60" customFormat="1">
      <c r="A1183" s="70"/>
      <c r="B1183" s="70"/>
      <c r="C1183" s="70"/>
      <c r="D1183" s="70"/>
      <c r="E1183" s="70"/>
      <c r="F1183" s="70"/>
      <c r="G1183" s="302"/>
      <c r="H1183" s="302"/>
      <c r="I1183" s="70"/>
      <c r="J1183" s="70"/>
      <c r="K1183" s="70"/>
      <c r="L1183" s="70"/>
      <c r="M1183" s="70"/>
      <c r="N1183" s="70"/>
      <c r="O1183" s="70"/>
      <c r="P1183" s="70"/>
      <c r="Q1183" s="70"/>
      <c r="R1183" s="70"/>
      <c r="S1183" s="302"/>
      <c r="T1183" s="302"/>
      <c r="U1183" s="302"/>
      <c r="V1183" s="70"/>
      <c r="W1183" s="70"/>
      <c r="X1183" s="70"/>
      <c r="Y1183" s="70"/>
      <c r="Z1183" s="70"/>
      <c r="AA1183" s="70"/>
      <c r="AB1183" s="70"/>
    </row>
    <row r="1184" spans="1:28" s="60" customFormat="1">
      <c r="A1184" s="70"/>
      <c r="B1184" s="70"/>
      <c r="C1184" s="70"/>
      <c r="D1184" s="70"/>
      <c r="E1184" s="70"/>
      <c r="F1184" s="70"/>
      <c r="G1184" s="302"/>
      <c r="H1184" s="302"/>
      <c r="I1184" s="295"/>
      <c r="J1184" s="295"/>
      <c r="K1184" s="295"/>
      <c r="L1184" s="295"/>
      <c r="M1184" s="295"/>
      <c r="N1184" s="295"/>
      <c r="O1184" s="295"/>
      <c r="P1184" s="295"/>
      <c r="Q1184" s="295"/>
      <c r="R1184" s="295"/>
      <c r="S1184" s="302"/>
      <c r="T1184" s="302"/>
      <c r="U1184" s="302"/>
      <c r="V1184" s="295"/>
      <c r="W1184" s="295"/>
      <c r="X1184" s="70"/>
      <c r="Y1184" s="70"/>
      <c r="Z1184" s="70"/>
      <c r="AA1184" s="70"/>
      <c r="AB1184" s="70"/>
    </row>
    <row r="1185" spans="1:28" s="60" customFormat="1">
      <c r="A1185" s="70"/>
      <c r="B1185" s="70"/>
      <c r="C1185" s="70"/>
      <c r="D1185" s="70"/>
      <c r="E1185" s="70"/>
      <c r="F1185" s="70"/>
      <c r="G1185" s="302"/>
      <c r="H1185" s="302"/>
      <c r="I1185" s="302"/>
      <c r="J1185" s="302"/>
      <c r="K1185" s="302"/>
      <c r="L1185" s="302"/>
      <c r="M1185" s="302"/>
      <c r="N1185" s="302"/>
      <c r="O1185" s="302"/>
      <c r="P1185" s="302"/>
      <c r="Q1185" s="302"/>
      <c r="R1185" s="302"/>
      <c r="S1185" s="302"/>
      <c r="T1185" s="302"/>
      <c r="U1185" s="302"/>
      <c r="V1185" s="302"/>
      <c r="W1185" s="302"/>
      <c r="X1185" s="70"/>
      <c r="Y1185" s="70"/>
      <c r="Z1185" s="70"/>
      <c r="AA1185" s="70"/>
      <c r="AB1185" s="70"/>
    </row>
    <row r="1186" spans="1:28">
      <c r="A1186" s="70"/>
      <c r="B1186" s="70"/>
      <c r="C1186" s="70"/>
      <c r="D1186" s="70"/>
      <c r="E1186" s="70"/>
      <c r="F1186" s="70"/>
      <c r="G1186" s="296"/>
      <c r="H1186" s="296"/>
      <c r="I1186" s="296"/>
      <c r="J1186" s="296"/>
      <c r="K1186" s="296"/>
      <c r="L1186" s="296"/>
      <c r="M1186" s="296"/>
      <c r="N1186" s="296"/>
      <c r="O1186" s="296"/>
      <c r="P1186" s="296"/>
      <c r="Q1186" s="296"/>
      <c r="R1186" s="296"/>
      <c r="S1186" s="296"/>
      <c r="T1186" s="296"/>
      <c r="U1186" s="296"/>
      <c r="V1186" s="296"/>
      <c r="W1186" s="296"/>
      <c r="X1186" s="69"/>
      <c r="Y1186" s="69"/>
      <c r="Z1186" s="69"/>
      <c r="AA1186" s="69"/>
      <c r="AB1186" s="69"/>
    </row>
    <row r="1187" spans="1:28">
      <c r="A1187" s="70"/>
      <c r="B1187" s="70"/>
      <c r="C1187" s="70"/>
      <c r="D1187" s="70"/>
      <c r="E1187" s="70"/>
      <c r="F1187" s="70"/>
      <c r="G1187" s="296"/>
      <c r="H1187" s="296"/>
      <c r="I1187" s="296"/>
      <c r="J1187" s="296"/>
      <c r="K1187" s="296"/>
      <c r="L1187" s="296"/>
      <c r="M1187" s="296"/>
      <c r="N1187" s="296"/>
      <c r="O1187" s="296"/>
      <c r="P1187" s="296"/>
      <c r="Q1187" s="296"/>
      <c r="R1187" s="296"/>
      <c r="S1187" s="296"/>
      <c r="T1187" s="296"/>
      <c r="U1187" s="296"/>
      <c r="V1187" s="296"/>
      <c r="W1187" s="296"/>
      <c r="X1187" s="69"/>
      <c r="Y1187" s="69"/>
      <c r="Z1187" s="69"/>
      <c r="AA1187" s="69"/>
      <c r="AB1187" s="69"/>
    </row>
    <row r="1188" spans="1:28">
      <c r="A1188" s="304"/>
      <c r="B1188" s="70"/>
      <c r="C1188" s="70"/>
      <c r="D1188" s="70"/>
      <c r="E1188" s="70"/>
      <c r="F1188" s="70"/>
      <c r="G1188" s="296"/>
      <c r="H1188" s="296"/>
      <c r="I1188" s="296"/>
      <c r="J1188" s="296"/>
      <c r="K1188" s="296"/>
      <c r="L1188" s="296"/>
      <c r="M1188" s="296"/>
      <c r="N1188" s="296"/>
      <c r="O1188" s="296"/>
      <c r="P1188" s="296"/>
      <c r="Q1188" s="296"/>
      <c r="R1188" s="296"/>
      <c r="S1188" s="296"/>
      <c r="T1188" s="296"/>
      <c r="U1188" s="296"/>
      <c r="V1188" s="296"/>
      <c r="W1188" s="296"/>
      <c r="X1188" s="69"/>
      <c r="Y1188" s="69"/>
      <c r="Z1188" s="69"/>
      <c r="AA1188" s="69"/>
      <c r="AB1188" s="69"/>
    </row>
    <row r="1189" spans="1:28">
      <c r="A1189" s="304"/>
      <c r="B1189" s="70"/>
      <c r="C1189" s="70"/>
      <c r="D1189" s="70"/>
      <c r="E1189" s="70"/>
      <c r="F1189" s="70"/>
      <c r="G1189" s="296"/>
      <c r="H1189" s="296"/>
      <c r="I1189" s="296"/>
      <c r="J1189" s="296"/>
      <c r="K1189" s="296"/>
      <c r="L1189" s="296"/>
      <c r="M1189" s="296"/>
      <c r="N1189" s="296"/>
      <c r="O1189" s="296"/>
      <c r="P1189" s="296"/>
      <c r="Q1189" s="296"/>
      <c r="R1189" s="296"/>
      <c r="S1189" s="296"/>
      <c r="T1189" s="296"/>
      <c r="U1189" s="296"/>
      <c r="V1189" s="296"/>
      <c r="W1189" s="296"/>
      <c r="X1189" s="69"/>
      <c r="Y1189" s="69"/>
      <c r="Z1189" s="69"/>
      <c r="AA1189" s="69"/>
      <c r="AB1189" s="69"/>
    </row>
    <row r="1190" spans="1:28">
      <c r="A1190" s="304"/>
      <c r="B1190" s="70"/>
      <c r="C1190" s="70"/>
      <c r="D1190" s="70"/>
      <c r="E1190" s="70"/>
      <c r="F1190" s="70"/>
      <c r="G1190" s="296"/>
      <c r="H1190" s="296"/>
      <c r="I1190" s="296"/>
      <c r="J1190" s="296"/>
      <c r="K1190" s="296"/>
      <c r="L1190" s="296"/>
      <c r="M1190" s="296"/>
      <c r="N1190" s="296"/>
      <c r="O1190" s="296"/>
      <c r="P1190" s="296"/>
      <c r="Q1190" s="296"/>
      <c r="R1190" s="296"/>
      <c r="S1190" s="296"/>
      <c r="T1190" s="296"/>
      <c r="U1190" s="296"/>
      <c r="V1190" s="296"/>
      <c r="W1190" s="296"/>
      <c r="X1190" s="69"/>
      <c r="Y1190" s="69"/>
      <c r="Z1190" s="69"/>
      <c r="AA1190" s="69"/>
      <c r="AB1190" s="69"/>
    </row>
    <row r="1191" spans="1:28">
      <c r="A1191" s="304"/>
      <c r="B1191" s="70"/>
      <c r="C1191" s="70"/>
      <c r="D1191" s="70"/>
      <c r="E1191" s="70"/>
      <c r="F1191" s="70"/>
      <c r="G1191" s="296"/>
      <c r="H1191" s="296"/>
      <c r="I1191" s="296"/>
      <c r="J1191" s="296"/>
      <c r="K1191" s="296"/>
      <c r="L1191" s="296"/>
      <c r="M1191" s="296"/>
      <c r="N1191" s="296"/>
      <c r="O1191" s="296"/>
      <c r="P1191" s="296"/>
      <c r="Q1191" s="296"/>
      <c r="R1191" s="296"/>
      <c r="S1191" s="296"/>
      <c r="T1191" s="296"/>
      <c r="U1191" s="296"/>
      <c r="V1191" s="296"/>
      <c r="W1191" s="296"/>
      <c r="X1191" s="69"/>
      <c r="Y1191" s="69"/>
      <c r="Z1191" s="69"/>
      <c r="AA1191" s="69"/>
      <c r="AB1191" s="69"/>
    </row>
    <row r="1192" spans="1:28" ht="14.1">
      <c r="A1192" s="137"/>
      <c r="B1192" s="70"/>
      <c r="C1192" s="70"/>
      <c r="D1192" s="70"/>
      <c r="E1192" s="70"/>
      <c r="F1192" s="70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69"/>
      <c r="Y1192" s="69"/>
      <c r="Z1192" s="69"/>
      <c r="AA1192" s="69"/>
      <c r="AB1192" s="69"/>
    </row>
    <row r="1193" spans="1:28" ht="14.1">
      <c r="A1193" s="137"/>
      <c r="B1193" s="70"/>
      <c r="C1193" s="70"/>
      <c r="D1193" s="70"/>
      <c r="E1193" s="70"/>
      <c r="F1193" s="70"/>
      <c r="G1193" s="70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69"/>
      <c r="Y1193" s="69"/>
      <c r="Z1193" s="69"/>
      <c r="AA1193" s="69"/>
      <c r="AB1193" s="69"/>
    </row>
    <row r="1194" spans="1:28" ht="14.1">
      <c r="A1194" s="137"/>
      <c r="B1194" s="70"/>
      <c r="C1194" s="70"/>
      <c r="D1194" s="70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69"/>
      <c r="Y1194" s="69"/>
      <c r="Z1194" s="69"/>
      <c r="AA1194" s="69"/>
      <c r="AB1194" s="69"/>
    </row>
    <row r="1195" spans="1:28">
      <c r="A1195" s="70"/>
      <c r="B1195" s="70"/>
      <c r="C1195" s="70"/>
      <c r="D1195" s="70"/>
      <c r="E1195" s="70"/>
      <c r="F1195" s="7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299"/>
      <c r="Y1195" s="299"/>
      <c r="Z1195" s="299"/>
      <c r="AA1195" s="69"/>
      <c r="AB1195" s="69"/>
    </row>
    <row r="1196" spans="1:28" ht="16.5">
      <c r="A1196" s="70"/>
      <c r="B1196" s="70"/>
      <c r="C1196" s="70"/>
      <c r="D1196" s="70"/>
      <c r="E1196" s="70"/>
      <c r="F1196" s="70"/>
      <c r="G1196" s="305"/>
      <c r="H1196" s="305"/>
      <c r="I1196" s="305"/>
      <c r="J1196" s="305"/>
      <c r="K1196" s="305"/>
      <c r="L1196" s="305"/>
      <c r="M1196" s="305"/>
      <c r="N1196" s="305"/>
      <c r="O1196" s="305"/>
      <c r="P1196" s="305"/>
      <c r="Q1196" s="305"/>
      <c r="R1196" s="305"/>
      <c r="S1196" s="305"/>
      <c r="T1196" s="305"/>
      <c r="U1196" s="305"/>
      <c r="V1196" s="305"/>
      <c r="W1196" s="305"/>
      <c r="X1196" s="299"/>
      <c r="Y1196" s="299"/>
      <c r="Z1196" s="299"/>
      <c r="AA1196" s="69"/>
      <c r="AB1196" s="69"/>
    </row>
    <row r="1197" spans="1:28">
      <c r="A1197" s="70"/>
      <c r="B1197" s="70"/>
      <c r="C1197" s="70"/>
      <c r="D1197" s="70"/>
      <c r="E1197" s="70"/>
      <c r="F1197" s="7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299"/>
      <c r="Y1197" s="299"/>
      <c r="Z1197" s="299"/>
      <c r="AA1197" s="69"/>
      <c r="AB1197" s="69"/>
    </row>
    <row r="1198" spans="1:28" ht="14.1">
      <c r="A1198" s="137"/>
      <c r="B1198" s="70"/>
      <c r="C1198" s="70"/>
      <c r="D1198" s="70"/>
      <c r="E1198" s="70"/>
      <c r="F1198" s="70"/>
      <c r="G1198" s="70"/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69"/>
      <c r="Y1198" s="69"/>
      <c r="Z1198" s="69"/>
      <c r="AA1198" s="69"/>
      <c r="AB1198" s="69"/>
    </row>
    <row r="1199" spans="1:28" ht="14.1">
      <c r="A1199" s="137"/>
      <c r="B1199" s="70"/>
      <c r="C1199" s="70"/>
      <c r="D1199" s="70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69"/>
      <c r="Y1199" s="69"/>
      <c r="Z1199" s="69"/>
      <c r="AA1199" s="69"/>
      <c r="AB1199" s="69"/>
    </row>
    <row r="1200" spans="1:28">
      <c r="A1200" s="70"/>
      <c r="B1200" s="70"/>
      <c r="C1200" s="70"/>
      <c r="D1200" s="70"/>
      <c r="E1200" s="70"/>
      <c r="F1200" s="7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299"/>
      <c r="Y1200" s="299"/>
      <c r="Z1200" s="299"/>
      <c r="AA1200" s="69"/>
      <c r="AB1200" s="69"/>
    </row>
    <row r="1201" spans="1:28" ht="16.5">
      <c r="A1201" s="70"/>
      <c r="B1201" s="70"/>
      <c r="C1201" s="70"/>
      <c r="D1201" s="70"/>
      <c r="E1201" s="70"/>
      <c r="F1201" s="70"/>
      <c r="G1201" s="305"/>
      <c r="H1201" s="305"/>
      <c r="I1201" s="305"/>
      <c r="J1201" s="305"/>
      <c r="K1201" s="305"/>
      <c r="L1201" s="305"/>
      <c r="M1201" s="305"/>
      <c r="N1201" s="305"/>
      <c r="O1201" s="305"/>
      <c r="P1201" s="305"/>
      <c r="Q1201" s="305"/>
      <c r="R1201" s="305"/>
      <c r="S1201" s="305"/>
      <c r="T1201" s="305"/>
      <c r="U1201" s="305"/>
      <c r="V1201" s="305"/>
      <c r="W1201" s="305"/>
      <c r="X1201" s="299"/>
      <c r="Y1201" s="299"/>
      <c r="Z1201" s="299"/>
      <c r="AA1201" s="69"/>
      <c r="AB1201" s="69"/>
    </row>
    <row r="1202" spans="1:28">
      <c r="A1202" s="70"/>
      <c r="B1202" s="70"/>
      <c r="C1202" s="70"/>
      <c r="D1202" s="70"/>
      <c r="E1202" s="70"/>
      <c r="F1202" s="7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299"/>
      <c r="Y1202" s="299"/>
      <c r="Z1202" s="299"/>
      <c r="AA1202" s="69"/>
      <c r="AB1202" s="69"/>
    </row>
    <row r="1203" spans="1:28">
      <c r="A1203" s="70"/>
      <c r="B1203" s="70"/>
      <c r="C1203" s="70"/>
      <c r="D1203" s="70"/>
      <c r="E1203" s="70"/>
      <c r="F1203" s="70"/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69"/>
      <c r="Y1203" s="69"/>
      <c r="Z1203" s="69"/>
      <c r="AA1203" s="69"/>
      <c r="AB1203" s="69"/>
    </row>
    <row r="1204" spans="1:28" ht="14.1">
      <c r="A1204" s="137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69"/>
      <c r="Y1204" s="69"/>
      <c r="Z1204" s="69"/>
      <c r="AA1204" s="69"/>
      <c r="AB1204" s="69"/>
    </row>
    <row r="1205" spans="1:28">
      <c r="A1205" s="70"/>
      <c r="B1205" s="70"/>
      <c r="C1205" s="70"/>
      <c r="D1205" s="70"/>
      <c r="E1205" s="70"/>
      <c r="F1205" s="7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299"/>
      <c r="Y1205" s="299"/>
      <c r="Z1205" s="299"/>
      <c r="AA1205" s="69"/>
      <c r="AB1205" s="69"/>
    </row>
    <row r="1206" spans="1:28" ht="16.5">
      <c r="A1206" s="70"/>
      <c r="B1206" s="70"/>
      <c r="C1206" s="70"/>
      <c r="D1206" s="70"/>
      <c r="E1206" s="70"/>
      <c r="F1206" s="70"/>
      <c r="G1206" s="305"/>
      <c r="H1206" s="305"/>
      <c r="I1206" s="305"/>
      <c r="J1206" s="305"/>
      <c r="K1206" s="305"/>
      <c r="L1206" s="305"/>
      <c r="M1206" s="305"/>
      <c r="N1206" s="305"/>
      <c r="O1206" s="305"/>
      <c r="P1206" s="305"/>
      <c r="Q1206" s="305"/>
      <c r="R1206" s="305"/>
      <c r="S1206" s="305"/>
      <c r="T1206" s="305"/>
      <c r="U1206" s="305"/>
      <c r="V1206" s="305"/>
      <c r="W1206" s="305"/>
      <c r="X1206" s="299"/>
      <c r="Y1206" s="299"/>
      <c r="Z1206" s="299"/>
      <c r="AA1206" s="69"/>
      <c r="AB1206" s="69"/>
    </row>
    <row r="1207" spans="1:28">
      <c r="A1207" s="70"/>
      <c r="B1207" s="70"/>
      <c r="C1207" s="70"/>
      <c r="D1207" s="70"/>
      <c r="E1207" s="70"/>
      <c r="F1207" s="7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299"/>
      <c r="Y1207" s="299"/>
      <c r="Z1207" s="299"/>
      <c r="AA1207" s="69"/>
      <c r="AB1207" s="69"/>
    </row>
    <row r="1208" spans="1:28">
      <c r="A1208" s="70"/>
      <c r="B1208" s="70"/>
      <c r="C1208" s="70"/>
      <c r="D1208" s="70"/>
      <c r="E1208" s="70"/>
      <c r="F1208" s="7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299"/>
      <c r="Y1208" s="299"/>
      <c r="Z1208" s="299"/>
      <c r="AA1208" s="69"/>
      <c r="AB1208" s="69"/>
    </row>
    <row r="1209" spans="1:28" ht="14.1">
      <c r="A1209" s="137"/>
      <c r="B1209" s="70"/>
      <c r="C1209" s="70"/>
      <c r="D1209" s="70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69"/>
      <c r="Y1209" s="69"/>
      <c r="Z1209" s="69"/>
      <c r="AA1209" s="69"/>
      <c r="AB1209" s="69"/>
    </row>
    <row r="1210" spans="1:28">
      <c r="A1210" s="70"/>
      <c r="B1210" s="70"/>
      <c r="C1210" s="70"/>
      <c r="D1210" s="70"/>
      <c r="E1210" s="70"/>
      <c r="F1210" s="7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299"/>
      <c r="Y1210" s="299"/>
      <c r="Z1210" s="299"/>
      <c r="AA1210" s="69"/>
      <c r="AB1210" s="69"/>
    </row>
    <row r="1211" spans="1:28" ht="16.5">
      <c r="A1211" s="70"/>
      <c r="B1211" s="70"/>
      <c r="C1211" s="70"/>
      <c r="D1211" s="70"/>
      <c r="E1211" s="70"/>
      <c r="F1211" s="70"/>
      <c r="G1211" s="305"/>
      <c r="H1211" s="305"/>
      <c r="I1211" s="305"/>
      <c r="J1211" s="305"/>
      <c r="K1211" s="305"/>
      <c r="L1211" s="305"/>
      <c r="M1211" s="305"/>
      <c r="N1211" s="305"/>
      <c r="O1211" s="305"/>
      <c r="P1211" s="305"/>
      <c r="Q1211" s="305"/>
      <c r="R1211" s="305"/>
      <c r="S1211" s="305"/>
      <c r="T1211" s="305"/>
      <c r="U1211" s="305"/>
      <c r="V1211" s="305"/>
      <c r="W1211" s="305"/>
      <c r="X1211" s="299"/>
      <c r="Y1211" s="299"/>
      <c r="Z1211" s="299"/>
      <c r="AA1211" s="69"/>
      <c r="AB1211" s="69"/>
    </row>
    <row r="1212" spans="1:28">
      <c r="A1212" s="70"/>
      <c r="B1212" s="70"/>
      <c r="C1212" s="70"/>
      <c r="D1212" s="70"/>
      <c r="E1212" s="70"/>
      <c r="F1212" s="7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299"/>
      <c r="Y1212" s="299"/>
      <c r="Z1212" s="299"/>
      <c r="AA1212" s="69"/>
      <c r="AB1212" s="69"/>
    </row>
    <row r="1213" spans="1:28">
      <c r="A1213" s="70"/>
      <c r="B1213" s="70"/>
      <c r="C1213" s="70"/>
      <c r="D1213" s="70"/>
      <c r="E1213" s="70"/>
      <c r="F1213" s="7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299"/>
      <c r="Y1213" s="299"/>
      <c r="Z1213" s="299"/>
      <c r="AA1213" s="69"/>
      <c r="AB1213" s="69"/>
    </row>
    <row r="1214" spans="1:28" ht="14.1">
      <c r="A1214" s="137"/>
      <c r="B1214" s="70"/>
      <c r="C1214" s="70"/>
      <c r="D1214" s="70"/>
      <c r="E1214" s="70"/>
      <c r="F1214" s="70"/>
      <c r="G1214" s="70"/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69"/>
      <c r="Y1214" s="69"/>
      <c r="Z1214" s="69"/>
      <c r="AA1214" s="69"/>
      <c r="AB1214" s="69"/>
    </row>
    <row r="1215" spans="1:28">
      <c r="A1215" s="70"/>
      <c r="B1215" s="70"/>
      <c r="C1215" s="70"/>
      <c r="D1215" s="70"/>
      <c r="E1215" s="70"/>
      <c r="F1215" s="7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299"/>
      <c r="Y1215" s="299"/>
      <c r="Z1215" s="299"/>
      <c r="AA1215" s="69"/>
      <c r="AB1215" s="69"/>
    </row>
    <row r="1216" spans="1:28" ht="16.5">
      <c r="A1216" s="70"/>
      <c r="B1216" s="70"/>
      <c r="C1216" s="70"/>
      <c r="D1216" s="70"/>
      <c r="E1216" s="70"/>
      <c r="F1216" s="70"/>
      <c r="G1216" s="305"/>
      <c r="H1216" s="305"/>
      <c r="I1216" s="305"/>
      <c r="J1216" s="305"/>
      <c r="K1216" s="305"/>
      <c r="L1216" s="305"/>
      <c r="M1216" s="305"/>
      <c r="N1216" s="305"/>
      <c r="O1216" s="305"/>
      <c r="P1216" s="305"/>
      <c r="Q1216" s="305"/>
      <c r="R1216" s="305"/>
      <c r="S1216" s="305"/>
      <c r="T1216" s="305"/>
      <c r="U1216" s="305"/>
      <c r="V1216" s="305"/>
      <c r="W1216" s="305"/>
      <c r="X1216" s="299"/>
      <c r="Y1216" s="299"/>
      <c r="Z1216" s="299"/>
      <c r="AA1216" s="69"/>
      <c r="AB1216" s="69"/>
    </row>
    <row r="1217" spans="1:28">
      <c r="A1217" s="70"/>
      <c r="B1217" s="70"/>
      <c r="C1217" s="70"/>
      <c r="D1217" s="70"/>
      <c r="E1217" s="70"/>
      <c r="F1217" s="7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299"/>
      <c r="Y1217" s="299"/>
      <c r="Z1217" s="299"/>
      <c r="AA1217" s="69"/>
      <c r="AB1217" s="69"/>
    </row>
    <row r="1218" spans="1:28">
      <c r="A1218" s="70"/>
      <c r="B1218" s="70"/>
      <c r="C1218" s="70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69"/>
      <c r="Y1218" s="69"/>
      <c r="Z1218" s="69"/>
      <c r="AA1218" s="69"/>
      <c r="AB1218" s="69"/>
    </row>
    <row r="1219" spans="1:28" ht="14.1">
      <c r="A1219" s="137"/>
      <c r="B1219" s="70"/>
      <c r="C1219" s="70"/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69"/>
      <c r="Y1219" s="69"/>
      <c r="Z1219" s="69"/>
      <c r="AA1219" s="69"/>
      <c r="AB1219" s="69"/>
    </row>
    <row r="1220" spans="1:28">
      <c r="A1220" s="70"/>
      <c r="B1220" s="70"/>
      <c r="C1220" s="70"/>
      <c r="D1220" s="70"/>
      <c r="E1220" s="70"/>
      <c r="F1220" s="7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299"/>
      <c r="Y1220" s="299"/>
      <c r="Z1220" s="299"/>
      <c r="AA1220" s="69"/>
      <c r="AB1220" s="69"/>
    </row>
    <row r="1221" spans="1:28" ht="16.5">
      <c r="A1221" s="70"/>
      <c r="B1221" s="70"/>
      <c r="C1221" s="70"/>
      <c r="D1221" s="70"/>
      <c r="E1221" s="70"/>
      <c r="F1221" s="70"/>
      <c r="G1221" s="305"/>
      <c r="H1221" s="305"/>
      <c r="I1221" s="305"/>
      <c r="J1221" s="305"/>
      <c r="K1221" s="305"/>
      <c r="L1221" s="305"/>
      <c r="M1221" s="305"/>
      <c r="N1221" s="305"/>
      <c r="O1221" s="305"/>
      <c r="P1221" s="305"/>
      <c r="Q1221" s="305"/>
      <c r="R1221" s="305"/>
      <c r="S1221" s="305"/>
      <c r="T1221" s="305"/>
      <c r="U1221" s="305"/>
      <c r="V1221" s="305"/>
      <c r="W1221" s="305"/>
      <c r="X1221" s="299"/>
      <c r="Y1221" s="299"/>
      <c r="Z1221" s="299"/>
      <c r="AA1221" s="69"/>
      <c r="AB1221" s="69"/>
    </row>
    <row r="1222" spans="1:28">
      <c r="A1222" s="70"/>
      <c r="B1222" s="70"/>
      <c r="C1222" s="70"/>
      <c r="D1222" s="70"/>
      <c r="E1222" s="70"/>
      <c r="F1222" s="7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299"/>
      <c r="Y1222" s="299"/>
      <c r="Z1222" s="299"/>
      <c r="AA1222" s="69"/>
      <c r="AB1222" s="69"/>
    </row>
    <row r="1223" spans="1:28">
      <c r="A1223" s="70"/>
      <c r="B1223" s="70"/>
      <c r="C1223" s="70"/>
      <c r="D1223" s="70"/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69"/>
      <c r="Y1223" s="69"/>
      <c r="Z1223" s="69"/>
      <c r="AA1223" s="69"/>
      <c r="AB1223" s="69"/>
    </row>
    <row r="1224" spans="1:28" ht="14.1">
      <c r="A1224" s="137"/>
      <c r="B1224" s="70"/>
      <c r="C1224" s="70"/>
      <c r="D1224" s="70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69"/>
      <c r="Y1224" s="69"/>
      <c r="Z1224" s="69"/>
      <c r="AA1224" s="69"/>
      <c r="AB1224" s="69"/>
    </row>
    <row r="1225" spans="1:28">
      <c r="A1225" s="70"/>
      <c r="B1225" s="70"/>
      <c r="C1225" s="70"/>
      <c r="D1225" s="70"/>
      <c r="E1225" s="70"/>
      <c r="F1225" s="7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299"/>
      <c r="Y1225" s="299"/>
      <c r="Z1225" s="299"/>
      <c r="AA1225" s="69"/>
      <c r="AB1225" s="69"/>
    </row>
    <row r="1226" spans="1:28" ht="16.5">
      <c r="A1226" s="70"/>
      <c r="B1226" s="70"/>
      <c r="C1226" s="70"/>
      <c r="D1226" s="70"/>
      <c r="E1226" s="70"/>
      <c r="F1226" s="70"/>
      <c r="G1226" s="305"/>
      <c r="H1226" s="305"/>
      <c r="I1226" s="305"/>
      <c r="J1226" s="305"/>
      <c r="K1226" s="305"/>
      <c r="L1226" s="305"/>
      <c r="M1226" s="305"/>
      <c r="N1226" s="305"/>
      <c r="O1226" s="305"/>
      <c r="P1226" s="305"/>
      <c r="Q1226" s="305"/>
      <c r="R1226" s="305"/>
      <c r="S1226" s="305"/>
      <c r="T1226" s="305"/>
      <c r="U1226" s="305"/>
      <c r="V1226" s="305"/>
      <c r="W1226" s="305"/>
      <c r="X1226" s="299"/>
      <c r="Y1226" s="299"/>
      <c r="Z1226" s="299"/>
      <c r="AA1226" s="69"/>
      <c r="AB1226" s="69"/>
    </row>
    <row r="1227" spans="1:28">
      <c r="A1227" s="70"/>
      <c r="B1227" s="70"/>
      <c r="C1227" s="70"/>
      <c r="D1227" s="70"/>
      <c r="E1227" s="70"/>
      <c r="F1227" s="7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299"/>
      <c r="Y1227" s="299"/>
      <c r="Z1227" s="299"/>
      <c r="AA1227" s="69"/>
      <c r="AB1227" s="69"/>
    </row>
    <row r="1228" spans="1:28">
      <c r="A1228" s="70"/>
      <c r="B1228" s="70"/>
      <c r="C1228" s="70"/>
      <c r="D1228" s="70"/>
      <c r="E1228" s="70"/>
      <c r="F1228" s="70"/>
      <c r="G1228" s="70"/>
      <c r="H1228" s="70"/>
      <c r="I1228" s="70"/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69"/>
      <c r="Y1228" s="69"/>
      <c r="Z1228" s="69"/>
      <c r="AA1228" s="69"/>
      <c r="AB1228" s="69"/>
    </row>
    <row r="1229" spans="1:28" ht="14.1">
      <c r="A1229" s="137"/>
      <c r="B1229" s="70"/>
      <c r="C1229" s="70"/>
      <c r="D1229" s="70"/>
      <c r="E1229" s="70"/>
      <c r="F1229" s="70"/>
      <c r="G1229" s="70"/>
      <c r="H1229" s="70"/>
      <c r="I1229" s="70"/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69"/>
      <c r="Y1229" s="69"/>
      <c r="Z1229" s="69"/>
      <c r="AA1229" s="69"/>
      <c r="AB1229" s="69"/>
    </row>
    <row r="1230" spans="1:28">
      <c r="A1230" s="70"/>
      <c r="B1230" s="70"/>
      <c r="C1230" s="70"/>
      <c r="D1230" s="70"/>
      <c r="E1230" s="70"/>
      <c r="F1230" s="7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299"/>
      <c r="Y1230" s="299"/>
      <c r="Z1230" s="299"/>
      <c r="AA1230" s="69"/>
      <c r="AB1230" s="69"/>
    </row>
    <row r="1231" spans="1:28" ht="16.5">
      <c r="A1231" s="70"/>
      <c r="B1231" s="70"/>
      <c r="C1231" s="70"/>
      <c r="D1231" s="70"/>
      <c r="E1231" s="70"/>
      <c r="F1231" s="70"/>
      <c r="G1231" s="305"/>
      <c r="H1231" s="305"/>
      <c r="I1231" s="305"/>
      <c r="J1231" s="305"/>
      <c r="K1231" s="305"/>
      <c r="L1231" s="305"/>
      <c r="M1231" s="305"/>
      <c r="N1231" s="305"/>
      <c r="O1231" s="305"/>
      <c r="P1231" s="305"/>
      <c r="Q1231" s="305"/>
      <c r="R1231" s="305"/>
      <c r="S1231" s="305"/>
      <c r="T1231" s="305"/>
      <c r="U1231" s="305"/>
      <c r="V1231" s="305"/>
      <c r="W1231" s="305"/>
      <c r="X1231" s="306"/>
      <c r="Y1231" s="306"/>
      <c r="Z1231" s="306"/>
      <c r="AA1231" s="69"/>
      <c r="AB1231" s="69"/>
    </row>
    <row r="1232" spans="1:28">
      <c r="A1232" s="70"/>
      <c r="B1232" s="70"/>
      <c r="C1232" s="70"/>
      <c r="D1232" s="70"/>
      <c r="E1232" s="70"/>
      <c r="F1232" s="7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299"/>
      <c r="Y1232" s="299"/>
      <c r="Z1232" s="299"/>
      <c r="AA1232" s="69"/>
      <c r="AB1232" s="69"/>
    </row>
    <row r="1233" spans="1:28">
      <c r="A1233" s="70"/>
      <c r="B1233" s="70"/>
      <c r="C1233" s="70"/>
      <c r="D1233" s="70"/>
      <c r="E1233" s="70"/>
      <c r="F1233" s="70"/>
      <c r="G1233" s="70"/>
      <c r="H1233" s="70"/>
      <c r="I1233" s="70"/>
      <c r="J1233" s="158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69"/>
      <c r="Y1233" s="69"/>
      <c r="Z1233" s="69"/>
      <c r="AA1233" s="69"/>
      <c r="AB1233" s="69"/>
    </row>
    <row r="1234" spans="1:28" ht="14.1">
      <c r="A1234" s="137"/>
      <c r="B1234" s="70"/>
      <c r="C1234" s="70"/>
      <c r="D1234" s="70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69"/>
      <c r="Y1234" s="69"/>
      <c r="Z1234" s="69"/>
      <c r="AA1234" s="69"/>
      <c r="AB1234" s="69"/>
    </row>
    <row r="1235" spans="1:28">
      <c r="A1235" s="70"/>
      <c r="B1235" s="70"/>
      <c r="C1235" s="70"/>
      <c r="D1235" s="70"/>
      <c r="E1235" s="70"/>
      <c r="F1235" s="70"/>
      <c r="G1235" s="295"/>
      <c r="H1235" s="295"/>
      <c r="I1235" s="295"/>
      <c r="J1235" s="295"/>
      <c r="K1235" s="295"/>
      <c r="L1235" s="295"/>
      <c r="M1235" s="295"/>
      <c r="N1235" s="295"/>
      <c r="O1235" s="295"/>
      <c r="P1235" s="295"/>
      <c r="Q1235" s="295"/>
      <c r="R1235" s="295"/>
      <c r="S1235" s="295"/>
      <c r="T1235" s="295"/>
      <c r="U1235" s="295"/>
      <c r="V1235" s="295"/>
      <c r="W1235" s="295"/>
      <c r="X1235" s="307"/>
      <c r="Y1235" s="307"/>
      <c r="Z1235" s="307"/>
      <c r="AA1235" s="69"/>
      <c r="AB1235" s="69"/>
    </row>
    <row r="1236" spans="1:28" ht="16.5">
      <c r="A1236" s="70"/>
      <c r="B1236" s="70"/>
      <c r="C1236" s="70"/>
      <c r="D1236" s="70"/>
      <c r="E1236" s="70"/>
      <c r="F1236" s="70"/>
      <c r="G1236" s="308"/>
      <c r="H1236" s="308"/>
      <c r="I1236" s="308"/>
      <c r="J1236" s="308"/>
      <c r="K1236" s="308"/>
      <c r="L1236" s="308"/>
      <c r="M1236" s="308"/>
      <c r="N1236" s="308"/>
      <c r="O1236" s="308"/>
      <c r="P1236" s="308"/>
      <c r="Q1236" s="308"/>
      <c r="R1236" s="308"/>
      <c r="S1236" s="308"/>
      <c r="T1236" s="308"/>
      <c r="U1236" s="309"/>
      <c r="V1236" s="308"/>
      <c r="W1236" s="308"/>
      <c r="X1236" s="310"/>
      <c r="Y1236" s="310"/>
      <c r="Z1236" s="310"/>
      <c r="AA1236" s="69"/>
      <c r="AB1236" s="69"/>
    </row>
    <row r="1237" spans="1:28">
      <c r="A1237" s="70"/>
      <c r="B1237" s="70"/>
      <c r="C1237" s="70"/>
      <c r="D1237" s="70"/>
      <c r="E1237" s="70"/>
      <c r="F1237" s="70"/>
      <c r="G1237" s="295"/>
      <c r="H1237" s="295"/>
      <c r="I1237" s="295"/>
      <c r="J1237" s="295"/>
      <c r="K1237" s="295"/>
      <c r="L1237" s="295"/>
      <c r="M1237" s="295"/>
      <c r="N1237" s="295"/>
      <c r="O1237" s="295"/>
      <c r="P1237" s="295"/>
      <c r="Q1237" s="295"/>
      <c r="R1237" s="295"/>
      <c r="S1237" s="295"/>
      <c r="T1237" s="295"/>
      <c r="U1237" s="295"/>
      <c r="V1237" s="295"/>
      <c r="W1237" s="295"/>
      <c r="X1237" s="307"/>
      <c r="Y1237" s="307"/>
      <c r="Z1237" s="307"/>
      <c r="AA1237" s="69"/>
      <c r="AB1237" s="69"/>
    </row>
    <row r="1238" spans="1:28">
      <c r="A1238" s="70"/>
      <c r="B1238" s="70"/>
      <c r="C1238" s="70"/>
      <c r="D1238" s="70"/>
      <c r="E1238" s="70"/>
      <c r="F1238" s="70"/>
      <c r="G1238" s="70"/>
      <c r="H1238" s="70"/>
      <c r="I1238" s="70"/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69"/>
      <c r="Y1238" s="69"/>
      <c r="Z1238" s="69"/>
      <c r="AA1238" s="69"/>
      <c r="AB1238" s="69"/>
    </row>
    <row r="1239" spans="1:28">
      <c r="A1239" s="70"/>
      <c r="B1239" s="70"/>
      <c r="C1239" s="70"/>
      <c r="D1239" s="70"/>
      <c r="E1239" s="70"/>
      <c r="F1239" s="70"/>
      <c r="G1239" s="70"/>
      <c r="H1239" s="70"/>
      <c r="I1239" s="70"/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69"/>
      <c r="Y1239" s="69"/>
      <c r="Z1239" s="69"/>
      <c r="AA1239" s="69"/>
      <c r="AB1239" s="69"/>
    </row>
    <row r="1240" spans="1:28">
      <c r="A1240" s="70"/>
      <c r="B1240" s="70"/>
      <c r="C1240" s="70"/>
      <c r="D1240" s="70"/>
      <c r="E1240" s="70"/>
      <c r="F1240" s="70"/>
      <c r="G1240" s="219"/>
      <c r="H1240" s="70"/>
      <c r="I1240" s="70"/>
      <c r="J1240" s="70"/>
      <c r="K1240" s="219"/>
      <c r="L1240" s="219"/>
      <c r="M1240" s="70"/>
      <c r="N1240" s="70"/>
      <c r="O1240" s="219"/>
      <c r="P1240" s="219"/>
      <c r="Q1240" s="70"/>
      <c r="R1240" s="70"/>
      <c r="S1240" s="220"/>
      <c r="T1240" s="70"/>
      <c r="U1240" s="70"/>
      <c r="V1240" s="70"/>
      <c r="W1240" s="70"/>
      <c r="X1240" s="69"/>
      <c r="Y1240" s="69"/>
      <c r="Z1240" s="69"/>
      <c r="AA1240" s="69"/>
      <c r="AB1240" s="69"/>
    </row>
    <row r="1241" spans="1:28">
      <c r="A1241" s="70"/>
      <c r="B1241" s="70"/>
      <c r="C1241" s="70"/>
      <c r="D1241" s="70"/>
      <c r="E1241" s="70"/>
      <c r="F1241" s="70"/>
      <c r="G1241" s="219"/>
      <c r="H1241" s="70"/>
      <c r="I1241" s="70"/>
      <c r="J1241" s="70"/>
      <c r="K1241" s="219"/>
      <c r="L1241" s="219"/>
      <c r="M1241" s="70"/>
      <c r="N1241" s="70"/>
      <c r="O1241" s="219"/>
      <c r="P1241" s="219"/>
      <c r="Q1241" s="70"/>
      <c r="R1241" s="70"/>
      <c r="S1241" s="220"/>
      <c r="T1241" s="70"/>
      <c r="U1241" s="70"/>
      <c r="V1241" s="70"/>
      <c r="W1241" s="70"/>
      <c r="X1241" s="69"/>
      <c r="Y1241" s="69"/>
      <c r="Z1241" s="69"/>
      <c r="AA1241" s="69"/>
      <c r="AB1241" s="69"/>
    </row>
    <row r="1242" spans="1:28">
      <c r="A1242" s="70"/>
      <c r="B1242" s="70"/>
      <c r="C1242" s="70"/>
      <c r="D1242" s="70"/>
      <c r="E1242" s="70"/>
      <c r="F1242" s="70"/>
      <c r="G1242" s="219"/>
      <c r="H1242" s="70"/>
      <c r="I1242" s="70"/>
      <c r="J1242" s="70"/>
      <c r="K1242" s="219"/>
      <c r="L1242" s="219"/>
      <c r="M1242" s="70"/>
      <c r="N1242" s="70"/>
      <c r="O1242" s="219"/>
      <c r="P1242" s="219"/>
      <c r="Q1242" s="70"/>
      <c r="R1242" s="70"/>
      <c r="S1242" s="220"/>
      <c r="T1242" s="70"/>
      <c r="U1242" s="70"/>
      <c r="V1242" s="70"/>
      <c r="W1242" s="70"/>
      <c r="X1242" s="69"/>
      <c r="Y1242" s="69"/>
      <c r="Z1242" s="69"/>
      <c r="AA1242" s="69"/>
      <c r="AB1242" s="69"/>
    </row>
    <row r="1243" spans="1:28">
      <c r="A1243" s="70"/>
      <c r="B1243" s="70"/>
      <c r="C1243" s="70"/>
      <c r="D1243" s="70"/>
      <c r="E1243" s="70"/>
      <c r="F1243" s="70"/>
      <c r="G1243" s="220"/>
      <c r="H1243" s="70"/>
      <c r="I1243" s="70"/>
      <c r="J1243" s="70"/>
      <c r="K1243" s="220"/>
      <c r="L1243" s="220"/>
      <c r="M1243" s="70"/>
      <c r="N1243" s="70"/>
      <c r="O1243" s="220"/>
      <c r="P1243" s="220"/>
      <c r="Q1243" s="70"/>
      <c r="R1243" s="70"/>
      <c r="S1243" s="149"/>
      <c r="T1243" s="70"/>
      <c r="U1243" s="70"/>
      <c r="V1243" s="70"/>
      <c r="W1243" s="70"/>
      <c r="X1243" s="69"/>
      <c r="Y1243" s="69"/>
      <c r="Z1243" s="69"/>
      <c r="AA1243" s="69"/>
      <c r="AB1243" s="69"/>
    </row>
    <row r="1244" spans="1:28">
      <c r="A1244" s="70"/>
      <c r="B1244" s="70"/>
      <c r="C1244" s="70"/>
      <c r="D1244" s="70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  <c r="O1244" s="70"/>
      <c r="P1244" s="70"/>
      <c r="Q1244" s="70"/>
      <c r="R1244" s="70"/>
      <c r="S1244" s="295"/>
      <c r="T1244" s="70"/>
      <c r="U1244" s="70"/>
      <c r="V1244" s="70"/>
      <c r="W1244" s="70"/>
      <c r="X1244" s="69"/>
      <c r="Y1244" s="69"/>
      <c r="Z1244" s="69"/>
      <c r="AA1244" s="69"/>
      <c r="AB1244" s="69"/>
    </row>
    <row r="1245" spans="1:28">
      <c r="A1245" s="70"/>
      <c r="B1245" s="70"/>
      <c r="C1245" s="70"/>
      <c r="D1245" s="70"/>
      <c r="E1245" s="70"/>
      <c r="F1245" s="70"/>
      <c r="G1245" s="216"/>
      <c r="H1245" s="70"/>
      <c r="I1245" s="70"/>
      <c r="J1245" s="70"/>
      <c r="K1245" s="216"/>
      <c r="L1245" s="216"/>
      <c r="M1245" s="70"/>
      <c r="N1245" s="70"/>
      <c r="O1245" s="216"/>
      <c r="P1245" s="216"/>
      <c r="Q1245" s="70"/>
      <c r="R1245" s="70"/>
      <c r="S1245" s="149"/>
      <c r="T1245" s="70"/>
      <c r="U1245" s="70"/>
      <c r="V1245" s="70"/>
      <c r="W1245" s="70"/>
      <c r="X1245" s="69"/>
      <c r="Y1245" s="69"/>
      <c r="Z1245" s="69"/>
      <c r="AA1245" s="69"/>
      <c r="AB1245" s="69"/>
    </row>
    <row r="1246" spans="1:28">
      <c r="A1246" s="70"/>
      <c r="B1246" s="70"/>
      <c r="C1246" s="70"/>
      <c r="D1246" s="70"/>
      <c r="E1246" s="70"/>
      <c r="F1246" s="70"/>
      <c r="G1246" s="216"/>
      <c r="H1246" s="70"/>
      <c r="I1246" s="70"/>
      <c r="J1246" s="70"/>
      <c r="K1246" s="216"/>
      <c r="L1246" s="216"/>
      <c r="M1246" s="70"/>
      <c r="N1246" s="70"/>
      <c r="O1246" s="216"/>
      <c r="P1246" s="216"/>
      <c r="Q1246" s="70"/>
      <c r="R1246" s="70"/>
      <c r="S1246" s="219"/>
      <c r="T1246" s="70"/>
      <c r="U1246" s="70"/>
      <c r="V1246" s="70"/>
      <c r="W1246" s="70"/>
      <c r="X1246" s="69"/>
      <c r="Y1246" s="69"/>
      <c r="Z1246" s="69"/>
      <c r="AA1246" s="69"/>
      <c r="AB1246" s="69"/>
    </row>
    <row r="1247" spans="1:28">
      <c r="A1247" s="70"/>
      <c r="B1247" s="70"/>
      <c r="C1247" s="70"/>
      <c r="D1247" s="70"/>
      <c r="E1247" s="70"/>
      <c r="F1247" s="70"/>
      <c r="G1247" s="216"/>
      <c r="H1247" s="70"/>
      <c r="I1247" s="70"/>
      <c r="J1247" s="70"/>
      <c r="K1247" s="216"/>
      <c r="L1247" s="216"/>
      <c r="M1247" s="70"/>
      <c r="N1247" s="70"/>
      <c r="O1247" s="216"/>
      <c r="P1247" s="216"/>
      <c r="Q1247" s="70"/>
      <c r="R1247" s="70"/>
      <c r="S1247" s="70"/>
      <c r="T1247" s="70"/>
      <c r="U1247" s="70"/>
      <c r="V1247" s="70"/>
      <c r="W1247" s="70"/>
      <c r="X1247" s="69"/>
      <c r="Y1247" s="69"/>
      <c r="Z1247" s="69"/>
      <c r="AA1247" s="69"/>
      <c r="AB1247" s="69"/>
    </row>
    <row r="1248" spans="1:28">
      <c r="A1248" s="70"/>
      <c r="B1248" s="70"/>
      <c r="C1248" s="70"/>
      <c r="D1248" s="70"/>
      <c r="E1248" s="70"/>
      <c r="F1248" s="70"/>
      <c r="G1248" s="221"/>
      <c r="H1248" s="70"/>
      <c r="I1248" s="70"/>
      <c r="J1248" s="70"/>
      <c r="K1248" s="221"/>
      <c r="L1248" s="221"/>
      <c r="M1248" s="70"/>
      <c r="N1248" s="70"/>
      <c r="O1248" s="221"/>
      <c r="P1248" s="221"/>
      <c r="Q1248" s="70"/>
      <c r="R1248" s="70"/>
      <c r="S1248" s="70"/>
      <c r="T1248" s="70"/>
      <c r="U1248" s="70"/>
      <c r="V1248" s="70"/>
      <c r="W1248" s="70"/>
      <c r="X1248" s="69"/>
      <c r="Y1248" s="69"/>
      <c r="Z1248" s="69"/>
      <c r="AA1248" s="69"/>
      <c r="AB1248" s="69"/>
    </row>
    <row r="1249" spans="1:28">
      <c r="A1249" s="70"/>
      <c r="B1249" s="70"/>
      <c r="C1249" s="70"/>
      <c r="D1249" s="70"/>
      <c r="E1249" s="70"/>
      <c r="F1249" s="70"/>
      <c r="G1249" s="70"/>
      <c r="H1249" s="70"/>
      <c r="I1249" s="70"/>
      <c r="J1249" s="70"/>
      <c r="K1249" s="70"/>
      <c r="L1249" s="70"/>
      <c r="M1249" s="70"/>
      <c r="N1249" s="70"/>
      <c r="O1249" s="70"/>
      <c r="P1249" s="70"/>
      <c r="Q1249" s="70"/>
      <c r="R1249" s="70"/>
      <c r="S1249" s="311"/>
      <c r="T1249" s="70"/>
      <c r="U1249" s="70"/>
      <c r="V1249" s="70"/>
      <c r="W1249" s="70"/>
      <c r="X1249" s="69"/>
      <c r="Y1249" s="69"/>
      <c r="Z1249" s="69"/>
      <c r="AA1249" s="69"/>
      <c r="AB1249" s="69"/>
    </row>
    <row r="1250" spans="1:28">
      <c r="A1250" s="70"/>
      <c r="B1250" s="70"/>
      <c r="C1250" s="70"/>
      <c r="D1250" s="70"/>
      <c r="E1250" s="70"/>
      <c r="F1250" s="70"/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69"/>
      <c r="Y1250" s="69"/>
      <c r="Z1250" s="69"/>
      <c r="AA1250" s="69"/>
      <c r="AB1250" s="69"/>
    </row>
    <row r="1251" spans="1:28"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80"/>
      <c r="V1251" s="80"/>
      <c r="W1251" s="80"/>
      <c r="X1251" s="64"/>
      <c r="Y1251" s="64"/>
      <c r="Z1251" s="64"/>
      <c r="AA1251" s="64"/>
      <c r="AB1251" s="58"/>
    </row>
    <row r="1252" spans="1:28"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80"/>
      <c r="V1252" s="80"/>
      <c r="W1252" s="80"/>
      <c r="X1252" s="64"/>
      <c r="Y1252" s="64"/>
      <c r="Z1252" s="64"/>
      <c r="AA1252" s="64"/>
      <c r="AB1252" s="58"/>
    </row>
    <row r="1253" spans="1:28"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80"/>
      <c r="V1253" s="80"/>
      <c r="W1253" s="80"/>
      <c r="X1253" s="64"/>
      <c r="Y1253" s="64"/>
      <c r="Z1253" s="64"/>
      <c r="AA1253" s="64"/>
      <c r="AB1253" s="58"/>
    </row>
    <row r="1254" spans="1:28"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80"/>
      <c r="V1254" s="80"/>
      <c r="W1254" s="80"/>
      <c r="X1254" s="80"/>
      <c r="Y1254" s="80"/>
      <c r="Z1254" s="80"/>
      <c r="AA1254" s="64"/>
      <c r="AB1254" s="58"/>
    </row>
    <row r="1255" spans="1:28"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80"/>
      <c r="V1255" s="80"/>
      <c r="W1255" s="80"/>
      <c r="X1255" s="80"/>
      <c r="Y1255" s="80"/>
      <c r="Z1255" s="80"/>
      <c r="AA1255" s="64"/>
      <c r="AB1255" s="58"/>
    </row>
    <row r="1256" spans="1:28"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64"/>
      <c r="AB1256" s="58"/>
    </row>
    <row r="1257" spans="1:28"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64"/>
      <c r="AB1257" s="58"/>
    </row>
    <row r="1258" spans="1:28"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80"/>
      <c r="V1258" s="80"/>
      <c r="W1258" s="80"/>
      <c r="X1258" s="80"/>
      <c r="Y1258" s="80"/>
      <c r="Z1258" s="80"/>
      <c r="AA1258" s="64"/>
      <c r="AB1258" s="58"/>
    </row>
    <row r="1259" spans="1:28"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64"/>
      <c r="AB1259" s="58"/>
    </row>
    <row r="1260" spans="1:28">
      <c r="X1260" s="60"/>
      <c r="Y1260" s="60"/>
      <c r="Z1260" s="60"/>
      <c r="AA1260" s="64"/>
      <c r="AB1260" s="58"/>
    </row>
    <row r="1261" spans="1:28">
      <c r="F1261" s="148"/>
      <c r="G1261" s="148"/>
      <c r="H1261" s="148"/>
      <c r="I1261" s="148"/>
      <c r="J1261" s="148"/>
      <c r="K1261" s="148"/>
      <c r="L1261" s="148"/>
      <c r="M1261" s="148"/>
      <c r="N1261" s="148"/>
      <c r="O1261" s="148"/>
      <c r="P1261" s="148"/>
      <c r="Q1261" s="148"/>
      <c r="R1261" s="148"/>
      <c r="S1261" s="148"/>
      <c r="T1261" s="148"/>
      <c r="U1261" s="148"/>
      <c r="V1261" s="148"/>
      <c r="W1261" s="148"/>
      <c r="X1261" s="74"/>
      <c r="Y1261" s="74"/>
      <c r="Z1261" s="74"/>
      <c r="AA1261" s="64"/>
      <c r="AB1261" s="58"/>
    </row>
    <row r="1262" spans="1:28">
      <c r="F1262" s="132"/>
      <c r="G1262" s="132"/>
      <c r="H1262" s="132"/>
      <c r="I1262" s="132"/>
      <c r="J1262" s="132"/>
      <c r="K1262" s="132"/>
      <c r="L1262" s="132"/>
      <c r="M1262" s="132"/>
      <c r="N1262" s="132"/>
      <c r="O1262" s="132"/>
      <c r="P1262" s="132"/>
      <c r="Q1262" s="132"/>
      <c r="R1262" s="132"/>
      <c r="S1262" s="132"/>
      <c r="T1262" s="132"/>
      <c r="U1262" s="132"/>
      <c r="V1262" s="132"/>
      <c r="W1262" s="132"/>
      <c r="X1262" s="132"/>
      <c r="Y1262" s="132"/>
      <c r="Z1262" s="132"/>
      <c r="AA1262" s="64"/>
      <c r="AB1262" s="58"/>
    </row>
    <row r="1263" spans="1:28"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80"/>
      <c r="V1263" s="80"/>
      <c r="W1263" s="80"/>
      <c r="X1263" s="80"/>
      <c r="Y1263" s="80"/>
      <c r="Z1263" s="80"/>
      <c r="AA1263" s="64"/>
      <c r="AB1263" s="58"/>
    </row>
  </sheetData>
  <autoFilter ref="D2:E1259" xr:uid="{00000000-0009-0000-0000-000001000000}"/>
  <phoneticPr fontId="0" type="noConversion"/>
  <conditionalFormatting sqref="Y1094">
    <cfRule type="cellIs" dxfId="8" priority="5" stopIfTrue="1" operator="notEqual">
      <formula>""</formula>
    </cfRule>
  </conditionalFormatting>
  <conditionalFormatting sqref="Y1097">
    <cfRule type="cellIs" dxfId="7" priority="4" stopIfTrue="1" operator="notEqual">
      <formula>""</formula>
    </cfRule>
  </conditionalFormatting>
  <conditionalFormatting sqref="Y1096">
    <cfRule type="cellIs" dxfId="6" priority="3" stopIfTrue="1" operator="notEqual">
      <formula>""</formula>
    </cfRule>
  </conditionalFormatting>
  <conditionalFormatting sqref="Y1097">
    <cfRule type="cellIs" dxfId="5" priority="2" stopIfTrue="1" operator="notEqual">
      <formula>""</formula>
    </cfRule>
  </conditionalFormatting>
  <conditionalFormatting sqref="Y1095">
    <cfRule type="cellIs" dxfId="4" priority="1" stopIfTrue="1" operator="notEqual">
      <formula>""</formula>
    </cfRule>
  </conditionalFormatting>
  <pageMargins left="0.5" right="0.25" top="1.25" bottom="0.5" header="0.5" footer="0.3"/>
  <pageSetup scale="50" pageOrder="overThenDown" orientation="landscape" r:id="rId1"/>
  <headerFooter alignWithMargins="0">
    <oddHeader>&amp;C&amp;"Times New Roman,Bold"&amp;12LOUISVILLE GAS AND ELECTRIC COMPANY
Cost of Service Study
Class Allocation
12 Months Ended 
June 30, 2022&amp;R&amp;"Times New Roman,Bold"&amp;12Exhibit WSS-29
Page &amp;P of &amp;N</oddHeader>
  </headerFooter>
  <rowBreaks count="22" manualBreakCount="22">
    <brk id="63" max="25" man="1"/>
    <brk id="120" max="25" man="1"/>
    <brk id="177" max="25" man="1"/>
    <brk id="234" max="25" man="1"/>
    <brk id="291" max="25" man="1"/>
    <brk id="348" max="25" man="1"/>
    <brk id="406" max="25" man="1"/>
    <brk id="463" max="25" man="1"/>
    <brk id="520" max="25" man="1"/>
    <brk id="578" max="25" man="1"/>
    <brk id="635" max="25" man="1"/>
    <brk id="692" max="25" man="1"/>
    <brk id="742" max="25" man="1"/>
    <brk id="803" max="25" man="1"/>
    <brk id="948" max="25" man="1"/>
    <brk id="998" max="25" man="1"/>
    <brk id="1049" max="16383" man="1"/>
    <brk id="1101" max="25" man="1"/>
    <brk id="1122" max="16383" man="1"/>
    <brk id="1173" max="16383" man="1"/>
    <brk id="1191" max="16383" man="1"/>
    <brk id="1239" max="34" man="1"/>
  </rowBreaks>
  <colBreaks count="1" manualBreakCount="1">
    <brk id="14" max="1118" man="1"/>
  </colBreaks>
  <ignoredErrors>
    <ignoredError sqref="AA9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X89"/>
  <sheetViews>
    <sheetView tabSelected="1" view="pageBreakPreview" topLeftCell="A27" zoomScale="130" zoomScaleNormal="90" zoomScaleSheetLayoutView="130" workbookViewId="0">
      <pane xSplit="1" topLeftCell="B1" activePane="topRight" state="frozen"/>
      <selection activeCell="A27" sqref="A27"/>
      <selection pane="topRight" activeCell="B27" sqref="B27"/>
    </sheetView>
  </sheetViews>
  <sheetFormatPr defaultRowHeight="14.1"/>
  <cols>
    <col min="1" max="1" width="51.26171875" bestFit="1" customWidth="1"/>
    <col min="2" max="2" width="8.83984375" customWidth="1"/>
    <col min="3" max="3" width="14.15625" style="3" customWidth="1"/>
    <col min="4" max="4" width="13.578125" style="3" customWidth="1"/>
    <col min="5" max="5" width="12.578125" style="3" bestFit="1" customWidth="1"/>
    <col min="6" max="6" width="18.83984375" style="8" customWidth="1"/>
    <col min="7" max="7" width="14.83984375" customWidth="1"/>
    <col min="8" max="9" width="14.83984375" hidden="1" customWidth="1"/>
    <col min="10" max="10" width="6.26171875" style="4" customWidth="1"/>
    <col min="11" max="11" width="29.26171875" style="4" customWidth="1"/>
    <col min="12" max="13" width="16.578125" style="4" customWidth="1"/>
    <col min="15" max="17" width="15.68359375" style="4" customWidth="1"/>
    <col min="18" max="18" width="15.68359375" customWidth="1"/>
  </cols>
  <sheetData>
    <row r="1" spans="1:76" ht="17.399999999999999" hidden="1">
      <c r="A1" s="27" t="s">
        <v>597</v>
      </c>
    </row>
    <row r="2" spans="1:76" hidden="1">
      <c r="A2" s="5" t="s">
        <v>1168</v>
      </c>
      <c r="B2" s="20"/>
      <c r="C2" s="247"/>
      <c r="D2" s="247"/>
      <c r="E2" s="247"/>
      <c r="F2" s="247"/>
      <c r="J2" s="468"/>
      <c r="K2" s="468"/>
      <c r="L2" s="468"/>
      <c r="M2" s="468"/>
      <c r="O2" s="468"/>
      <c r="P2" s="468"/>
      <c r="Q2" s="468"/>
      <c r="R2" s="468"/>
    </row>
    <row r="3" spans="1:76" hidden="1">
      <c r="A3" s="20"/>
      <c r="B3" s="20"/>
      <c r="C3" s="15"/>
      <c r="D3" s="21"/>
      <c r="E3" s="21"/>
      <c r="F3" s="22"/>
      <c r="G3" s="20"/>
      <c r="H3" s="20"/>
      <c r="I3" s="20"/>
      <c r="J3" s="23"/>
      <c r="K3" s="23"/>
      <c r="L3" s="23"/>
      <c r="M3" s="24"/>
      <c r="N3" s="20"/>
      <c r="O3" s="23"/>
      <c r="P3" s="23"/>
      <c r="Q3" s="23"/>
      <c r="R3" s="24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hidden="1"/>
    <row r="5" spans="1:76" hidden="1">
      <c r="A5" s="10"/>
      <c r="B5" s="12"/>
      <c r="M5" s="8"/>
      <c r="R5" s="8"/>
    </row>
    <row r="6" spans="1:76" hidden="1">
      <c r="A6" s="13"/>
      <c r="B6" s="12"/>
      <c r="M6" s="8"/>
      <c r="R6" s="8"/>
    </row>
    <row r="7" spans="1:76" hidden="1">
      <c r="A7" s="13"/>
      <c r="B7" s="12"/>
      <c r="D7" s="14" t="s">
        <v>164</v>
      </c>
      <c r="E7" s="14" t="s">
        <v>166</v>
      </c>
      <c r="F7" s="29"/>
      <c r="G7" s="1"/>
      <c r="H7" s="1"/>
      <c r="I7" s="1"/>
      <c r="M7" s="8"/>
      <c r="R7" s="8"/>
    </row>
    <row r="8" spans="1:76" ht="14.4" hidden="1" thickBot="1">
      <c r="A8" s="25"/>
      <c r="B8" s="26"/>
      <c r="C8" s="28" t="s">
        <v>1053</v>
      </c>
      <c r="D8" s="28" t="s">
        <v>165</v>
      </c>
      <c r="E8" s="28" t="s">
        <v>1052</v>
      </c>
      <c r="F8" s="30" t="s">
        <v>889</v>
      </c>
      <c r="G8" s="28" t="s">
        <v>167</v>
      </c>
      <c r="H8" s="21"/>
      <c r="I8" s="21"/>
      <c r="M8" s="8"/>
      <c r="R8" s="8"/>
    </row>
    <row r="9" spans="1:76" hidden="1">
      <c r="A9" s="13"/>
      <c r="B9" s="12"/>
      <c r="M9" s="8"/>
      <c r="R9" s="8"/>
    </row>
    <row r="10" spans="1:76" hidden="1">
      <c r="A10" s="31" t="s">
        <v>1165</v>
      </c>
      <c r="B10" s="12"/>
      <c r="C10" s="2">
        <f>'Allocation Proforma'!G709</f>
        <v>455414538.95664698</v>
      </c>
      <c r="D10" s="2">
        <f>'Allocation Proforma'!G725</f>
        <v>431211477.54039806</v>
      </c>
      <c r="E10" s="2">
        <f>C10-D10</f>
        <v>24203061.416248918</v>
      </c>
      <c r="F10" s="2">
        <f>'Allocation Proforma'!G729</f>
        <v>1749779989.101094</v>
      </c>
      <c r="G10" s="18">
        <f>E10/F10</f>
        <v>1.3832059782945992E-2</v>
      </c>
      <c r="H10" s="18"/>
      <c r="I10" s="18"/>
      <c r="J10" s="18"/>
      <c r="M10" s="8"/>
      <c r="R10" s="8"/>
    </row>
    <row r="11" spans="1:76" hidden="1">
      <c r="A11" s="31" t="s">
        <v>1218</v>
      </c>
      <c r="B11" s="12"/>
      <c r="C11" s="4">
        <f>'Allocation Proforma'!H709</f>
        <v>683285.41602927947</v>
      </c>
      <c r="D11" s="4">
        <f>'Allocation Proforma'!H725</f>
        <v>629281.73281084234</v>
      </c>
      <c r="E11" s="4">
        <f>C11-D11</f>
        <v>54003.683218437131</v>
      </c>
      <c r="F11" s="4">
        <f>'Allocation Proforma'!H729</f>
        <v>2804049.0308775981</v>
      </c>
      <c r="G11" s="18">
        <f>E11/F11</f>
        <v>1.9259179359476217E-2</v>
      </c>
      <c r="H11" s="18"/>
      <c r="I11" s="18"/>
      <c r="J11" s="18"/>
      <c r="M11" s="8"/>
      <c r="R11" s="8"/>
    </row>
    <row r="12" spans="1:76" hidden="1">
      <c r="A12" s="32" t="s">
        <v>1166</v>
      </c>
      <c r="C12" s="4">
        <f>'Allocation Proforma'!I709</f>
        <v>154022251.6780422</v>
      </c>
      <c r="D12" s="4">
        <f>'Allocation Proforma'!I725</f>
        <v>114682414.23765787</v>
      </c>
      <c r="E12" s="36">
        <f>C12-D12</f>
        <v>39339837.440384328</v>
      </c>
      <c r="F12" s="4">
        <f>'Allocation Proforma'!I729</f>
        <v>403377509.80225503</v>
      </c>
      <c r="G12" s="18">
        <f>E12/F12</f>
        <v>9.7526105160571849E-2</v>
      </c>
      <c r="H12" s="18"/>
      <c r="I12" s="18"/>
      <c r="J12" s="18"/>
    </row>
    <row r="13" spans="1:76" hidden="1">
      <c r="A13" s="32" t="s">
        <v>1167</v>
      </c>
      <c r="C13" s="4">
        <f>'Allocation Proforma'!J709</f>
        <v>10498450.424430344</v>
      </c>
      <c r="D13" s="4">
        <f>'Allocation Proforma'!J725</f>
        <v>7586762.2276284462</v>
      </c>
      <c r="E13" s="4">
        <f>C13-D13</f>
        <v>2911688.1968018981</v>
      </c>
      <c r="F13" s="4">
        <f>'Allocation Proforma'!J729</f>
        <v>22807737.128033813</v>
      </c>
      <c r="G13" s="18">
        <f>E13/F13</f>
        <v>0.12766230075595869</v>
      </c>
      <c r="H13" s="18"/>
      <c r="I13" s="18"/>
      <c r="J13" s="18"/>
    </row>
    <row r="14" spans="1:76" hidden="1">
      <c r="A14" s="32" t="s">
        <v>1209</v>
      </c>
      <c r="B14" s="12"/>
      <c r="C14" s="4">
        <f>'Allocation Proforma'!K709</f>
        <v>154492691.53800189</v>
      </c>
      <c r="D14" s="4">
        <f>'Allocation Proforma'!K725</f>
        <v>119318666.97240226</v>
      </c>
      <c r="E14" s="4">
        <f t="shared" ref="E14:E24" si="0">C14-D14</f>
        <v>35174024.565599635</v>
      </c>
      <c r="F14" s="4">
        <f>'Allocation Proforma'!K729</f>
        <v>389970355.05789894</v>
      </c>
      <c r="G14" s="18">
        <f t="shared" ref="G14:G25" si="1">E14/F14</f>
        <v>9.019666266780034E-2</v>
      </c>
      <c r="H14" s="18"/>
      <c r="I14" s="18"/>
      <c r="J14" s="18"/>
    </row>
    <row r="15" spans="1:76" hidden="1">
      <c r="A15" s="32" t="s">
        <v>1208</v>
      </c>
      <c r="B15" s="12"/>
      <c r="C15" s="4">
        <f>'Allocation Proforma'!L709</f>
        <v>144333579.55541417</v>
      </c>
      <c r="D15" s="4">
        <f>'Allocation Proforma'!L725</f>
        <v>123976885.96789427</v>
      </c>
      <c r="E15" s="4">
        <f t="shared" si="0"/>
        <v>20356693.587519899</v>
      </c>
      <c r="F15" s="4">
        <f>'Allocation Proforma'!L729</f>
        <v>335231274.66265321</v>
      </c>
      <c r="G15" s="18">
        <f t="shared" si="1"/>
        <v>6.072432713208234E-2</v>
      </c>
      <c r="H15" s="18"/>
      <c r="I15" s="18"/>
      <c r="J15" s="18"/>
    </row>
    <row r="16" spans="1:76" hidden="1">
      <c r="A16" s="32" t="s">
        <v>1214</v>
      </c>
      <c r="B16" s="12"/>
      <c r="C16" s="4">
        <f>'Allocation Proforma'!M709</f>
        <v>107297551.50498989</v>
      </c>
      <c r="D16" s="4">
        <f>'Allocation Proforma'!M725</f>
        <v>93868153.289919689</v>
      </c>
      <c r="E16" s="4">
        <f t="shared" si="0"/>
        <v>13429398.215070203</v>
      </c>
      <c r="F16" s="4">
        <f>'Allocation Proforma'!M729</f>
        <v>295971692.74197924</v>
      </c>
      <c r="G16" s="18">
        <f t="shared" si="1"/>
        <v>4.5373927792404178E-2</v>
      </c>
      <c r="H16" s="18"/>
      <c r="I16" s="18"/>
      <c r="J16" s="18"/>
    </row>
    <row r="17" spans="1:18" hidden="1">
      <c r="A17" s="31" t="s">
        <v>1332</v>
      </c>
      <c r="B17" s="12"/>
      <c r="C17" s="4">
        <f>'Allocation Proforma'!N709</f>
        <v>65913905.199482709</v>
      </c>
      <c r="D17" s="4">
        <f>'Allocation Proforma'!N725</f>
        <v>59718356.996390417</v>
      </c>
      <c r="E17" s="4">
        <f t="shared" si="0"/>
        <v>6195548.203092292</v>
      </c>
      <c r="F17" s="4">
        <f>'Allocation Proforma'!N729</f>
        <v>145201940.52601016</v>
      </c>
      <c r="G17" s="18">
        <f t="shared" si="1"/>
        <v>4.2668494516314527E-2</v>
      </c>
      <c r="H17" s="18"/>
      <c r="I17" s="18"/>
      <c r="J17" s="18"/>
    </row>
    <row r="18" spans="1:18" hidden="1">
      <c r="A18" s="32" t="s">
        <v>1185</v>
      </c>
      <c r="B18" s="12"/>
      <c r="C18" s="36">
        <f>'Allocation Proforma'!O709</f>
        <v>3859985.522400259</v>
      </c>
      <c r="D18" s="36">
        <f>'Allocation Proforma'!O725</f>
        <v>3527002.0568137383</v>
      </c>
      <c r="E18" s="36">
        <f t="shared" si="0"/>
        <v>332983.46558652073</v>
      </c>
      <c r="F18" s="36">
        <f>'Allocation Proforma'!O729</f>
        <v>9829885.2741891239</v>
      </c>
      <c r="G18" s="37">
        <f t="shared" si="1"/>
        <v>3.3874603446375301E-2</v>
      </c>
      <c r="H18" s="37"/>
      <c r="I18" s="37"/>
      <c r="J18" s="18"/>
    </row>
    <row r="19" spans="1:18" hidden="1">
      <c r="A19" s="32" t="s">
        <v>1186</v>
      </c>
      <c r="B19" s="12"/>
      <c r="C19" s="4">
        <f>'Allocation Proforma'!P709</f>
        <v>22694574.038591262</v>
      </c>
      <c r="D19" s="4">
        <f>'Allocation Proforma'!P725</f>
        <v>14550972.468674771</v>
      </c>
      <c r="E19" s="36">
        <f t="shared" si="0"/>
        <v>8143601.5699164905</v>
      </c>
      <c r="F19" s="4">
        <f>'Allocation Proforma'!P729</f>
        <v>101453118.33768603</v>
      </c>
      <c r="G19" s="18">
        <f t="shared" si="1"/>
        <v>8.0269603372964515E-2</v>
      </c>
      <c r="H19" s="18"/>
      <c r="I19" s="18"/>
      <c r="J19" s="18"/>
    </row>
    <row r="20" spans="1:18" hidden="1">
      <c r="A20" s="179" t="s">
        <v>1384</v>
      </c>
      <c r="B20" s="12"/>
      <c r="C20" s="4">
        <f>'Allocation Proforma'!Q709</f>
        <v>258654.77253481693</v>
      </c>
      <c r="D20" s="4">
        <f>'Allocation Proforma'!Q725</f>
        <v>207369.85691161582</v>
      </c>
      <c r="E20" s="36">
        <f t="shared" si="0"/>
        <v>51284.915623201116</v>
      </c>
      <c r="F20" s="4">
        <f>'Allocation Proforma'!Q729</f>
        <v>518687.22011027404</v>
      </c>
      <c r="G20" s="18">
        <f t="shared" si="1"/>
        <v>9.8874453880505919E-2</v>
      </c>
      <c r="H20" s="18"/>
      <c r="I20" s="18"/>
      <c r="J20" s="18"/>
    </row>
    <row r="21" spans="1:18" hidden="1">
      <c r="A21" s="32" t="s">
        <v>1371</v>
      </c>
      <c r="B21" s="12"/>
      <c r="C21" s="4">
        <f>'Allocation Proforma'!R709</f>
        <v>331048.80229813856</v>
      </c>
      <c r="D21" s="4">
        <f>'Allocation Proforma'!R725</f>
        <v>243937.7672960627</v>
      </c>
      <c r="E21" s="36">
        <f t="shared" si="0"/>
        <v>87111.035002075863</v>
      </c>
      <c r="F21" s="4">
        <f>'Allocation Proforma'!R729</f>
        <v>623313.44507924758</v>
      </c>
      <c r="G21" s="18">
        <f t="shared" si="1"/>
        <v>0.13975478258936103</v>
      </c>
      <c r="H21" s="18"/>
      <c r="I21" s="18"/>
      <c r="J21" s="18"/>
    </row>
    <row r="22" spans="1:18" hidden="1">
      <c r="A22" s="32" t="s">
        <v>1333</v>
      </c>
      <c r="B22" s="12"/>
      <c r="C22" s="4">
        <f>'Allocation Proforma'!S709</f>
        <v>15690.636415897512</v>
      </c>
      <c r="D22" s="4">
        <f>'Allocation Proforma'!S725</f>
        <v>3815.2427915185226</v>
      </c>
      <c r="E22" s="36">
        <f t="shared" si="0"/>
        <v>11875.39362437899</v>
      </c>
      <c r="F22" s="4">
        <f>'Allocation Proforma'!S729</f>
        <v>12804.176001885042</v>
      </c>
      <c r="G22" s="18">
        <f t="shared" si="1"/>
        <v>0.92746254211365764</v>
      </c>
      <c r="H22" s="18"/>
      <c r="I22" s="18"/>
      <c r="J22" s="18"/>
    </row>
    <row r="23" spans="1:18" hidden="1">
      <c r="A23" s="32" t="s">
        <v>1334</v>
      </c>
      <c r="B23" s="12"/>
      <c r="C23" s="4">
        <f>'Allocation Proforma'!T709</f>
        <v>12695.202045718932</v>
      </c>
      <c r="D23" s="4">
        <f>'Allocation Proforma'!T725</f>
        <v>45263.919051756908</v>
      </c>
      <c r="E23" s="36">
        <f t="shared" si="0"/>
        <v>-32568.717006037976</v>
      </c>
      <c r="F23" s="4">
        <f>'Allocation Proforma'!T729</f>
        <v>120161.0262732144</v>
      </c>
      <c r="G23" s="18">
        <f t="shared" si="1"/>
        <v>-0.27104226733204928</v>
      </c>
      <c r="H23" s="18"/>
      <c r="I23" s="18"/>
      <c r="J23" s="18"/>
    </row>
    <row r="24" spans="1:18" hidden="1">
      <c r="A24" s="41" t="s">
        <v>1335</v>
      </c>
      <c r="B24" s="40"/>
      <c r="C24" s="33">
        <f>'Allocation Proforma'!U709</f>
        <v>237096</v>
      </c>
      <c r="D24" s="33">
        <f>'Allocation Proforma'!U725</f>
        <v>153855.85858076424</v>
      </c>
      <c r="E24" s="33">
        <f t="shared" si="0"/>
        <v>83240.141419235762</v>
      </c>
      <c r="F24" s="33">
        <f>'Allocation Proforma'!U729</f>
        <v>2314621.8400000003</v>
      </c>
      <c r="G24" s="34">
        <f t="shared" si="1"/>
        <v>3.5962739131173045E-2</v>
      </c>
      <c r="H24" s="37"/>
      <c r="I24" s="37"/>
      <c r="J24" s="18"/>
    </row>
    <row r="25" spans="1:18" hidden="1">
      <c r="C25" s="4">
        <f>SUM(C10:C24)</f>
        <v>1120065999.2473233</v>
      </c>
      <c r="D25" s="4">
        <f>SUM(D10:D24)</f>
        <v>969724216.1352222</v>
      </c>
      <c r="E25" s="4">
        <f>SUM(E10:E24)</f>
        <v>150341783.11210144</v>
      </c>
      <c r="F25" s="4">
        <f>SUM(F10:F24)</f>
        <v>3460017139.3701415</v>
      </c>
      <c r="G25" s="18">
        <f t="shared" si="1"/>
        <v>4.3451167163718017E-2</v>
      </c>
      <c r="H25" s="18"/>
      <c r="I25" s="18"/>
    </row>
    <row r="26" spans="1:18" hidden="1">
      <c r="B26" s="12"/>
      <c r="C26" s="235"/>
      <c r="D26" s="235"/>
      <c r="E26" s="35"/>
      <c r="F26" s="36"/>
      <c r="G26" s="37"/>
      <c r="H26" s="37"/>
      <c r="I26" s="37"/>
    </row>
    <row r="27" spans="1:18">
      <c r="B27" s="12"/>
    </row>
    <row r="28" spans="1:18">
      <c r="A28" s="5" t="s">
        <v>1183</v>
      </c>
    </row>
    <row r="29" spans="1:18" ht="14.4" thickBot="1"/>
    <row r="30" spans="1:18" ht="17.7" thickBot="1">
      <c r="A30" s="469" t="s">
        <v>597</v>
      </c>
      <c r="B30" s="470"/>
      <c r="C30" s="470"/>
      <c r="D30" s="470"/>
      <c r="E30" s="470"/>
      <c r="F30" s="470"/>
      <c r="G30" s="470"/>
      <c r="H30" s="470"/>
      <c r="I30" s="471"/>
    </row>
    <row r="31" spans="1:18">
      <c r="G31" s="38" t="s">
        <v>1391</v>
      </c>
      <c r="H31" s="38" t="s">
        <v>1389</v>
      </c>
      <c r="I31" s="38" t="s">
        <v>1389</v>
      </c>
      <c r="J31" s="431"/>
    </row>
    <row r="32" spans="1:18">
      <c r="A32" s="13"/>
      <c r="B32" s="12"/>
      <c r="D32" s="14" t="s">
        <v>164</v>
      </c>
      <c r="E32" s="14" t="s">
        <v>166</v>
      </c>
      <c r="F32" s="29"/>
      <c r="G32" s="38" t="s">
        <v>1044</v>
      </c>
      <c r="H32" s="38" t="s">
        <v>1053</v>
      </c>
      <c r="I32" s="38" t="s">
        <v>1044</v>
      </c>
      <c r="J32" s="431"/>
      <c r="K32" s="285"/>
      <c r="L32" s="286"/>
      <c r="M32" s="8"/>
      <c r="R32" s="8"/>
    </row>
    <row r="33" spans="1:18" ht="14.4" thickBot="1">
      <c r="A33" s="25"/>
      <c r="B33" s="26"/>
      <c r="C33" s="28" t="s">
        <v>1053</v>
      </c>
      <c r="D33" s="28" t="s">
        <v>165</v>
      </c>
      <c r="E33" s="28" t="s">
        <v>1052</v>
      </c>
      <c r="F33" s="30" t="s">
        <v>889</v>
      </c>
      <c r="G33" s="435" t="s">
        <v>1390</v>
      </c>
      <c r="H33" s="436" t="s">
        <v>1392</v>
      </c>
      <c r="I33" s="435" t="s">
        <v>1390</v>
      </c>
      <c r="J33" s="431"/>
      <c r="K33" s="287"/>
      <c r="L33" s="286"/>
      <c r="M33" s="8"/>
      <c r="R33" s="8"/>
    </row>
    <row r="34" spans="1:18">
      <c r="A34" s="13"/>
      <c r="B34" s="12"/>
      <c r="H34" s="286"/>
      <c r="I34" s="286"/>
      <c r="J34"/>
      <c r="K34" s="288"/>
      <c r="L34" s="286"/>
      <c r="M34" s="8"/>
      <c r="R34" s="8"/>
    </row>
    <row r="35" spans="1:18">
      <c r="A35" s="179" t="str">
        <f>A10</f>
        <v>Residential Rate RS</v>
      </c>
      <c r="B35" s="12"/>
      <c r="C35" s="2">
        <f>'Allocation Proforma'!G754</f>
        <v>455414538.95664698</v>
      </c>
      <c r="D35" s="2">
        <f>'Allocation Proforma'!G778</f>
        <v>432146175.30799192</v>
      </c>
      <c r="E35" s="2">
        <f t="shared" ref="E35:E41" si="2">C35-D35</f>
        <v>23268363.648655057</v>
      </c>
      <c r="F35" s="2">
        <f>'Allocation Proforma'!G789</f>
        <v>1749779989.101094</v>
      </c>
      <c r="G35" s="18">
        <f t="shared" ref="G35:G41" si="3">E35/F35</f>
        <v>1.3297879615487316E-2</v>
      </c>
      <c r="H35" s="18">
        <f>'Allocation Proforma'!G919/(459793603+94531)</f>
        <v>0.11539674857851903</v>
      </c>
      <c r="I35" s="18">
        <f>G62</f>
        <v>3.6012144422876077E-2</v>
      </c>
      <c r="J35" s="37"/>
      <c r="K35" s="288"/>
      <c r="L35" s="288"/>
      <c r="M35" s="8"/>
      <c r="R35" s="8"/>
    </row>
    <row r="36" spans="1:18">
      <c r="A36" s="179" t="s">
        <v>1406</v>
      </c>
      <c r="B36" s="12"/>
      <c r="C36" s="4">
        <f>'Allocation Proforma'!H754</f>
        <v>683285.41602927947</v>
      </c>
      <c r="D36" s="4">
        <f>'Allocation Proforma'!H778</f>
        <v>1036929.174475812</v>
      </c>
      <c r="E36" s="4">
        <f t="shared" ref="E36" si="4">C36-D36</f>
        <v>-353643.75844653253</v>
      </c>
      <c r="F36" s="4">
        <f>'Allocation Proforma'!H789</f>
        <v>2804049.0308775981</v>
      </c>
      <c r="G36" s="18">
        <f t="shared" ref="G36" si="5">E36/F36</f>
        <v>-0.12611896388125951</v>
      </c>
      <c r="H36" s="18"/>
      <c r="I36" s="18"/>
      <c r="J36" s="37"/>
      <c r="K36" s="288"/>
      <c r="L36" s="288"/>
      <c r="M36" s="8"/>
      <c r="R36" s="8"/>
    </row>
    <row r="37" spans="1:18">
      <c r="A37" s="179" t="str">
        <f t="shared" ref="A37:A50" si="6">A11</f>
        <v>General Service Rate GS</v>
      </c>
      <c r="B37" s="12"/>
      <c r="C37" s="4">
        <f>'Allocation Proforma'!I754</f>
        <v>154022251.6780422</v>
      </c>
      <c r="D37" s="4">
        <f>'Allocation Proforma'!I778</f>
        <v>114941128.48387757</v>
      </c>
      <c r="E37" s="4">
        <f t="shared" si="2"/>
        <v>39081123.194164634</v>
      </c>
      <c r="F37" s="4">
        <f>'Allocation Proforma'!I789</f>
        <v>403377509.80225503</v>
      </c>
      <c r="G37" s="18">
        <f t="shared" si="3"/>
        <v>9.6884735128944355E-2</v>
      </c>
      <c r="H37" s="18">
        <f>'Allocation Proforma'!H919/165742608</f>
        <v>5.2126986295359713E-4</v>
      </c>
      <c r="I37" s="18">
        <f t="shared" ref="I37:I49" si="7">G63</f>
        <v>-0.10302459155313075</v>
      </c>
      <c r="J37" s="37"/>
      <c r="K37" s="447"/>
      <c r="L37" s="288"/>
      <c r="M37" s="448"/>
      <c r="R37" s="8"/>
    </row>
    <row r="38" spans="1:18">
      <c r="A38" s="179" t="str">
        <f t="shared" si="6"/>
        <v>Power Service Primary Rate PS</v>
      </c>
      <c r="C38" s="4">
        <f>'Allocation Proforma'!J754</f>
        <v>10498450.424430344</v>
      </c>
      <c r="D38" s="4">
        <f>'Allocation Proforma'!J778</f>
        <v>7603559.6178171337</v>
      </c>
      <c r="E38" s="36">
        <f t="shared" si="2"/>
        <v>2894890.8066132106</v>
      </c>
      <c r="F38" s="4">
        <f>'Allocation Proforma'!J789</f>
        <v>22807737.128033813</v>
      </c>
      <c r="G38" s="18">
        <f t="shared" si="3"/>
        <v>0.12692582303813893</v>
      </c>
      <c r="H38" s="18">
        <f>'Allocation Proforma'!I919/9223885</f>
        <v>2.0713421730648203</v>
      </c>
      <c r="I38" s="18">
        <f t="shared" si="7"/>
        <v>0.1323059627515541</v>
      </c>
      <c r="J38" s="37"/>
      <c r="K38" s="447"/>
      <c r="L38" s="288"/>
      <c r="M38" s="376"/>
    </row>
    <row r="39" spans="1:18">
      <c r="A39" s="179" t="str">
        <f t="shared" si="6"/>
        <v>Power Service Secondary Rate PS</v>
      </c>
      <c r="B39" s="20"/>
      <c r="C39" s="36">
        <f>'Allocation Proforma'!K754</f>
        <v>154492691.53800189</v>
      </c>
      <c r="D39" s="36">
        <f>'Allocation Proforma'!K778</f>
        <v>119600793.89370026</v>
      </c>
      <c r="E39" s="36">
        <f t="shared" si="2"/>
        <v>34891897.644301638</v>
      </c>
      <c r="F39" s="36">
        <f>'Allocation Proforma'!K789</f>
        <v>389970355.05789894</v>
      </c>
      <c r="G39" s="37">
        <f t="shared" si="3"/>
        <v>8.9473205313571169E-2</v>
      </c>
      <c r="H39" s="18">
        <f>'Allocation Proforma'!J919/168770871</f>
        <v>7.2619225861552854E-3</v>
      </c>
      <c r="I39" s="18">
        <f t="shared" si="7"/>
        <v>0.16710516470812653</v>
      </c>
      <c r="J39" s="37"/>
      <c r="K39" s="447"/>
      <c r="L39" s="288"/>
      <c r="M39" s="376"/>
    </row>
    <row r="40" spans="1:18">
      <c r="A40" s="179" t="str">
        <f t="shared" si="6"/>
        <v>TOD Rate TOD Primary</v>
      </c>
      <c r="B40" s="12"/>
      <c r="C40" s="36">
        <f>'Allocation Proforma'!L754</f>
        <v>144333579.55541417</v>
      </c>
      <c r="D40" s="36">
        <f>'Allocation Proforma'!L778</f>
        <v>124067802.92657445</v>
      </c>
      <c r="E40" s="36">
        <f t="shared" si="2"/>
        <v>20265776.628839716</v>
      </c>
      <c r="F40" s="36">
        <f>'Allocation Proforma'!L789</f>
        <v>335231274.66265321</v>
      </c>
      <c r="G40" s="37">
        <f t="shared" si="3"/>
        <v>6.0453120459102103E-2</v>
      </c>
      <c r="H40" s="18">
        <f>'Allocation Proforma'!K919/147536448</f>
        <v>0.12144373300894434</v>
      </c>
      <c r="I40" s="18">
        <f t="shared" si="7"/>
        <v>0.12382816077096466</v>
      </c>
      <c r="J40" s="37"/>
      <c r="K40" s="447"/>
      <c r="L40" s="288"/>
      <c r="M40" s="376"/>
    </row>
    <row r="41" spans="1:18">
      <c r="A41" s="179" t="str">
        <f t="shared" si="6"/>
        <v>TOD Rate TOD Secondary</v>
      </c>
      <c r="B41" s="12"/>
      <c r="C41" s="36">
        <f>'Allocation Proforma'!M754</f>
        <v>107297551.50498989</v>
      </c>
      <c r="D41" s="36">
        <f>'Allocation Proforma'!M778</f>
        <v>94080142.666319698</v>
      </c>
      <c r="E41" s="36">
        <f t="shared" si="2"/>
        <v>13217408.838670194</v>
      </c>
      <c r="F41" s="36">
        <f>'Allocation Proforma'!M789</f>
        <v>295971692.74197924</v>
      </c>
      <c r="G41" s="37">
        <f t="shared" si="3"/>
        <v>4.4657678969970964E-2</v>
      </c>
      <c r="H41" s="18">
        <f>'Allocation Proforma'!L919/97668170</f>
        <v>0.16752214155338427</v>
      </c>
      <c r="I41" s="18">
        <f t="shared" si="7"/>
        <v>9.6946454864449846E-2</v>
      </c>
      <c r="J41" s="37"/>
      <c r="K41" s="288"/>
      <c r="L41" s="288"/>
    </row>
    <row r="42" spans="1:18">
      <c r="A42" s="179" t="str">
        <f t="shared" si="6"/>
        <v>Retail Transmission Service Rate RTS</v>
      </c>
      <c r="B42" s="12"/>
      <c r="C42" s="36">
        <f>'Allocation Proforma'!N754</f>
        <v>65913905.199482709</v>
      </c>
      <c r="D42" s="36">
        <f>'Allocation Proforma'!N778</f>
        <v>57502885.278740078</v>
      </c>
      <c r="E42" s="36">
        <f t="shared" ref="E42:E46" si="8">C42-D42</f>
        <v>8411019.920742631</v>
      </c>
      <c r="F42" s="36">
        <f>'Allocation Proforma'!N789</f>
        <v>145201940.52601016</v>
      </c>
      <c r="G42" s="37">
        <f t="shared" ref="G42:G51" si="9">E42/F42</f>
        <v>5.7926360283290824E-2</v>
      </c>
      <c r="H42" s="18">
        <f>'Allocation Proforma'!M919/67522696</f>
        <v>0.18092501815981993</v>
      </c>
      <c r="I42" s="18">
        <f t="shared" si="7"/>
        <v>7.5520552113257769E-2</v>
      </c>
      <c r="J42" s="37"/>
      <c r="K42" s="286"/>
      <c r="L42" s="288"/>
    </row>
    <row r="43" spans="1:18">
      <c r="A43" s="179" t="str">
        <f t="shared" si="6"/>
        <v>Special Contract Customer</v>
      </c>
      <c r="B43" s="12"/>
      <c r="C43" s="36">
        <f>'Allocation Proforma'!O754</f>
        <v>3859985.522400259</v>
      </c>
      <c r="D43" s="36">
        <f>'Allocation Proforma'!O778</f>
        <v>3533727.9913782105</v>
      </c>
      <c r="E43" s="36">
        <f t="shared" si="8"/>
        <v>326257.53102204856</v>
      </c>
      <c r="F43" s="36">
        <f>'Allocation Proforma'!O789</f>
        <v>9829885.2741891239</v>
      </c>
      <c r="G43" s="37">
        <f t="shared" si="9"/>
        <v>3.3190370174382512E-2</v>
      </c>
      <c r="H43" s="18">
        <f>'Allocation Proforma'!N919/3705635</f>
        <v>2.0753182652905644</v>
      </c>
      <c r="I43" s="18">
        <f t="shared" si="7"/>
        <v>9.752735966853808E-2</v>
      </c>
      <c r="J43" s="37"/>
      <c r="K43" s="288"/>
      <c r="L43" s="288"/>
    </row>
    <row r="44" spans="1:18">
      <c r="A44" s="179" t="str">
        <f t="shared" si="6"/>
        <v>Lighting Rate RLS &amp; LS</v>
      </c>
      <c r="B44" s="12"/>
      <c r="C44" s="36">
        <f>'Allocation Proforma'!P754</f>
        <v>22694574.038591262</v>
      </c>
      <c r="D44" s="36">
        <f>'Allocation Proforma'!P778</f>
        <v>14556329.796979185</v>
      </c>
      <c r="E44" s="36">
        <f t="shared" si="8"/>
        <v>8138244.2416120768</v>
      </c>
      <c r="F44" s="36">
        <f>'Allocation Proforma'!P789</f>
        <v>101453118.33768603</v>
      </c>
      <c r="G44" s="37">
        <f t="shared" si="9"/>
        <v>8.0216797422864666E-2</v>
      </c>
      <c r="H44" s="18">
        <f>'Allocation Proforma'!O919/23946130</f>
        <v>1.8170326478641852E-2</v>
      </c>
      <c r="I44" s="18">
        <f t="shared" si="7"/>
        <v>6.628694646628204E-2</v>
      </c>
      <c r="J44" s="37"/>
      <c r="K44" s="288"/>
      <c r="L44" s="288"/>
    </row>
    <row r="45" spans="1:18">
      <c r="A45" s="179" t="str">
        <f t="shared" si="6"/>
        <v>Lighting Rate LE</v>
      </c>
      <c r="B45" s="12"/>
      <c r="C45" s="36">
        <f>'Allocation Proforma'!Q754</f>
        <v>258654.77253481693</v>
      </c>
      <c r="D45" s="36">
        <f>'Allocation Proforma'!Q778</f>
        <v>207556.45276575527</v>
      </c>
      <c r="E45" s="36">
        <f t="shared" si="8"/>
        <v>51098.319769061665</v>
      </c>
      <c r="F45" s="36">
        <f>'Allocation Proforma'!Q789</f>
        <v>518687.22011027404</v>
      </c>
      <c r="G45" s="37">
        <f t="shared" si="9"/>
        <v>9.8514707492114523E-2</v>
      </c>
      <c r="H45" s="18">
        <f>'Allocation Proforma'!P919/303565</f>
        <v>9.4089865432444455</v>
      </c>
      <c r="I45" s="18">
        <f t="shared" si="7"/>
        <v>0.10126770855872748</v>
      </c>
      <c r="J45" s="37"/>
      <c r="K45" s="288"/>
      <c r="L45" s="288"/>
    </row>
    <row r="46" spans="1:18">
      <c r="A46" s="179" t="str">
        <f t="shared" si="6"/>
        <v>Lighting Rate TE</v>
      </c>
      <c r="B46" s="12"/>
      <c r="C46" s="36">
        <f>'Allocation Proforma'!R754</f>
        <v>331048.80229813856</v>
      </c>
      <c r="D46" s="36">
        <f>'Allocation Proforma'!R778</f>
        <v>244250.17962745481</v>
      </c>
      <c r="E46" s="36">
        <f t="shared" si="8"/>
        <v>86798.622670683748</v>
      </c>
      <c r="F46" s="36">
        <f>'Allocation Proforma'!R789</f>
        <v>623313.44507924758</v>
      </c>
      <c r="G46" s="37">
        <f t="shared" si="9"/>
        <v>0.13925357034396754</v>
      </c>
      <c r="H46" s="18">
        <f>'Allocation Proforma'!Q919/331597</f>
        <v>9.0471264818439243E-6</v>
      </c>
      <c r="I46" s="18">
        <f t="shared" si="7"/>
        <v>9.8520137424994589E-2</v>
      </c>
      <c r="J46" s="37"/>
      <c r="K46" s="288"/>
      <c r="L46" s="288"/>
    </row>
    <row r="47" spans="1:18">
      <c r="A47" s="179" t="str">
        <f t="shared" si="6"/>
        <v>Outdoor Sports Lighting OSL</v>
      </c>
      <c r="B47" s="20"/>
      <c r="C47" s="36">
        <f>'Allocation Proforma'!S754</f>
        <v>15690.636415897512</v>
      </c>
      <c r="D47" s="36">
        <f>'Allocation Proforma'!S778</f>
        <v>3815.2474000899574</v>
      </c>
      <c r="E47" s="36">
        <f>C47-D47</f>
        <v>11875.389015807556</v>
      </c>
      <c r="F47" s="36">
        <f>'Allocation Proforma'!S789</f>
        <v>12804.176001885042</v>
      </c>
      <c r="G47" s="37">
        <f>E47/F47</f>
        <v>0.92746218218644061</v>
      </c>
      <c r="H47" s="18">
        <f>'Allocation Proforma'!R919/10238</f>
        <v>-1.3674545809728462E-3</v>
      </c>
      <c r="I47" s="18">
        <f t="shared" si="7"/>
        <v>0.13923788231753814</v>
      </c>
      <c r="J47" s="37"/>
      <c r="K47" s="288"/>
      <c r="L47" s="288"/>
    </row>
    <row r="48" spans="1:18">
      <c r="A48" s="179" t="str">
        <f t="shared" si="6"/>
        <v>Electric Vehicle Charging EVC</v>
      </c>
      <c r="B48" s="12"/>
      <c r="C48" s="36">
        <f>'Allocation Proforma'!T754</f>
        <v>12695.202045718932</v>
      </c>
      <c r="D48" s="36">
        <f>'Allocation Proforma'!T778</f>
        <v>45263.258993696436</v>
      </c>
      <c r="E48" s="36">
        <f t="shared" ref="E48:E50" si="10">C48-D48</f>
        <v>-32568.056947977504</v>
      </c>
      <c r="F48" s="36">
        <f>'Allocation Proforma'!T789</f>
        <v>120161.0262732144</v>
      </c>
      <c r="G48" s="37">
        <f t="shared" ref="G48:G50" si="11">E48/F48</f>
        <v>-0.27103677421934091</v>
      </c>
      <c r="H48" s="18">
        <f>'Allocation Proforma'!S919/2963</f>
        <v>-0.55281808977387781</v>
      </c>
      <c r="I48" s="18">
        <f t="shared" si="7"/>
        <v>0.83181411691902407</v>
      </c>
      <c r="J48" s="37"/>
      <c r="K48" s="288"/>
      <c r="L48" s="288"/>
    </row>
    <row r="49" spans="1:18">
      <c r="A49" s="179" t="str">
        <f t="shared" si="6"/>
        <v>Solar Share SS</v>
      </c>
      <c r="B49" s="12"/>
      <c r="C49" s="36">
        <f>'Allocation Proforma'!U754</f>
        <v>237096</v>
      </c>
      <c r="D49" s="36">
        <f>'Allocation Proforma'!U778</f>
        <v>153855.85858076424</v>
      </c>
      <c r="E49" s="36">
        <f t="shared" si="10"/>
        <v>83240.141419235762</v>
      </c>
      <c r="F49" s="36">
        <f>'Allocation Proforma'!U789</f>
        <v>2314621.8400000003</v>
      </c>
      <c r="G49" s="37">
        <f t="shared" si="11"/>
        <v>3.5962739131173045E-2</v>
      </c>
      <c r="H49" s="18">
        <f>'Allocation Proforma'!T919/157356</f>
        <v>0</v>
      </c>
      <c r="I49" s="18">
        <f t="shared" si="7"/>
        <v>7.2474977378283151E-2</v>
      </c>
      <c r="J49" s="37"/>
      <c r="K49" s="288"/>
      <c r="L49" s="288"/>
    </row>
    <row r="50" spans="1:18">
      <c r="A50" s="41" t="str">
        <f t="shared" si="6"/>
        <v>Business Solar BS</v>
      </c>
      <c r="B50" s="40"/>
      <c r="C50" s="33">
        <f>'Allocation Proforma'!V754</f>
        <v>9936</v>
      </c>
      <c r="D50" s="33">
        <f>'Allocation Proforma'!V778</f>
        <v>12591.246284675426</v>
      </c>
      <c r="E50" s="33">
        <f t="shared" si="10"/>
        <v>-2655.2462846754261</v>
      </c>
      <c r="F50" s="33">
        <f>'Allocation Proforma'!V789</f>
        <v>60676.790000000008</v>
      </c>
      <c r="G50" s="34">
        <f t="shared" si="11"/>
        <v>-4.3760493669415042E-2</v>
      </c>
      <c r="H50" s="34">
        <f>'Allocation Proforma'!U919/9936</f>
        <v>0</v>
      </c>
      <c r="I50" s="34">
        <f>G76</f>
        <v>7.1800006838869085E-2</v>
      </c>
      <c r="J50" s="37"/>
      <c r="K50" s="288"/>
      <c r="L50" s="288"/>
    </row>
    <row r="51" spans="1:18">
      <c r="C51" s="4">
        <f>SUM(C35:C50)</f>
        <v>1120075935.2473233</v>
      </c>
      <c r="D51" s="4">
        <f>SUM(D35:D50)</f>
        <v>969736807.38150668</v>
      </c>
      <c r="E51" s="4">
        <f t="shared" ref="E51:F51" si="12">SUM(E35:E50)</f>
        <v>150339127.86581677</v>
      </c>
      <c r="F51" s="4">
        <f t="shared" si="12"/>
        <v>3460077816.1601415</v>
      </c>
      <c r="G51" s="18">
        <f t="shared" si="9"/>
        <v>4.3449637798220746E-2</v>
      </c>
      <c r="H51" s="18">
        <f>'Allocation Proforma'!F919/1160259576</f>
        <v>0.11287387038984456</v>
      </c>
      <c r="I51" s="18">
        <f>G78</f>
        <v>7.1807691608317514E-2</v>
      </c>
      <c r="J51" s="37"/>
      <c r="K51" s="288"/>
      <c r="L51" s="288"/>
    </row>
    <row r="52" spans="1:18">
      <c r="J52" s="36"/>
      <c r="K52" s="288"/>
      <c r="L52" s="288"/>
    </row>
    <row r="54" spans="1:18" ht="17.399999999999999">
      <c r="A54" s="27" t="s">
        <v>597</v>
      </c>
      <c r="B54" s="12"/>
    </row>
    <row r="55" spans="1:18">
      <c r="A55" s="5" t="s">
        <v>1184</v>
      </c>
    </row>
    <row r="56" spans="1:18">
      <c r="A56" s="213"/>
    </row>
    <row r="59" spans="1:18">
      <c r="A59" s="13"/>
      <c r="B59" s="12"/>
      <c r="D59" s="14" t="s">
        <v>164</v>
      </c>
      <c r="E59" s="14" t="s">
        <v>166</v>
      </c>
      <c r="F59" s="29"/>
      <c r="G59" s="1"/>
      <c r="H59" s="1"/>
      <c r="I59" s="1"/>
      <c r="M59" s="8"/>
      <c r="R59" s="8"/>
    </row>
    <row r="60" spans="1:18" ht="14.4" thickBot="1">
      <c r="A60" s="25"/>
      <c r="B60" s="26"/>
      <c r="C60" s="28" t="s">
        <v>1053</v>
      </c>
      <c r="D60" s="28" t="s">
        <v>165</v>
      </c>
      <c r="E60" s="28" t="s">
        <v>1052</v>
      </c>
      <c r="F60" s="30" t="s">
        <v>889</v>
      </c>
      <c r="G60" s="28" t="s">
        <v>167</v>
      </c>
      <c r="H60" s="21"/>
      <c r="I60" s="21"/>
      <c r="M60" s="8"/>
      <c r="R60" s="8"/>
    </row>
    <row r="61" spans="1:18">
      <c r="A61" s="13"/>
      <c r="B61" s="12"/>
      <c r="M61" s="8"/>
      <c r="R61" s="8"/>
    </row>
    <row r="62" spans="1:18">
      <c r="A62" s="179" t="str">
        <f>A35</f>
        <v>Residential Rate RS</v>
      </c>
      <c r="B62" s="12"/>
      <c r="C62" s="2">
        <f>'Allocation Proforma'!G926</f>
        <v>508571871.93991154</v>
      </c>
      <c r="D62" s="2">
        <f>'Allocation Proforma'!G939</f>
        <v>445558542.26414442</v>
      </c>
      <c r="E62" s="2">
        <f t="shared" ref="E62:E77" si="13">C62-D62</f>
        <v>63013329.675767124</v>
      </c>
      <c r="F62" s="2">
        <f>'Allocation Proforma'!G944</f>
        <v>1749779989.101094</v>
      </c>
      <c r="G62" s="18">
        <f t="shared" ref="G62:G67" si="14">E62/F62</f>
        <v>3.6012144422876077E-2</v>
      </c>
      <c r="H62" s="18"/>
      <c r="I62" s="18"/>
      <c r="J62" s="18"/>
      <c r="M62" s="8"/>
      <c r="R62" s="8"/>
    </row>
    <row r="63" spans="1:18">
      <c r="A63" s="179" t="str">
        <f t="shared" ref="A63:A77" si="15">A36</f>
        <v>Residential Net Metering Rate NMS1</v>
      </c>
      <c r="B63" s="12"/>
      <c r="C63" s="4">
        <f>'Allocation Proforma'!H926</f>
        <v>769896.36953531217</v>
      </c>
      <c r="D63" s="4">
        <f>'Allocation Proforma'!H939</f>
        <v>1058782.3756364288</v>
      </c>
      <c r="E63" s="4">
        <f t="shared" si="13"/>
        <v>-288886.00610111665</v>
      </c>
      <c r="F63" s="4">
        <f>'Allocation Proforma'!H944</f>
        <v>2804049.0308775981</v>
      </c>
      <c r="G63" s="18">
        <f t="shared" si="14"/>
        <v>-0.10302459155313075</v>
      </c>
      <c r="H63" s="18"/>
      <c r="I63" s="18"/>
      <c r="J63" s="18"/>
      <c r="M63" s="8"/>
      <c r="R63" s="8"/>
    </row>
    <row r="64" spans="1:18">
      <c r="A64" s="179" t="str">
        <f t="shared" si="15"/>
        <v>General Service Rate GS</v>
      </c>
      <c r="C64" s="4">
        <f>'Allocation Proforma'!I926</f>
        <v>173132060.51443577</v>
      </c>
      <c r="D64" s="4">
        <f>'Allocation Proforma'!I939</f>
        <v>119762810.72772397</v>
      </c>
      <c r="E64" s="4">
        <f t="shared" si="13"/>
        <v>53369249.786711797</v>
      </c>
      <c r="F64" s="4">
        <f>'Allocation Proforma'!I944</f>
        <v>403377509.80225503</v>
      </c>
      <c r="G64" s="18">
        <f t="shared" si="14"/>
        <v>0.1323059627515541</v>
      </c>
      <c r="H64" s="18"/>
      <c r="I64" s="18"/>
      <c r="J64" s="18"/>
    </row>
    <row r="65" spans="1:10">
      <c r="A65" s="179" t="str">
        <f t="shared" si="15"/>
        <v>Power Service Primary Rate PS</v>
      </c>
      <c r="C65" s="4">
        <f>'Allocation Proforma'!J926</f>
        <v>11724099.293238834</v>
      </c>
      <c r="D65" s="4">
        <f>'Allocation Proforma'!J939</f>
        <v>7912808.6238390906</v>
      </c>
      <c r="E65" s="4">
        <f t="shared" si="13"/>
        <v>3811290.669399743</v>
      </c>
      <c r="F65" s="4">
        <f>'Allocation Proforma'!J944</f>
        <v>22807737.128033813</v>
      </c>
      <c r="G65" s="18">
        <f t="shared" si="14"/>
        <v>0.16710516470812653</v>
      </c>
      <c r="H65" s="18"/>
      <c r="I65" s="18"/>
      <c r="J65" s="18"/>
    </row>
    <row r="66" spans="1:10">
      <c r="A66" s="179" t="str">
        <f t="shared" si="15"/>
        <v>Power Service Secondary Rate PS</v>
      </c>
      <c r="B66" s="12"/>
      <c r="C66" s="4">
        <f>'Allocation Proforma'!K926</f>
        <v>172411207.45958707</v>
      </c>
      <c r="D66" s="4">
        <f>'Allocation Proforma'!K939</f>
        <v>124121895.63756739</v>
      </c>
      <c r="E66" s="4">
        <f t="shared" si="13"/>
        <v>48289311.822019681</v>
      </c>
      <c r="F66" s="4">
        <f>'Allocation Proforma'!K944</f>
        <v>389970355.05789894</v>
      </c>
      <c r="G66" s="18">
        <f t="shared" si="14"/>
        <v>0.12382816077096466</v>
      </c>
      <c r="H66" s="18"/>
      <c r="I66" s="18"/>
      <c r="J66" s="18"/>
    </row>
    <row r="67" spans="1:10">
      <c r="A67" s="179" t="str">
        <f t="shared" si="15"/>
        <v>TOD Rate TOD Primary</v>
      </c>
      <c r="B67" s="12"/>
      <c r="C67" s="248">
        <f>'Allocation Proforma'!L926</f>
        <v>160695682.78817344</v>
      </c>
      <c r="D67" s="4">
        <f>'Allocation Proforma'!L939</f>
        <v>128196199.14993854</v>
      </c>
      <c r="E67" s="4">
        <f t="shared" si="13"/>
        <v>32499483.638234898</v>
      </c>
      <c r="F67" s="4">
        <f>'Allocation Proforma'!L944</f>
        <v>335231274.66265321</v>
      </c>
      <c r="G67" s="18">
        <f t="shared" si="14"/>
        <v>9.6946454864449846E-2</v>
      </c>
      <c r="H67" s="18"/>
      <c r="I67" s="18"/>
      <c r="J67" s="18"/>
    </row>
    <row r="68" spans="1:10">
      <c r="A68" s="179" t="str">
        <f t="shared" si="15"/>
        <v>TOD Rate TOD Secondary</v>
      </c>
      <c r="B68" s="12"/>
      <c r="C68" s="4">
        <f>'Allocation Proforma'!M926</f>
        <v>119514636.16350108</v>
      </c>
      <c r="D68" s="4">
        <f>'Allocation Proforma'!M939</f>
        <v>97162690.517731324</v>
      </c>
      <c r="E68" s="4">
        <f t="shared" si="13"/>
        <v>22351945.64576976</v>
      </c>
      <c r="F68" s="4">
        <f>'Allocation Proforma'!M944</f>
        <v>295971692.74197924</v>
      </c>
      <c r="G68" s="18">
        <f t="shared" ref="G68:G77" si="16">E68/F68</f>
        <v>7.5520552113257769E-2</v>
      </c>
      <c r="H68" s="18"/>
      <c r="I68" s="18"/>
      <c r="J68" s="18"/>
    </row>
    <row r="69" spans="1:10">
      <c r="A69" s="179" t="str">
        <f t="shared" si="15"/>
        <v>Retail Transmission Service Rate RTS</v>
      </c>
      <c r="B69" s="12"/>
      <c r="C69" s="4">
        <f>'Allocation Proforma'!N926</f>
        <v>73604494.506509557</v>
      </c>
      <c r="D69" s="4">
        <f>'Allocation Proforma'!N939</f>
        <v>59443332.628259689</v>
      </c>
      <c r="E69" s="4">
        <f t="shared" si="13"/>
        <v>14161161.878249869</v>
      </c>
      <c r="F69" s="4">
        <f>'Allocation Proforma'!N944</f>
        <v>145201940.52601016</v>
      </c>
      <c r="G69" s="18">
        <f t="shared" si="16"/>
        <v>9.752735966853808E-2</v>
      </c>
      <c r="H69" s="18"/>
      <c r="I69" s="18"/>
      <c r="J69" s="18"/>
    </row>
    <row r="70" spans="1:10">
      <c r="A70" s="179" t="str">
        <f t="shared" si="15"/>
        <v>Special Contract Customer</v>
      </c>
      <c r="B70" s="12"/>
      <c r="C70" s="36">
        <f>'Allocation Proforma'!O926</f>
        <v>4295109.0557846706</v>
      </c>
      <c r="D70" s="36">
        <f>'Allocation Proforma'!O939</f>
        <v>3643515.976844802</v>
      </c>
      <c r="E70" s="4">
        <f t="shared" si="13"/>
        <v>651593.0789398686</v>
      </c>
      <c r="F70" s="36">
        <f>'Allocation Proforma'!O944</f>
        <v>9829885.2741891239</v>
      </c>
      <c r="G70" s="37">
        <f t="shared" si="16"/>
        <v>6.628694646628204E-2</v>
      </c>
      <c r="H70" s="37"/>
      <c r="I70" s="37"/>
      <c r="J70" s="18"/>
    </row>
    <row r="71" spans="1:10">
      <c r="A71" s="179" t="str">
        <f t="shared" si="15"/>
        <v>Lighting Rate RLS &amp; LS</v>
      </c>
      <c r="B71" s="12"/>
      <c r="C71" s="4">
        <f>'Allocation Proforma'!P926</f>
        <v>25550963.035984661</v>
      </c>
      <c r="D71" s="4">
        <f>'Allocation Proforma'!P939</f>
        <v>15277038.215789782</v>
      </c>
      <c r="E71" s="4">
        <f t="shared" si="13"/>
        <v>10273924.82019488</v>
      </c>
      <c r="F71" s="4">
        <f>'Allocation Proforma'!P944</f>
        <v>101453118.33768603</v>
      </c>
      <c r="G71" s="18">
        <f t="shared" si="16"/>
        <v>0.10126770855872748</v>
      </c>
      <c r="H71" s="18"/>
      <c r="I71" s="18"/>
      <c r="J71" s="18"/>
    </row>
    <row r="72" spans="1:10">
      <c r="A72" s="179" t="str">
        <f t="shared" si="15"/>
        <v>Lighting Rate LE</v>
      </c>
      <c r="B72" s="12"/>
      <c r="C72" s="4">
        <f>'Allocation Proforma'!Q926</f>
        <v>258658.53940854425</v>
      </c>
      <c r="D72" s="4">
        <f>'Allocation Proforma'!Q939</f>
        <v>207557.40320269164</v>
      </c>
      <c r="E72" s="4">
        <f t="shared" si="13"/>
        <v>51101.136205852614</v>
      </c>
      <c r="F72" s="4">
        <f>'Allocation Proforma'!Q944</f>
        <v>518687.22011027404</v>
      </c>
      <c r="G72" s="18">
        <f t="shared" si="16"/>
        <v>9.8520137424994589E-2</v>
      </c>
      <c r="H72" s="18"/>
      <c r="I72" s="18"/>
      <c r="J72" s="18"/>
    </row>
    <row r="73" spans="1:10">
      <c r="A73" s="179" t="str">
        <f t="shared" si="15"/>
        <v>Lighting Rate TE</v>
      </c>
      <c r="B73" s="20"/>
      <c r="C73" s="36">
        <f>'Allocation Proforma'!R926</f>
        <v>331035.72386066482</v>
      </c>
      <c r="D73" s="36">
        <f>'Allocation Proforma'!R939</f>
        <v>244246.87974778126</v>
      </c>
      <c r="E73" s="4">
        <f t="shared" si="13"/>
        <v>86788.844112883555</v>
      </c>
      <c r="F73" s="4">
        <f>'Allocation Proforma'!R944</f>
        <v>623313.44507924758</v>
      </c>
      <c r="G73" s="37">
        <f t="shared" si="16"/>
        <v>0.13923788231753814</v>
      </c>
      <c r="H73" s="37"/>
      <c r="I73" s="37"/>
      <c r="J73" s="18"/>
    </row>
    <row r="74" spans="1:10">
      <c r="A74" s="179" t="str">
        <f t="shared" si="15"/>
        <v>Outdoor Sports Lighting OSL</v>
      </c>
      <c r="C74" s="36">
        <f>'Allocation Proforma'!S926</f>
        <v>14052.655346740214</v>
      </c>
      <c r="D74" s="36">
        <f>'Allocation Proforma'!S939</f>
        <v>3401.9609928564469</v>
      </c>
      <c r="E74" s="4">
        <f t="shared" si="13"/>
        <v>10650.694353883766</v>
      </c>
      <c r="F74" s="4">
        <f>'Allocation Proforma'!S944</f>
        <v>12804.176001885042</v>
      </c>
      <c r="G74" s="37">
        <f t="shared" si="16"/>
        <v>0.83181411691902407</v>
      </c>
      <c r="H74" s="37"/>
      <c r="I74" s="37"/>
    </row>
    <row r="75" spans="1:10">
      <c r="A75" s="179" t="str">
        <f t="shared" si="15"/>
        <v>Electric Vehicle Charging EVC</v>
      </c>
      <c r="C75" s="36">
        <f>'Allocation Proforma'!T926</f>
        <v>67901.202045718936</v>
      </c>
      <c r="D75" s="36">
        <f>'Allocation Proforma'!T939</f>
        <v>59192.534384816434</v>
      </c>
      <c r="E75" s="4">
        <f t="shared" si="13"/>
        <v>8708.6676609025017</v>
      </c>
      <c r="F75" s="4">
        <f>'Allocation Proforma'!T944</f>
        <v>120161.0262732144</v>
      </c>
      <c r="G75" s="37">
        <f t="shared" si="16"/>
        <v>7.2474977378283151E-2</v>
      </c>
      <c r="H75" s="37"/>
      <c r="I75" s="37"/>
    </row>
    <row r="76" spans="1:10">
      <c r="A76" s="179" t="str">
        <f t="shared" si="15"/>
        <v>Solar Share SS</v>
      </c>
      <c r="B76" s="20"/>
      <c r="C76" s="36">
        <f>'Allocation Proforma'!U926</f>
        <v>348038</v>
      </c>
      <c r="D76" s="36">
        <f>'Allocation Proforma'!U939</f>
        <v>181848.13605860423</v>
      </c>
      <c r="E76" s="36">
        <f t="shared" si="13"/>
        <v>166189.86394139577</v>
      </c>
      <c r="F76" s="36">
        <f>'Allocation Proforma'!U944</f>
        <v>2314621.8400000003</v>
      </c>
      <c r="G76" s="37">
        <f t="shared" si="16"/>
        <v>7.1800006838869085E-2</v>
      </c>
      <c r="H76" s="37"/>
      <c r="I76" s="37"/>
      <c r="J76" s="36"/>
    </row>
    <row r="77" spans="1:10">
      <c r="A77" s="179" t="str">
        <f t="shared" si="15"/>
        <v>Business Solar BS</v>
      </c>
      <c r="B77" s="20"/>
      <c r="C77" s="33">
        <f>'Allocation Proforma'!V926</f>
        <v>19314</v>
      </c>
      <c r="D77" s="36">
        <f>'Allocation Proforma'!V939</f>
        <v>14957.451853235427</v>
      </c>
      <c r="E77" s="33">
        <f t="shared" si="13"/>
        <v>4356.5481467645732</v>
      </c>
      <c r="F77" s="36">
        <f>'Allocation Proforma'!V944</f>
        <v>60676.790000000008</v>
      </c>
      <c r="G77" s="34">
        <f t="shared" si="16"/>
        <v>7.1799252181345988E-2</v>
      </c>
      <c r="H77" s="37"/>
      <c r="I77" s="37"/>
    </row>
    <row r="78" spans="1:10">
      <c r="A78" s="179"/>
      <c r="C78" s="4">
        <f>SUM(C62:C77)</f>
        <v>1251309021.2473235</v>
      </c>
      <c r="D78" s="4">
        <f>SUM(D62:D77)</f>
        <v>1002848820.4837154</v>
      </c>
      <c r="E78" s="4">
        <f>SUM(E62:E77)</f>
        <v>248460200.76360819</v>
      </c>
      <c r="F78" s="4">
        <f>SUM(F62:F77)</f>
        <v>3460077816.1601415</v>
      </c>
      <c r="G78" s="18">
        <f t="shared" ref="G78" si="17">E78/F78</f>
        <v>7.1807691608317514E-2</v>
      </c>
      <c r="H78" s="18"/>
      <c r="I78" s="18"/>
    </row>
    <row r="79" spans="1:10">
      <c r="A79" s="215"/>
    </row>
    <row r="80" spans="1:10">
      <c r="A80" s="215"/>
    </row>
    <row r="81" spans="1:1">
      <c r="A81" s="215"/>
    </row>
    <row r="82" spans="1:1">
      <c r="A82" s="215"/>
    </row>
    <row r="83" spans="1:1">
      <c r="A83" s="215"/>
    </row>
    <row r="84" spans="1:1">
      <c r="A84" s="179"/>
    </row>
    <row r="85" spans="1:1">
      <c r="A85" s="179"/>
    </row>
    <row r="86" spans="1:1">
      <c r="A86" s="215"/>
    </row>
    <row r="87" spans="1:1">
      <c r="A87" s="215"/>
    </row>
    <row r="88" spans="1:1">
      <c r="A88" s="179"/>
    </row>
    <row r="89" spans="1:1">
      <c r="A89" s="20"/>
    </row>
  </sheetData>
  <mergeCells count="3">
    <mergeCell ref="J2:M2"/>
    <mergeCell ref="O2:R2"/>
    <mergeCell ref="A30:I30"/>
  </mergeCells>
  <phoneticPr fontId="0" type="noConversion"/>
  <conditionalFormatting sqref="J10:J24 J62:J73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4" orientation="landscape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5"/>
  <sheetViews>
    <sheetView zoomScale="85" zoomScaleNormal="85" workbookViewId="0">
      <pane xSplit="1" ySplit="6" topLeftCell="B7" activePane="bottomRight" state="frozen"/>
      <selection activeCell="J42" sqref="J42"/>
      <selection pane="topRight" activeCell="J42" sqref="J42"/>
      <selection pane="bottomLeft" activeCell="J42" sqref="J42"/>
      <selection pane="bottomRight" activeCell="B1" sqref="B1"/>
    </sheetView>
  </sheetViews>
  <sheetFormatPr defaultColWidth="9.15625" defaultRowHeight="14.1"/>
  <cols>
    <col min="1" max="1" width="49.83984375" style="113" bestFit="1" customWidth="1"/>
    <col min="2" max="2" width="17.41796875" style="6" bestFit="1" customWidth="1"/>
    <col min="3" max="10" width="22.68359375" style="113" customWidth="1"/>
    <col min="11" max="11" width="18.41796875" style="113" bestFit="1" customWidth="1"/>
    <col min="12" max="12" width="16.15625" style="113" bestFit="1" customWidth="1"/>
    <col min="13" max="13" width="14.26171875" style="113" bestFit="1" customWidth="1"/>
    <col min="14" max="17" width="12" style="113" bestFit="1" customWidth="1"/>
    <col min="18" max="18" width="9.15625" style="113"/>
    <col min="19" max="19" width="11.83984375" style="113" bestFit="1" customWidth="1"/>
    <col min="20" max="16384" width="9.15625" style="113"/>
  </cols>
  <sheetData>
    <row r="1" spans="1:20">
      <c r="A1" s="5" t="s">
        <v>597</v>
      </c>
      <c r="B1" s="5"/>
    </row>
    <row r="2" spans="1:20" ht="15" customHeight="1">
      <c r="A2" s="6" t="s">
        <v>666</v>
      </c>
    </row>
    <row r="4" spans="1:20">
      <c r="A4" s="114"/>
      <c r="B4" s="9" t="s">
        <v>1194</v>
      </c>
      <c r="C4" s="39"/>
      <c r="D4" s="115"/>
      <c r="E4" s="9"/>
      <c r="F4" s="9" t="s">
        <v>173</v>
      </c>
      <c r="G4" s="9"/>
      <c r="H4" s="11"/>
      <c r="I4" s="11"/>
      <c r="J4" s="11"/>
      <c r="K4" s="11"/>
      <c r="L4" s="114"/>
      <c r="M4" s="114"/>
      <c r="N4" s="114"/>
      <c r="Q4" s="114"/>
    </row>
    <row r="5" spans="1:20">
      <c r="A5" s="114"/>
      <c r="B5" s="9" t="s">
        <v>807</v>
      </c>
      <c r="C5" s="9"/>
      <c r="D5" s="38" t="s">
        <v>610</v>
      </c>
      <c r="E5" s="38" t="s">
        <v>1246</v>
      </c>
      <c r="F5" s="9" t="s">
        <v>163</v>
      </c>
      <c r="G5" s="9" t="s">
        <v>176</v>
      </c>
      <c r="H5" s="11"/>
      <c r="I5" s="11"/>
      <c r="J5" s="11"/>
      <c r="K5" s="11"/>
      <c r="L5" s="114"/>
      <c r="M5" s="114"/>
      <c r="N5" s="114"/>
      <c r="Q5" s="114"/>
      <c r="R5" s="114"/>
      <c r="S5" s="114"/>
      <c r="T5" s="114"/>
    </row>
    <row r="6" spans="1:20" ht="14.4" thickBot="1">
      <c r="A6" s="116"/>
      <c r="B6" s="441">
        <v>44742</v>
      </c>
      <c r="C6" s="397" t="s">
        <v>1349</v>
      </c>
      <c r="D6" s="234" t="s">
        <v>611</v>
      </c>
      <c r="E6" s="233" t="s">
        <v>853</v>
      </c>
      <c r="F6" s="233" t="s">
        <v>853</v>
      </c>
      <c r="G6" s="233" t="s">
        <v>177</v>
      </c>
      <c r="H6" s="11"/>
      <c r="I6" s="11"/>
      <c r="J6" s="11"/>
      <c r="K6" s="11"/>
      <c r="N6" s="117"/>
    </row>
    <row r="7" spans="1:20" s="123" customFormat="1">
      <c r="A7" s="122"/>
      <c r="B7" s="313"/>
      <c r="C7" s="241"/>
      <c r="D7" s="241"/>
      <c r="E7" s="241"/>
      <c r="F7" s="241"/>
      <c r="H7" s="314"/>
      <c r="I7" s="314"/>
      <c r="J7" s="314"/>
      <c r="K7" s="314"/>
      <c r="L7" s="241"/>
      <c r="M7" s="241"/>
      <c r="N7" s="242"/>
    </row>
    <row r="8" spans="1:20" s="123" customFormat="1">
      <c r="A8" s="65" t="s">
        <v>1165</v>
      </c>
      <c r="B8" s="315">
        <f>137763842/365+59721/365-B10</f>
        <v>376669.05273972603</v>
      </c>
      <c r="C8" s="315">
        <f>4048068533-714369+1590144+176683-11551-C10</f>
        <v>4043916207.3736367</v>
      </c>
      <c r="D8" s="432">
        <f>431652649.45+172087-D10</f>
        <v>431190869.32348835</v>
      </c>
      <c r="E8" s="315">
        <v>901972.2225175607</v>
      </c>
      <c r="F8" s="315">
        <v>1409969.6727640391</v>
      </c>
      <c r="G8" s="315">
        <v>3152145.0858106511</v>
      </c>
      <c r="H8" s="126"/>
      <c r="I8" s="456"/>
      <c r="J8" s="457"/>
      <c r="K8" s="317"/>
      <c r="L8" s="318"/>
      <c r="M8" s="241"/>
      <c r="N8" s="318"/>
    </row>
    <row r="9" spans="1:20" s="123" customFormat="1">
      <c r="A9" s="65"/>
      <c r="B9" s="315"/>
      <c r="C9" s="315"/>
      <c r="D9" s="432"/>
      <c r="E9" s="315"/>
      <c r="F9" s="315"/>
      <c r="G9" s="315"/>
      <c r="H9" s="126"/>
      <c r="I9" s="126"/>
      <c r="J9" s="317"/>
      <c r="K9" s="317"/>
      <c r="L9" s="318"/>
      <c r="M9" s="241"/>
      <c r="N9" s="318"/>
    </row>
    <row r="10" spans="1:20" s="123" customFormat="1">
      <c r="A10" s="65" t="s">
        <v>1403</v>
      </c>
      <c r="B10" s="315">
        <f>11157/12</f>
        <v>929.75</v>
      </c>
      <c r="C10" s="315">
        <v>5193232.6263630604</v>
      </c>
      <c r="D10" s="432">
        <f>C10*0.09278+(5238798*(C10/C8))+339590*0.45+(C10/(C8+C10))*(5238798-11089750)</f>
        <v>633867.12651165912</v>
      </c>
      <c r="E10" s="315">
        <v>604.3424750902393</v>
      </c>
      <c r="F10" s="315">
        <v>5163.1440000000002</v>
      </c>
      <c r="G10" s="315">
        <v>6548.8008</v>
      </c>
      <c r="H10" s="126"/>
      <c r="I10" s="456"/>
      <c r="J10" s="457"/>
      <c r="K10" s="323"/>
      <c r="M10" s="241"/>
      <c r="N10" s="241"/>
    </row>
    <row r="11" spans="1:20" s="123" customFormat="1">
      <c r="A11" s="122"/>
      <c r="B11" s="315"/>
      <c r="C11" s="315"/>
      <c r="D11" s="319"/>
      <c r="E11" s="315"/>
      <c r="F11" s="315"/>
      <c r="G11" s="315"/>
      <c r="H11" s="126"/>
      <c r="I11" s="126"/>
      <c r="J11" s="317"/>
      <c r="K11" s="317"/>
      <c r="L11" s="241"/>
      <c r="M11" s="241"/>
      <c r="N11" s="321"/>
      <c r="R11" s="322"/>
      <c r="T11" s="322"/>
    </row>
    <row r="12" spans="1:20" s="123" customFormat="1">
      <c r="A12" s="65" t="s">
        <v>1218</v>
      </c>
      <c r="B12" s="315">
        <f>10506061/365+6050092/365</f>
        <v>45359.323287671228</v>
      </c>
      <c r="C12" s="315">
        <f>351664584+845636495-212199</f>
        <v>1197088880</v>
      </c>
      <c r="D12" s="432">
        <v>148100588.18000001</v>
      </c>
      <c r="E12" s="315">
        <v>213017.34637199674</v>
      </c>
      <c r="F12" s="315">
        <v>344696.92663794034</v>
      </c>
      <c r="G12" s="315">
        <v>504189.40375760838</v>
      </c>
      <c r="H12" s="126"/>
      <c r="I12" s="126"/>
      <c r="J12" s="323"/>
      <c r="K12" s="323"/>
      <c r="M12" s="241"/>
      <c r="N12" s="241"/>
    </row>
    <row r="13" spans="1:20" s="123" customFormat="1">
      <c r="B13" s="315"/>
      <c r="C13" s="315"/>
      <c r="D13" s="315"/>
      <c r="E13" s="315"/>
      <c r="F13" s="315"/>
      <c r="G13" s="315"/>
      <c r="H13" s="126"/>
      <c r="I13" s="126"/>
      <c r="J13" s="126"/>
      <c r="K13" s="126"/>
      <c r="L13" s="241"/>
      <c r="M13" s="241"/>
      <c r="N13" s="321"/>
      <c r="R13" s="322"/>
      <c r="T13" s="322"/>
    </row>
    <row r="14" spans="1:20" s="123" customFormat="1">
      <c r="A14" s="65" t="s">
        <v>1097</v>
      </c>
      <c r="B14" s="315">
        <f>25550/365</f>
        <v>70</v>
      </c>
      <c r="C14" s="315">
        <v>103621086</v>
      </c>
      <c r="D14" s="432">
        <v>10054861.74</v>
      </c>
      <c r="E14" s="315">
        <v>14423.275855243624</v>
      </c>
      <c r="F14" s="315">
        <v>22626.988030432454</v>
      </c>
      <c r="G14" s="315">
        <v>31182.551805860236</v>
      </c>
      <c r="H14" s="126"/>
      <c r="I14" s="126"/>
      <c r="J14" s="324"/>
      <c r="K14" s="324"/>
      <c r="L14" s="318"/>
      <c r="M14" s="318"/>
      <c r="N14" s="318"/>
    </row>
    <row r="15" spans="1:20" s="123" customFormat="1">
      <c r="A15" s="122"/>
      <c r="B15" s="315"/>
      <c r="C15" s="315"/>
      <c r="D15" s="315"/>
      <c r="E15" s="320"/>
      <c r="F15" s="320"/>
      <c r="G15" s="316"/>
      <c r="H15" s="323"/>
      <c r="I15" s="323"/>
      <c r="J15" s="323"/>
      <c r="K15" s="323"/>
    </row>
    <row r="16" spans="1:20" s="123" customFormat="1">
      <c r="A16" s="65" t="s">
        <v>1098</v>
      </c>
      <c r="B16" s="315">
        <f>1015575/365</f>
        <v>2782.3972602739727</v>
      </c>
      <c r="C16" s="315">
        <f>1509171943-298085</f>
        <v>1508873858</v>
      </c>
      <c r="D16" s="432">
        <v>147448878.13999999</v>
      </c>
      <c r="E16" s="315">
        <v>238519.2449461392</v>
      </c>
      <c r="F16" s="315">
        <v>383541.39107749885</v>
      </c>
      <c r="G16" s="315">
        <v>477537.689536402</v>
      </c>
      <c r="H16" s="126"/>
      <c r="I16" s="126"/>
      <c r="J16" s="323"/>
      <c r="K16" s="323"/>
      <c r="N16" s="241"/>
    </row>
    <row r="17" spans="1:20" s="123" customFormat="1">
      <c r="A17" s="122"/>
      <c r="B17" s="315"/>
      <c r="C17" s="315"/>
      <c r="D17" s="315"/>
      <c r="E17" s="320"/>
      <c r="F17" s="320"/>
      <c r="G17" s="316"/>
      <c r="H17" s="126"/>
      <c r="I17" s="126"/>
      <c r="J17" s="126"/>
      <c r="K17" s="126"/>
      <c r="L17" s="241"/>
      <c r="M17" s="241"/>
      <c r="N17" s="242"/>
    </row>
    <row r="18" spans="1:20" s="123" customFormat="1">
      <c r="A18" s="65" t="s">
        <v>1219</v>
      </c>
      <c r="B18" s="315">
        <f>48032/365</f>
        <v>131.59452054794519</v>
      </c>
      <c r="C18" s="126">
        <f>1992826476</f>
        <v>1992826476</v>
      </c>
      <c r="D18" s="432">
        <v>136688084.54999998</v>
      </c>
      <c r="E18" s="315">
        <v>226687.27944493658</v>
      </c>
      <c r="F18" s="315">
        <v>321647.06388980895</v>
      </c>
      <c r="G18" s="315">
        <v>492607.97701379319</v>
      </c>
      <c r="H18" s="126"/>
      <c r="I18" s="126"/>
      <c r="J18" s="324"/>
      <c r="K18" s="324"/>
      <c r="L18" s="318"/>
      <c r="M18" s="318"/>
      <c r="N18" s="318"/>
    </row>
    <row r="19" spans="1:20" s="123" customFormat="1">
      <c r="A19" s="122"/>
      <c r="B19" s="315"/>
      <c r="C19" s="315"/>
      <c r="D19" s="315"/>
      <c r="E19" s="325"/>
      <c r="F19" s="315"/>
      <c r="G19" s="316"/>
      <c r="H19" s="126"/>
      <c r="I19" s="126"/>
      <c r="J19" s="126"/>
      <c r="K19" s="126"/>
      <c r="L19" s="241"/>
      <c r="M19" s="241"/>
      <c r="N19" s="242"/>
    </row>
    <row r="20" spans="1:20" s="123" customFormat="1">
      <c r="A20" s="65" t="s">
        <v>1196</v>
      </c>
      <c r="B20" s="315">
        <f>184327/365</f>
        <v>505.00547945205477</v>
      </c>
      <c r="C20" s="315">
        <f>1288178137-46128</f>
        <v>1288132009</v>
      </c>
      <c r="D20" s="432">
        <v>101626163.23</v>
      </c>
      <c r="E20" s="315">
        <v>186382.85977024763</v>
      </c>
      <c r="F20" s="315">
        <v>304516.00456533756</v>
      </c>
      <c r="G20" s="316">
        <v>398342.01766712911</v>
      </c>
      <c r="H20" s="126"/>
      <c r="I20" s="126"/>
      <c r="J20" s="126"/>
      <c r="K20" s="126"/>
      <c r="L20" s="241"/>
      <c r="M20" s="241"/>
      <c r="N20" s="242"/>
    </row>
    <row r="21" spans="1:20" s="123" customFormat="1">
      <c r="A21" s="122"/>
      <c r="B21" s="315"/>
      <c r="C21" s="315"/>
      <c r="D21" s="315"/>
      <c r="E21" s="325"/>
      <c r="F21" s="315"/>
      <c r="G21" s="316"/>
      <c r="H21" s="126"/>
      <c r="I21" s="126"/>
      <c r="J21" s="126"/>
      <c r="K21" s="126"/>
      <c r="L21" s="241"/>
      <c r="M21" s="241"/>
      <c r="N21" s="242"/>
    </row>
    <row r="22" spans="1:20" s="123" customFormat="1">
      <c r="A22" s="65" t="s">
        <v>1099</v>
      </c>
      <c r="B22" s="315">
        <f>4745/365</f>
        <v>13</v>
      </c>
      <c r="C22" s="126">
        <v>1050890542</v>
      </c>
      <c r="D22" s="432">
        <v>64286866.589999996</v>
      </c>
      <c r="E22" s="315">
        <v>103765.18894177776</v>
      </c>
      <c r="F22" s="126">
        <v>158799.74271764961</v>
      </c>
      <c r="G22" s="326">
        <v>248117.46861058506</v>
      </c>
      <c r="H22" s="126"/>
      <c r="I22" s="126"/>
      <c r="J22" s="324"/>
      <c r="K22" s="324"/>
      <c r="L22" s="318"/>
      <c r="M22" s="318"/>
      <c r="N22" s="318"/>
    </row>
    <row r="23" spans="1:20" s="123" customFormat="1">
      <c r="B23" s="315"/>
      <c r="C23" s="315"/>
      <c r="D23" s="315"/>
      <c r="E23" s="315"/>
      <c r="F23" s="315"/>
      <c r="G23" s="315"/>
      <c r="H23" s="126"/>
      <c r="I23" s="126"/>
      <c r="J23" s="126"/>
      <c r="K23" s="126"/>
      <c r="L23" s="241"/>
      <c r="M23" s="241"/>
      <c r="N23" s="321"/>
      <c r="R23" s="322"/>
      <c r="T23" s="322"/>
    </row>
    <row r="24" spans="1:20" s="123" customFormat="1">
      <c r="A24" s="65" t="s">
        <v>572</v>
      </c>
      <c r="B24" s="315">
        <v>2</v>
      </c>
      <c r="C24" s="315">
        <v>56355100</v>
      </c>
      <c r="D24" s="432">
        <v>3635159.88</v>
      </c>
      <c r="E24" s="315">
        <v>5705.4716682053977</v>
      </c>
      <c r="F24" s="315">
        <v>10204.58234420671</v>
      </c>
      <c r="G24" s="326">
        <v>16631.198244821619</v>
      </c>
      <c r="H24" s="126"/>
      <c r="I24" s="126"/>
      <c r="J24" s="126"/>
      <c r="K24" s="126"/>
      <c r="L24" s="241"/>
      <c r="M24" s="241"/>
      <c r="N24" s="321"/>
      <c r="R24" s="322"/>
      <c r="T24" s="322"/>
    </row>
    <row r="25" spans="1:20" s="123" customFormat="1">
      <c r="B25" s="315"/>
      <c r="C25" s="315"/>
      <c r="D25" s="315"/>
      <c r="E25" s="315"/>
      <c r="F25" s="315"/>
      <c r="G25" s="315"/>
      <c r="H25" s="126"/>
      <c r="I25" s="126"/>
      <c r="J25" s="126"/>
      <c r="K25" s="126"/>
      <c r="L25" s="241"/>
      <c r="M25" s="241"/>
      <c r="N25" s="321"/>
      <c r="R25" s="322"/>
      <c r="T25" s="322"/>
    </row>
    <row r="26" spans="1:20" s="123" customFormat="1">
      <c r="A26" s="65" t="s">
        <v>1388</v>
      </c>
      <c r="B26" s="315">
        <f>1092108/12</f>
        <v>91009</v>
      </c>
      <c r="C26" s="315">
        <v>99001434.980000019</v>
      </c>
      <c r="D26" s="432">
        <v>22160939.829999998</v>
      </c>
      <c r="E26" s="315">
        <v>316.67944731733201</v>
      </c>
      <c r="F26" s="315">
        <v>24182.110712100763</v>
      </c>
      <c r="G26" s="315">
        <f>F26</f>
        <v>24182.110712100763</v>
      </c>
      <c r="H26" s="126"/>
      <c r="I26" s="126"/>
      <c r="J26" s="126"/>
      <c r="K26" s="126"/>
      <c r="L26" s="241"/>
      <c r="M26" s="241"/>
      <c r="N26" s="321"/>
      <c r="R26" s="322"/>
      <c r="T26" s="322"/>
    </row>
    <row r="27" spans="1:20" s="123" customFormat="1">
      <c r="B27" s="315"/>
      <c r="C27" s="315"/>
      <c r="D27" s="315"/>
      <c r="E27" s="315"/>
      <c r="F27" s="315"/>
      <c r="G27" s="315"/>
      <c r="H27" s="126"/>
      <c r="I27" s="126"/>
      <c r="J27" s="126"/>
      <c r="K27" s="126"/>
      <c r="L27" s="241"/>
      <c r="M27" s="241"/>
      <c r="N27" s="321"/>
      <c r="R27" s="322"/>
      <c r="T27" s="322"/>
    </row>
    <row r="28" spans="1:20" s="123" customFormat="1">
      <c r="A28" s="65" t="s">
        <v>1197</v>
      </c>
      <c r="B28" s="315">
        <f>58765/365</f>
        <v>161</v>
      </c>
      <c r="C28" s="315">
        <v>3448222</v>
      </c>
      <c r="D28" s="433">
        <v>243958.97</v>
      </c>
      <c r="E28" s="315">
        <v>11.029951610601675</v>
      </c>
      <c r="F28" s="315">
        <v>842.2634094387754</v>
      </c>
      <c r="G28" s="315">
        <f>F28</f>
        <v>842.2634094387754</v>
      </c>
      <c r="H28" s="126"/>
      <c r="I28" s="126"/>
      <c r="J28" s="126"/>
      <c r="K28" s="126"/>
      <c r="L28" s="241"/>
      <c r="M28" s="241"/>
      <c r="N28" s="321"/>
      <c r="R28" s="322"/>
      <c r="T28" s="322"/>
    </row>
    <row r="29" spans="1:20" s="123" customFormat="1">
      <c r="B29" s="315"/>
      <c r="C29" s="315"/>
      <c r="D29" s="315"/>
      <c r="E29" s="315"/>
      <c r="F29" s="315"/>
      <c r="G29" s="315"/>
      <c r="H29" s="126"/>
      <c r="I29" s="126"/>
      <c r="J29" s="126"/>
      <c r="K29" s="126"/>
      <c r="L29" s="241"/>
      <c r="M29" s="241"/>
      <c r="N29" s="321"/>
      <c r="R29" s="322"/>
      <c r="T29" s="322"/>
    </row>
    <row r="30" spans="1:20" s="123" customFormat="1">
      <c r="A30" s="137" t="s">
        <v>1258</v>
      </c>
      <c r="B30" s="315">
        <f>365000/365</f>
        <v>1000</v>
      </c>
      <c r="C30" s="315">
        <v>3215713</v>
      </c>
      <c r="D30" s="432">
        <v>318741.55000000005</v>
      </c>
      <c r="E30" s="315">
        <v>307.30645488745159</v>
      </c>
      <c r="F30" s="315">
        <v>386.63809557648403</v>
      </c>
      <c r="G30" s="315">
        <f>F30</f>
        <v>386.63809557648403</v>
      </c>
      <c r="H30" s="126"/>
      <c r="I30" s="396"/>
      <c r="J30" s="126"/>
      <c r="K30" s="126"/>
      <c r="L30" s="241"/>
      <c r="M30" s="241"/>
      <c r="N30" s="321"/>
      <c r="R30" s="322"/>
      <c r="T30" s="322"/>
    </row>
    <row r="31" spans="1:20" s="123" customFormat="1">
      <c r="B31" s="315"/>
      <c r="C31" s="315"/>
      <c r="D31" s="315"/>
      <c r="E31" s="315"/>
      <c r="F31" s="315"/>
      <c r="G31" s="315"/>
      <c r="H31" s="126"/>
      <c r="I31" s="126"/>
      <c r="J31" s="126"/>
      <c r="K31" s="126"/>
      <c r="L31" s="241"/>
      <c r="M31" s="241"/>
      <c r="N31" s="321"/>
      <c r="R31" s="322"/>
      <c r="T31" s="322"/>
    </row>
    <row r="32" spans="1:20" s="123" customFormat="1">
      <c r="A32" s="137" t="s">
        <v>1254</v>
      </c>
      <c r="B32" s="315">
        <f>365/365</f>
        <v>1</v>
      </c>
      <c r="C32" s="315">
        <v>11550</v>
      </c>
      <c r="D32" s="432">
        <v>15468.33</v>
      </c>
      <c r="E32" s="315">
        <v>0.7310553686188852</v>
      </c>
      <c r="F32" s="315">
        <v>42.076752768819269</v>
      </c>
      <c r="G32" s="315">
        <f>F32</f>
        <v>42.076752768819269</v>
      </c>
      <c r="H32" s="126"/>
      <c r="I32" s="126"/>
      <c r="J32" s="126"/>
      <c r="K32" s="126"/>
      <c r="L32" s="241"/>
      <c r="M32" s="241"/>
      <c r="N32" s="321"/>
      <c r="R32" s="322"/>
      <c r="T32" s="322"/>
    </row>
    <row r="33" spans="1:20" s="123" customFormat="1">
      <c r="A33" s="137"/>
      <c r="B33" s="315"/>
      <c r="C33" s="315"/>
      <c r="D33" s="315"/>
      <c r="E33" s="315"/>
      <c r="F33" s="315"/>
      <c r="G33" s="315"/>
      <c r="H33" s="126"/>
      <c r="I33" s="126"/>
      <c r="J33" s="126"/>
      <c r="K33" s="126"/>
      <c r="L33" s="241"/>
      <c r="M33" s="241"/>
      <c r="N33" s="321"/>
      <c r="R33" s="322"/>
      <c r="T33" s="322"/>
    </row>
    <row r="34" spans="1:20" s="123" customFormat="1">
      <c r="A34" s="137" t="s">
        <v>1249</v>
      </c>
      <c r="B34" s="315">
        <v>10</v>
      </c>
      <c r="C34" s="315">
        <v>18250</v>
      </c>
      <c r="D34" s="432">
        <f>1533</f>
        <v>1533</v>
      </c>
      <c r="E34" s="315">
        <v>3.3169892018545468</v>
      </c>
      <c r="F34" s="315">
        <v>4.2130000000000001</v>
      </c>
      <c r="G34" s="315">
        <f>F34</f>
        <v>4.2130000000000001</v>
      </c>
      <c r="H34" s="126"/>
      <c r="I34" s="126"/>
      <c r="J34" s="126"/>
      <c r="K34" s="126"/>
      <c r="L34" s="241"/>
      <c r="M34" s="241"/>
      <c r="N34" s="321"/>
      <c r="R34" s="322"/>
      <c r="T34" s="322"/>
    </row>
    <row r="35" spans="1:20" s="123" customFormat="1">
      <c r="A35" s="137"/>
      <c r="B35" s="315"/>
      <c r="C35" s="315"/>
      <c r="D35" s="315"/>
      <c r="E35" s="315"/>
      <c r="F35" s="315"/>
      <c r="G35" s="315"/>
      <c r="H35" s="126"/>
      <c r="I35" s="126"/>
      <c r="J35" s="126"/>
      <c r="K35" s="126"/>
      <c r="L35" s="241"/>
      <c r="M35" s="241"/>
      <c r="N35" s="321"/>
      <c r="R35" s="322"/>
      <c r="T35" s="322"/>
    </row>
    <row r="36" spans="1:20" s="123" customFormat="1">
      <c r="A36" s="137" t="s">
        <v>1251</v>
      </c>
      <c r="B36" s="315"/>
      <c r="C36" s="315"/>
      <c r="D36" s="432">
        <v>237096</v>
      </c>
      <c r="E36" s="315"/>
      <c r="F36" s="315">
        <v>0</v>
      </c>
      <c r="G36" s="315">
        <v>0</v>
      </c>
      <c r="H36" s="126"/>
      <c r="I36" s="126"/>
      <c r="J36" s="126"/>
      <c r="K36" s="126"/>
      <c r="L36" s="241"/>
      <c r="M36" s="241"/>
      <c r="N36" s="321"/>
      <c r="R36" s="322"/>
      <c r="T36" s="322"/>
    </row>
    <row r="37" spans="1:20" s="123" customFormat="1">
      <c r="A37" s="137"/>
      <c r="B37" s="315"/>
      <c r="C37" s="315"/>
      <c r="D37" s="315"/>
      <c r="E37" s="315"/>
      <c r="F37" s="315"/>
      <c r="G37" s="315"/>
      <c r="H37" s="126"/>
      <c r="I37" s="126"/>
      <c r="J37" s="126"/>
      <c r="K37" s="126"/>
      <c r="L37" s="241"/>
      <c r="M37" s="241"/>
      <c r="N37" s="321"/>
      <c r="R37" s="322"/>
      <c r="T37" s="322"/>
    </row>
    <row r="38" spans="1:20" s="123" customFormat="1">
      <c r="A38" s="327" t="s">
        <v>1252</v>
      </c>
      <c r="B38" s="328"/>
      <c r="C38" s="328"/>
      <c r="D38" s="443">
        <v>9936</v>
      </c>
      <c r="E38" s="328"/>
      <c r="F38" s="315">
        <v>0</v>
      </c>
      <c r="G38" s="328">
        <v>0</v>
      </c>
      <c r="H38" s="126"/>
      <c r="I38" s="126"/>
      <c r="J38" s="126"/>
      <c r="K38" s="126"/>
      <c r="L38" s="241"/>
      <c r="M38" s="241"/>
      <c r="N38" s="321"/>
      <c r="R38" s="322"/>
      <c r="T38" s="322"/>
    </row>
    <row r="39" spans="1:20" s="123" customFormat="1">
      <c r="A39" s="65" t="s">
        <v>846</v>
      </c>
      <c r="B39" s="315">
        <f>SUM(B8:B38)</f>
        <v>518643.12328767125</v>
      </c>
      <c r="C39" s="315">
        <f t="shared" ref="C39:G39" si="0">SUM(C8:C38)</f>
        <v>11352592560.98</v>
      </c>
      <c r="D39" s="319">
        <f>SUM(D8:D38)</f>
        <v>1066653012.4400001</v>
      </c>
      <c r="E39" s="315">
        <f t="shared" si="0"/>
        <v>1891716.2958895839</v>
      </c>
      <c r="F39" s="329">
        <f>SUM(F8:F38)</f>
        <v>2986622.8179967981</v>
      </c>
      <c r="G39" s="315">
        <f t="shared" si="0"/>
        <v>5352759.4952167347</v>
      </c>
      <c r="H39" s="126"/>
      <c r="I39" s="126"/>
      <c r="J39" s="126"/>
      <c r="K39" s="126"/>
      <c r="L39" s="241"/>
      <c r="M39" s="241"/>
      <c r="N39" s="321"/>
      <c r="R39" s="322"/>
      <c r="T39" s="322"/>
    </row>
    <row r="40" spans="1:20">
      <c r="A40" s="45"/>
      <c r="B40" s="278"/>
      <c r="C40" s="241"/>
      <c r="D40" s="125"/>
      <c r="E40" s="279"/>
      <c r="F40" s="241"/>
      <c r="G40" s="241"/>
      <c r="H40" s="120"/>
      <c r="I40" s="120"/>
      <c r="J40" s="120"/>
      <c r="K40" s="120"/>
      <c r="L40" s="120"/>
      <c r="M40" s="120"/>
      <c r="N40" s="120"/>
    </row>
    <row r="41" spans="1:20">
      <c r="A41" s="114"/>
      <c r="B41" s="280"/>
      <c r="C41" s="280"/>
      <c r="D41" s="277"/>
      <c r="E41" s="280"/>
      <c r="F41" s="280"/>
      <c r="G41" s="280"/>
      <c r="H41" s="84"/>
      <c r="I41" s="84"/>
      <c r="J41" s="84"/>
      <c r="K41" s="84"/>
      <c r="L41" s="84"/>
      <c r="M41" s="84"/>
      <c r="N41" s="84"/>
    </row>
    <row r="42" spans="1:20">
      <c r="A42" s="114"/>
      <c r="B42" s="280"/>
      <c r="C42" s="280"/>
      <c r="D42" s="280"/>
      <c r="E42" s="280"/>
      <c r="F42" s="280"/>
      <c r="G42" s="280"/>
      <c r="H42" s="84"/>
      <c r="I42" s="84"/>
      <c r="J42" s="84"/>
    </row>
    <row r="43" spans="1:20" ht="15.9">
      <c r="C43" s="117"/>
      <c r="D43" s="117"/>
      <c r="E43" s="117"/>
      <c r="F43" s="117"/>
      <c r="G43" s="17"/>
      <c r="H43" s="117"/>
      <c r="I43" s="117"/>
      <c r="J43" s="117"/>
      <c r="K43" s="117"/>
      <c r="L43" s="117"/>
      <c r="M43" s="117"/>
      <c r="N43" s="117"/>
    </row>
    <row r="44" spans="1:20"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20">
      <c r="C45" s="117"/>
      <c r="D45" s="117"/>
      <c r="E45" s="117"/>
      <c r="F45" s="117"/>
      <c r="G45" s="117"/>
      <c r="H45" s="117"/>
      <c r="I45" s="117"/>
      <c r="J45" s="117"/>
      <c r="K45" s="117"/>
      <c r="N45" s="118"/>
    </row>
    <row r="46" spans="1:20"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</row>
    <row r="47" spans="1:20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8"/>
    </row>
    <row r="48" spans="1:20"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R48" s="121"/>
      <c r="T48" s="121"/>
    </row>
    <row r="49" spans="3:20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3:20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3:20">
      <c r="C51" s="117"/>
      <c r="D51" s="117"/>
      <c r="E51" s="117"/>
      <c r="F51" s="117"/>
      <c r="G51" s="117"/>
      <c r="H51" s="117"/>
      <c r="I51" s="117"/>
      <c r="J51" s="117"/>
      <c r="K51" s="117"/>
      <c r="N51" s="118"/>
    </row>
    <row r="52" spans="3:20"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</row>
    <row r="53" spans="3:20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</row>
    <row r="54" spans="3:20"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R54" s="121"/>
      <c r="T54" s="121"/>
    </row>
    <row r="55" spans="3:20"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3:20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3:20">
      <c r="C57" s="117"/>
      <c r="D57" s="117"/>
      <c r="E57" s="117"/>
      <c r="F57" s="117"/>
      <c r="G57" s="117"/>
      <c r="H57" s="117"/>
      <c r="I57" s="117"/>
      <c r="J57" s="117"/>
      <c r="K57" s="117"/>
      <c r="N57" s="118"/>
    </row>
    <row r="58" spans="3:20"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N58" s="118"/>
    </row>
    <row r="59" spans="3:20"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</row>
    <row r="60" spans="3:20"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R60" s="121"/>
      <c r="T60" s="121"/>
    </row>
    <row r="61" spans="3:20"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3:20"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3:20">
      <c r="C63" s="117"/>
      <c r="D63" s="117"/>
      <c r="E63" s="117"/>
      <c r="F63" s="117"/>
      <c r="G63" s="117"/>
      <c r="H63" s="117"/>
      <c r="I63" s="117"/>
      <c r="J63" s="117"/>
      <c r="K63" s="117"/>
      <c r="N63" s="118"/>
    </row>
    <row r="64" spans="3:20"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8"/>
    </row>
    <row r="65" spans="3:20"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18"/>
      <c r="Q65" s="128"/>
    </row>
    <row r="66" spans="3:20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R66" s="121"/>
      <c r="T66" s="121"/>
    </row>
    <row r="67" spans="3:20"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Q67" s="129"/>
    </row>
    <row r="68" spans="3:20"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</row>
    <row r="69" spans="3:20">
      <c r="C69" s="117"/>
      <c r="D69" s="117"/>
      <c r="E69" s="117"/>
      <c r="F69" s="117"/>
      <c r="G69" s="117"/>
      <c r="H69" s="117"/>
      <c r="I69" s="117"/>
      <c r="J69" s="117"/>
      <c r="K69" s="117"/>
      <c r="N69" s="118"/>
    </row>
    <row r="70" spans="3:20"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8"/>
    </row>
    <row r="71" spans="3:20">
      <c r="C71" s="117"/>
      <c r="D71" s="117"/>
      <c r="E71" s="117"/>
      <c r="F71" s="117"/>
      <c r="G71" s="117"/>
      <c r="H71" s="117"/>
      <c r="I71" s="117"/>
      <c r="J71" s="127"/>
      <c r="K71" s="117"/>
      <c r="N71" s="118"/>
      <c r="Q71" s="128"/>
    </row>
    <row r="72" spans="3:20"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R72" s="121"/>
      <c r="T72" s="121"/>
    </row>
    <row r="73" spans="3:20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Q73" s="129"/>
    </row>
    <row r="74" spans="3:20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3:20">
      <c r="C75" s="117"/>
      <c r="D75" s="117"/>
      <c r="E75" s="117"/>
      <c r="F75" s="117"/>
      <c r="G75" s="117"/>
      <c r="H75" s="117"/>
      <c r="I75" s="117"/>
      <c r="J75" s="117"/>
      <c r="K75" s="117"/>
      <c r="N75" s="118"/>
    </row>
    <row r="76" spans="3:20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8"/>
    </row>
    <row r="77" spans="3:20"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18"/>
      <c r="Q77" s="128"/>
    </row>
    <row r="78" spans="3:20">
      <c r="C78" s="12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R78" s="121"/>
      <c r="T78" s="121"/>
    </row>
    <row r="79" spans="3:20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Q79" s="129"/>
    </row>
    <row r="80" spans="3:20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Q80" s="129"/>
    </row>
    <row r="81" spans="3:20">
      <c r="C81" s="117"/>
      <c r="D81" s="117"/>
      <c r="E81" s="117"/>
      <c r="F81" s="117"/>
      <c r="G81" s="117"/>
      <c r="H81" s="117"/>
      <c r="I81" s="117"/>
      <c r="J81" s="117"/>
      <c r="K81" s="117"/>
      <c r="N81" s="118"/>
    </row>
    <row r="82" spans="3:20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27"/>
      <c r="N82" s="118"/>
    </row>
    <row r="83" spans="3:20">
      <c r="C83" s="117"/>
      <c r="D83" s="117"/>
      <c r="E83" s="117"/>
      <c r="F83" s="117"/>
      <c r="G83" s="117"/>
      <c r="H83" s="117"/>
      <c r="I83" s="117"/>
      <c r="J83" s="127"/>
      <c r="K83" s="117"/>
      <c r="L83" s="117"/>
      <c r="M83" s="117"/>
      <c r="N83" s="118"/>
    </row>
    <row r="84" spans="3:20">
      <c r="C84" s="120"/>
      <c r="D84" s="120"/>
      <c r="E84" s="120"/>
      <c r="F84" s="120"/>
      <c r="G84" s="120"/>
      <c r="H84" s="120"/>
      <c r="I84" s="117"/>
      <c r="J84" s="120"/>
      <c r="K84" s="120"/>
      <c r="L84" s="120"/>
      <c r="M84" s="120"/>
      <c r="N84" s="120"/>
      <c r="R84" s="121"/>
      <c r="T84" s="121"/>
    </row>
    <row r="85" spans="3:20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</row>
    <row r="86" spans="3:20">
      <c r="C86" s="117"/>
      <c r="D86" s="117"/>
      <c r="E86" s="117"/>
      <c r="F86" s="117"/>
      <c r="G86" s="117"/>
      <c r="H86" s="117"/>
      <c r="I86" s="117"/>
      <c r="J86" s="127"/>
      <c r="K86" s="117"/>
      <c r="N86" s="118"/>
    </row>
    <row r="87" spans="3:20">
      <c r="C87" s="117"/>
      <c r="D87" s="117"/>
      <c r="E87" s="117"/>
      <c r="F87" s="117"/>
      <c r="G87" s="117"/>
      <c r="H87" s="117"/>
      <c r="I87" s="117"/>
      <c r="J87" s="117"/>
      <c r="K87" s="117"/>
      <c r="N87" s="118"/>
    </row>
    <row r="88" spans="3:20">
      <c r="C88" s="117"/>
      <c r="D88" s="117"/>
      <c r="E88" s="117"/>
      <c r="F88" s="117"/>
      <c r="G88" s="117"/>
      <c r="H88" s="117"/>
      <c r="I88" s="117"/>
      <c r="J88" s="127"/>
      <c r="K88" s="117"/>
      <c r="L88" s="117"/>
      <c r="M88" s="117"/>
      <c r="N88" s="118"/>
    </row>
    <row r="89" spans="3:20">
      <c r="C89" s="117"/>
      <c r="D89" s="117"/>
      <c r="E89" s="117"/>
      <c r="F89" s="117"/>
      <c r="G89" s="117"/>
      <c r="H89" s="117"/>
      <c r="I89" s="117"/>
      <c r="J89" s="127"/>
      <c r="K89" s="117"/>
      <c r="N89" s="118"/>
    </row>
    <row r="90" spans="3:20"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3:20">
      <c r="C91" s="117"/>
      <c r="D91" s="117"/>
      <c r="E91" s="117"/>
      <c r="F91" s="117"/>
      <c r="G91" s="117"/>
      <c r="H91" s="117"/>
      <c r="I91" s="117"/>
      <c r="J91" s="127"/>
    </row>
    <row r="92" spans="3:20"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  <c r="R92" s="121"/>
      <c r="T92" s="121"/>
    </row>
    <row r="93" spans="3:20"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3:20"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T94" s="121"/>
    </row>
    <row r="95" spans="3:20">
      <c r="C95" s="120"/>
      <c r="D95" s="120"/>
      <c r="E95" s="120"/>
      <c r="F95" s="120"/>
      <c r="G95" s="120"/>
      <c r="H95" s="120"/>
      <c r="I95" s="120"/>
      <c r="J95" s="120"/>
      <c r="K95" s="119"/>
      <c r="L95" s="119"/>
      <c r="M95" s="119"/>
      <c r="N95" s="119"/>
    </row>
    <row r="96" spans="3:20">
      <c r="C96" s="120"/>
      <c r="D96" s="120"/>
      <c r="E96" s="120"/>
      <c r="F96" s="120"/>
      <c r="G96" s="120"/>
      <c r="H96" s="120"/>
      <c r="I96" s="120"/>
      <c r="J96" s="120"/>
      <c r="K96" s="119"/>
      <c r="L96" s="119"/>
      <c r="M96" s="119"/>
      <c r="N96" s="119"/>
    </row>
    <row r="97" spans="3:14">
      <c r="C97" s="120"/>
      <c r="D97" s="120"/>
      <c r="E97" s="120"/>
      <c r="F97" s="120"/>
      <c r="G97" s="120"/>
      <c r="H97" s="120"/>
      <c r="I97" s="120"/>
      <c r="J97" s="120"/>
      <c r="K97" s="119"/>
      <c r="L97" s="119"/>
      <c r="M97" s="119"/>
      <c r="N97" s="119"/>
    </row>
    <row r="98" spans="3:14">
      <c r="C98" s="120"/>
      <c r="D98" s="120"/>
      <c r="E98" s="120"/>
      <c r="F98" s="120"/>
      <c r="G98" s="120"/>
      <c r="H98" s="120"/>
      <c r="I98" s="120"/>
      <c r="J98" s="120"/>
      <c r="K98" s="119"/>
      <c r="L98" s="119"/>
      <c r="M98" s="119"/>
      <c r="N98" s="119"/>
    </row>
    <row r="99" spans="3:14">
      <c r="C99" s="117"/>
      <c r="D99" s="124"/>
      <c r="E99" s="124"/>
      <c r="F99" s="124"/>
      <c r="G99" s="127"/>
      <c r="H99" s="124"/>
      <c r="I99" s="127"/>
      <c r="J99" s="124"/>
      <c r="K99" s="124"/>
      <c r="L99" s="124"/>
      <c r="M99" s="124"/>
    </row>
    <row r="100" spans="3:14">
      <c r="C100" s="117"/>
      <c r="D100" s="124"/>
      <c r="E100" s="124"/>
      <c r="F100" s="124"/>
      <c r="G100" s="127"/>
      <c r="H100" s="124"/>
      <c r="I100" s="127"/>
      <c r="J100" s="124"/>
      <c r="K100" s="124"/>
      <c r="L100" s="124"/>
      <c r="M100" s="124"/>
    </row>
    <row r="101" spans="3:14">
      <c r="C101" s="117"/>
      <c r="D101" s="124"/>
      <c r="E101" s="124"/>
      <c r="F101" s="124"/>
      <c r="G101" s="127"/>
      <c r="H101" s="124"/>
      <c r="I101" s="127"/>
      <c r="J101" s="124"/>
      <c r="K101" s="124"/>
      <c r="L101" s="124"/>
      <c r="M101" s="124"/>
    </row>
    <row r="102" spans="3:14" ht="15.9">
      <c r="C102" s="17"/>
      <c r="D102" s="124"/>
      <c r="E102" s="124"/>
      <c r="F102" s="124"/>
      <c r="G102" s="85"/>
      <c r="H102" s="124"/>
      <c r="I102" s="127"/>
      <c r="J102" s="16"/>
      <c r="K102" s="16"/>
      <c r="L102" s="16"/>
      <c r="M102" s="16"/>
    </row>
    <row r="103" spans="3:14">
      <c r="C103" s="117"/>
      <c r="D103" s="124"/>
      <c r="E103" s="124"/>
      <c r="F103" s="124"/>
      <c r="G103" s="127"/>
      <c r="H103" s="124"/>
      <c r="I103" s="127"/>
      <c r="J103" s="124"/>
      <c r="K103" s="124"/>
      <c r="L103" s="124"/>
      <c r="M103" s="124"/>
    </row>
    <row r="104" spans="3:14" ht="15.9">
      <c r="C104" s="17"/>
      <c r="D104" s="130"/>
      <c r="E104" s="16"/>
      <c r="F104" s="16"/>
      <c r="G104" s="127"/>
      <c r="H104" s="16"/>
      <c r="I104" s="85"/>
      <c r="J104" s="16"/>
      <c r="K104" s="16"/>
      <c r="L104" s="16"/>
      <c r="M104" s="16"/>
    </row>
    <row r="105" spans="3:14">
      <c r="C105" s="117"/>
      <c r="D105" s="124"/>
      <c r="E105" s="124"/>
      <c r="F105" s="124"/>
      <c r="G105" s="127"/>
      <c r="H105" s="124"/>
      <c r="I105" s="127"/>
      <c r="J105" s="124"/>
      <c r="K105" s="124"/>
      <c r="L105" s="124"/>
      <c r="M105" s="124"/>
    </row>
    <row r="106" spans="3:14" ht="15.9">
      <c r="C106" s="86"/>
      <c r="D106" s="130"/>
      <c r="E106" s="16"/>
      <c r="F106" s="16"/>
      <c r="G106" s="127"/>
      <c r="H106" s="16"/>
      <c r="I106" s="87"/>
    </row>
    <row r="107" spans="3:14">
      <c r="C107" s="117"/>
      <c r="D107" s="124"/>
      <c r="E107" s="124"/>
      <c r="F107" s="124"/>
      <c r="G107" s="127"/>
      <c r="H107" s="124"/>
      <c r="I107" s="127"/>
    </row>
    <row r="108" spans="3:14">
      <c r="C108" s="117"/>
      <c r="G108" s="127"/>
      <c r="I108" s="127"/>
    </row>
    <row r="109" spans="3:14">
      <c r="C109" s="117"/>
      <c r="G109" s="127"/>
      <c r="I109" s="127"/>
    </row>
    <row r="110" spans="3:14">
      <c r="C110" s="117"/>
      <c r="G110" s="127"/>
      <c r="I110" s="127"/>
    </row>
    <row r="111" spans="3:14">
      <c r="C111" s="117"/>
      <c r="G111" s="127"/>
      <c r="I111" s="127"/>
      <c r="J111" s="124"/>
      <c r="K111" s="124"/>
      <c r="L111" s="124"/>
      <c r="M111" s="131"/>
    </row>
    <row r="112" spans="3:14">
      <c r="C112" s="117"/>
      <c r="G112" s="127"/>
      <c r="I112" s="127"/>
      <c r="J112" s="124"/>
      <c r="K112" s="124"/>
      <c r="L112" s="124"/>
      <c r="M112" s="131"/>
    </row>
    <row r="113" spans="3:13" ht="15.9">
      <c r="C113" s="17"/>
      <c r="D113" s="124"/>
      <c r="E113" s="124"/>
      <c r="F113" s="124"/>
      <c r="G113" s="85"/>
      <c r="H113" s="124"/>
      <c r="I113" s="127"/>
      <c r="J113" s="124"/>
      <c r="K113" s="124"/>
      <c r="L113" s="124"/>
      <c r="M113" s="131"/>
    </row>
    <row r="114" spans="3:13">
      <c r="C114" s="117"/>
      <c r="D114" s="124"/>
      <c r="E114" s="124"/>
      <c r="F114" s="124"/>
      <c r="G114" s="127"/>
      <c r="H114" s="124"/>
      <c r="I114" s="127"/>
      <c r="J114" s="124"/>
      <c r="K114" s="124"/>
      <c r="L114" s="124"/>
      <c r="M114" s="131"/>
    </row>
    <row r="115" spans="3:13">
      <c r="C115" s="117"/>
      <c r="D115" s="124"/>
      <c r="E115" s="124"/>
      <c r="F115" s="124"/>
      <c r="G115" s="127"/>
      <c r="H115" s="124"/>
      <c r="I115" s="127"/>
      <c r="J115" s="124"/>
      <c r="K115" s="124"/>
      <c r="L115" s="124"/>
      <c r="M115" s="131"/>
    </row>
    <row r="116" spans="3:13">
      <c r="C116" s="117"/>
      <c r="D116" s="124"/>
      <c r="E116" s="124"/>
      <c r="F116" s="124"/>
      <c r="G116" s="127"/>
      <c r="H116" s="124"/>
      <c r="I116" s="127"/>
      <c r="J116" s="124"/>
      <c r="K116" s="124"/>
      <c r="L116" s="124"/>
      <c r="M116" s="131"/>
    </row>
    <row r="117" spans="3:13" ht="15.9">
      <c r="C117" s="117"/>
      <c r="D117" s="124"/>
      <c r="E117" s="124"/>
      <c r="F117" s="124"/>
      <c r="G117" s="127"/>
      <c r="H117" s="124"/>
      <c r="I117" s="127"/>
      <c r="J117" s="16"/>
      <c r="K117" s="16"/>
      <c r="L117" s="16"/>
      <c r="M117" s="88"/>
    </row>
    <row r="118" spans="3:13">
      <c r="C118" s="117"/>
      <c r="D118" s="124"/>
      <c r="E118" s="124"/>
      <c r="F118" s="124"/>
      <c r="G118" s="127"/>
      <c r="H118" s="124"/>
      <c r="I118" s="127"/>
      <c r="J118" s="124"/>
      <c r="K118" s="124"/>
      <c r="L118" s="124"/>
      <c r="M118" s="124"/>
    </row>
    <row r="119" spans="3:13" ht="15.9">
      <c r="C119" s="86"/>
      <c r="D119" s="130"/>
      <c r="E119" s="16"/>
      <c r="F119" s="16"/>
      <c r="G119" s="127"/>
      <c r="H119" s="16"/>
      <c r="I119" s="87"/>
      <c r="J119" s="16"/>
      <c r="K119" s="16"/>
      <c r="L119" s="16"/>
      <c r="M119" s="88"/>
    </row>
    <row r="120" spans="3:13">
      <c r="C120" s="117"/>
      <c r="D120" s="124"/>
      <c r="E120" s="124"/>
      <c r="F120" s="124"/>
      <c r="G120" s="127"/>
      <c r="H120" s="124"/>
      <c r="I120" s="127"/>
      <c r="J120" s="124"/>
      <c r="K120" s="124"/>
      <c r="L120" s="124"/>
      <c r="M120" s="124"/>
    </row>
    <row r="121" spans="3:13" ht="15.9">
      <c r="C121" s="86"/>
      <c r="D121" s="130"/>
      <c r="E121" s="16"/>
      <c r="F121" s="16"/>
      <c r="G121" s="127"/>
      <c r="H121" s="16"/>
      <c r="I121" s="85"/>
    </row>
    <row r="122" spans="3:13" ht="15.9">
      <c r="C122" s="17"/>
      <c r="D122" s="124"/>
      <c r="E122" s="124"/>
      <c r="F122" s="124"/>
      <c r="G122" s="85"/>
      <c r="H122" s="124"/>
      <c r="I122" s="127"/>
    </row>
    <row r="123" spans="3:13">
      <c r="C123" s="118"/>
      <c r="G123" s="118"/>
      <c r="I123" s="127"/>
    </row>
    <row r="124" spans="3:13">
      <c r="I124" s="127"/>
    </row>
    <row r="125" spans="3:13">
      <c r="C125" s="118"/>
      <c r="D125" s="118"/>
      <c r="E125" s="118"/>
      <c r="F125" s="118"/>
      <c r="G125" s="118"/>
      <c r="I125" s="127"/>
    </row>
  </sheetData>
  <phoneticPr fontId="0" type="noConversion"/>
  <pageMargins left="0.75" right="0.75" top="1" bottom="1" header="0.5" footer="0.5"/>
  <pageSetup scale="79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63"/>
  <sheetViews>
    <sheetView view="pageBreakPreview" topLeftCell="H28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style="44" customWidth="1"/>
    <col min="12" max="12" width="17.83984375" customWidth="1"/>
    <col min="13" max="13" width="10.68359375" bestFit="1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63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364"/>
      <c r="L5" s="20"/>
      <c r="M5" s="20"/>
      <c r="N5" s="20"/>
    </row>
    <row r="6" spans="1:14" ht="15">
      <c r="A6" s="472" t="s">
        <v>569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365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366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366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367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368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Proforma'!H176</f>
        <v>2804049.0308775981</v>
      </c>
      <c r="E14" s="333">
        <f>'Allocation Proforma'!H125+'Allocation Proforma'!H126+'Allocation Proforma'!H127</f>
        <v>334718.5293108137</v>
      </c>
      <c r="F14" s="333">
        <f>'Allocation Proforma'!H128</f>
        <v>36127.409646677283</v>
      </c>
      <c r="G14" s="333">
        <f>'Allocation Proforma'!H137</f>
        <v>599667.70733732579</v>
      </c>
      <c r="H14" s="333">
        <f>'Allocation Proforma'!H147+'Allocation Proforma'!H149+'Allocation Proforma'!H154+'Allocation Proforma'!H143</f>
        <v>768508.50543878926</v>
      </c>
      <c r="I14" s="333">
        <f>'Allocation Proforma'!H148+'Allocation Proforma'!H150+'Allocation Proforma'!H155+'Allocation Proforma'!H159+'Allocation Proforma'!H162+'Allocation Proforma'!H165</f>
        <v>1054436.1942070469</v>
      </c>
      <c r="J14" s="333">
        <f>'Allocation Proforma'!H168+'Allocation Proforma'!H171</f>
        <v>10590.684936945683</v>
      </c>
      <c r="K14" s="269">
        <f>SUM(E14:J14)</f>
        <v>2804049.030877599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2804049.0308775981</v>
      </c>
      <c r="E16" s="333">
        <f t="shared" ref="E16:K16" si="1">E14+E15</f>
        <v>334718.5293108137</v>
      </c>
      <c r="F16" s="333">
        <f t="shared" si="1"/>
        <v>36127.409646677283</v>
      </c>
      <c r="G16" s="333">
        <f t="shared" si="1"/>
        <v>599667.70733732579</v>
      </c>
      <c r="H16" s="333">
        <f t="shared" si="1"/>
        <v>768508.50543878926</v>
      </c>
      <c r="I16" s="333">
        <f t="shared" si="1"/>
        <v>1054436.1942070469</v>
      </c>
      <c r="J16" s="333">
        <f t="shared" si="1"/>
        <v>10590.684936945683</v>
      </c>
      <c r="K16" s="269">
        <f t="shared" si="1"/>
        <v>2804049.030877599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Proforma'!H946</f>
        <v>-0.10302459155313075</v>
      </c>
      <c r="E18" s="335">
        <f t="shared" ref="E18:J18" si="2">D18</f>
        <v>-0.10302459155313075</v>
      </c>
      <c r="F18" s="335">
        <f t="shared" si="2"/>
        <v>-0.10302459155313075</v>
      </c>
      <c r="G18" s="335">
        <f t="shared" si="2"/>
        <v>-0.10302459155313075</v>
      </c>
      <c r="H18" s="335">
        <f t="shared" si="2"/>
        <v>-0.10302459155313075</v>
      </c>
      <c r="I18" s="335">
        <f t="shared" si="2"/>
        <v>-0.10302459155313075</v>
      </c>
      <c r="J18" s="335">
        <f t="shared" si="2"/>
        <v>-0.10302459155313075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-288886.00610111665</v>
      </c>
      <c r="E20" s="352">
        <f t="shared" ref="E20:J20" si="3">E18*E16</f>
        <v>-34484.239767511201</v>
      </c>
      <c r="F20" s="352">
        <f t="shared" si="3"/>
        <v>-3722.0116227215626</v>
      </c>
      <c r="G20" s="352">
        <f t="shared" si="3"/>
        <v>-61780.520616030335</v>
      </c>
      <c r="H20" s="352">
        <f t="shared" si="3"/>
        <v>-79175.274877938224</v>
      </c>
      <c r="I20" s="352">
        <f t="shared" si="3"/>
        <v>-108632.85822701866</v>
      </c>
      <c r="J20" s="352">
        <f t="shared" si="3"/>
        <v>-1091.1009898967234</v>
      </c>
      <c r="K20" s="269">
        <f>SUM(E20:J20)</f>
        <v>-288886.00610111671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Proforma'!H738</f>
        <v>60079.38397597523</v>
      </c>
      <c r="E22" s="352">
        <f t="shared" ref="E22:J22" si="4">(E14/$D$14)*$D$22</f>
        <v>7171.6588493619392</v>
      </c>
      <c r="F22" s="352">
        <f t="shared" si="4"/>
        <v>774.06368159716499</v>
      </c>
      <c r="G22" s="352">
        <f t="shared" si="4"/>
        <v>12848.443821909977</v>
      </c>
      <c r="H22" s="352">
        <f t="shared" si="4"/>
        <v>16466.016492090126</v>
      </c>
      <c r="I22" s="352">
        <f t="shared" si="4"/>
        <v>22592.285759748003</v>
      </c>
      <c r="J22" s="352">
        <f t="shared" si="4"/>
        <v>226.91537126802532</v>
      </c>
      <c r="K22" s="269">
        <f>SUM(E22:J22)</f>
        <v>60079.383975975237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-348965.39007709187</v>
      </c>
      <c r="E24" s="352">
        <f t="shared" ref="E24:J24" si="5">E20-E22</f>
        <v>-41655.898616873143</v>
      </c>
      <c r="F24" s="352">
        <f t="shared" si="5"/>
        <v>-4496.0753043187278</v>
      </c>
      <c r="G24" s="352">
        <f t="shared" si="5"/>
        <v>-74628.964437940318</v>
      </c>
      <c r="H24" s="352">
        <f t="shared" si="5"/>
        <v>-95641.291370028353</v>
      </c>
      <c r="I24" s="352">
        <f t="shared" si="5"/>
        <v>-131225.14398676666</v>
      </c>
      <c r="J24" s="352">
        <f t="shared" si="5"/>
        <v>-1318.0163611647488</v>
      </c>
      <c r="K24" s="269">
        <f>SUM(E24:J24)</f>
        <v>-348965.39007709199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Proforma'!H767+'Allocation Proforma'!H937</f>
        <v>20893.117020961545</v>
      </c>
      <c r="E26" s="352">
        <f t="shared" ref="E26:J26" si="6">$D$26*(E24/$K$24)</f>
        <v>2494.0053918337658</v>
      </c>
      <c r="F26" s="352">
        <f t="shared" si="6"/>
        <v>269.18723214194478</v>
      </c>
      <c r="G26" s="352">
        <f t="shared" si="6"/>
        <v>4468.1556724310276</v>
      </c>
      <c r="H26" s="352">
        <f t="shared" si="6"/>
        <v>5726.1973520882339</v>
      </c>
      <c r="I26" s="352">
        <f t="shared" si="6"/>
        <v>7856.6596211800797</v>
      </c>
      <c r="J26" s="352">
        <f t="shared" si="6"/>
        <v>78.911751286491608</v>
      </c>
      <c r="K26" s="269">
        <f>SUM(E26:J26)</f>
        <v>20893.117020961541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Proforma'!H758</f>
        <v>447373.81769263884</v>
      </c>
      <c r="E28" s="352">
        <f>'Allocation Proforma'!H182+'Allocation Proforma'!H183+'Allocation Proforma'!H184</f>
        <v>18657.90305953809</v>
      </c>
      <c r="F28" s="352">
        <f>'Allocation Proforma'!H185</f>
        <v>183249.6059427915</v>
      </c>
      <c r="G28" s="352">
        <f>'Allocation Proforma'!H194</f>
        <v>59583.314126111778</v>
      </c>
      <c r="H28" s="352">
        <f>'Allocation Proforma'!H200+'Allocation Proforma'!H204+'Allocation Proforma'!H206+'Allocation Proforma'!H211</f>
        <v>47000.505104686468</v>
      </c>
      <c r="I28" s="352">
        <f>'Allocation Proforma'!H205+'Allocation Proforma'!H207+'Allocation Proforma'!H212+'Allocation Proforma'!H216+'Allocation Proforma'!H219</f>
        <v>87997.560445840849</v>
      </c>
      <c r="J28" s="352">
        <f>'Allocation Proforma'!H225+'Allocation Proforma'!H228</f>
        <v>50884.929013670146</v>
      </c>
      <c r="K28" s="269">
        <f t="shared" ref="K28:K39" si="7">SUM(E28:J28)</f>
        <v>447373.81769263878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Proforma'!H759</f>
        <v>149551.01077824508</v>
      </c>
      <c r="E29" s="348">
        <f>'Allocation Proforma'!H302</f>
        <v>35460.401037370793</v>
      </c>
      <c r="F29" s="348">
        <v>0</v>
      </c>
      <c r="G29" s="348">
        <f>'Allocation Proforma'!H308</f>
        <v>25194.544503294928</v>
      </c>
      <c r="H29" s="348">
        <f>'Allocation Proforma'!H314+'Allocation Proforma'!H318+'Allocation Proforma'!H320+'Allocation Proforma'!H325</f>
        <v>37614.761109847364</v>
      </c>
      <c r="I29" s="348">
        <f>'Allocation Proforma'!H319+'Allocation Proforma'!H321+'Allocation Proforma'!H326+'Allocation Proforma'!H330+'Allocation Proforma'!H333</f>
        <v>51281.304127732001</v>
      </c>
      <c r="J29" s="348">
        <v>0</v>
      </c>
      <c r="K29" s="269">
        <f t="shared" si="7"/>
        <v>149551.01077824508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Proforma'!H764+'Allocation Proforma'!H765</f>
        <v>32986.134637220835</v>
      </c>
      <c r="E30" s="348">
        <f>'Allocation Proforma'!H417+'Allocation Proforma'!H474+'Allocation Proforma'!H359+'Allocation Proforma'!H531+'Allocation Proforma'!H589</f>
        <v>4198.1984286019142</v>
      </c>
      <c r="F30" s="348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48">
        <f>'Allocation Proforma'!H365+'Allocation Proforma'!H423+'Allocation Proforma'!H480+'Allocation Proforma'!H537+'Allocation Proforma'!H595</f>
        <v>6894.1092612202638</v>
      </c>
      <c r="H30" s="348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9262.6758759175264</v>
      </c>
      <c r="I30" s="348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12631.151071481128</v>
      </c>
      <c r="J30" s="348">
        <v>0</v>
      </c>
      <c r="K30" s="269">
        <f t="shared" si="7"/>
        <v>32986.134637220835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Proforma'!H771</f>
        <v>-187.82657835338188</v>
      </c>
      <c r="E31" s="348">
        <f t="shared" ref="E31:J31" si="8">$D$31*(E14/$K$14)</f>
        <v>-22.420804836015947</v>
      </c>
      <c r="F31" s="348">
        <f t="shared" si="8"/>
        <v>-2.4199604443373803</v>
      </c>
      <c r="G31" s="348">
        <f t="shared" si="8"/>
        <v>-40.168175512585648</v>
      </c>
      <c r="H31" s="348">
        <f t="shared" si="8"/>
        <v>-51.477817050460871</v>
      </c>
      <c r="I31" s="348">
        <f t="shared" si="8"/>
        <v>-70.630413473150469</v>
      </c>
      <c r="J31" s="348">
        <f t="shared" si="8"/>
        <v>-0.70940703683153306</v>
      </c>
      <c r="K31" s="269">
        <f t="shared" si="7"/>
        <v>-187.82657835338182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Proforma'!H934+'Allocation Proforma'!H935</f>
        <v>330.8538423930446</v>
      </c>
      <c r="E36" s="348">
        <f t="shared" ref="E36:J36" si="10">(E14/($D$14)*$D$36)</f>
        <v>39.493928359723384</v>
      </c>
      <c r="F36" s="348">
        <f t="shared" si="10"/>
        <v>4.2627258531102665</v>
      </c>
      <c r="G36" s="348">
        <f t="shared" si="10"/>
        <v>70.755669015347763</v>
      </c>
      <c r="H36" s="348">
        <f t="shared" si="10"/>
        <v>90.677441491306979</v>
      </c>
      <c r="I36" s="348">
        <f t="shared" si="10"/>
        <v>124.41446728287562</v>
      </c>
      <c r="J36" s="348">
        <f t="shared" si="10"/>
        <v>1.2496103906806377</v>
      </c>
      <c r="K36" s="269">
        <f t="shared" si="7"/>
        <v>330.85384239304466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7">
        <f t="shared" ref="E37:J37" si="11">(E14/($D$14)*$D$37)</f>
        <v>0</v>
      </c>
      <c r="F37" s="347">
        <f t="shared" si="11"/>
        <v>0</v>
      </c>
      <c r="G37" s="347">
        <f t="shared" si="11"/>
        <v>0</v>
      </c>
      <c r="H37" s="347">
        <f t="shared" si="11"/>
        <v>0</v>
      </c>
      <c r="I37" s="347">
        <f t="shared" si="11"/>
        <v>0</v>
      </c>
      <c r="J37" s="347">
        <f t="shared" si="11"/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2">SUM(D32:D37)</f>
        <v>330.8538423930446</v>
      </c>
      <c r="E39" s="333">
        <f t="shared" si="12"/>
        <v>39.493928359723384</v>
      </c>
      <c r="F39" s="333">
        <f t="shared" si="12"/>
        <v>4.2627258531102665</v>
      </c>
      <c r="G39" s="333">
        <f t="shared" si="12"/>
        <v>70.755669015347763</v>
      </c>
      <c r="H39" s="333">
        <f t="shared" si="12"/>
        <v>90.677441491306979</v>
      </c>
      <c r="I39" s="333">
        <f t="shared" si="12"/>
        <v>124.41446728287562</v>
      </c>
      <c r="J39" s="333">
        <f t="shared" si="12"/>
        <v>1.2496103906806377</v>
      </c>
      <c r="K39" s="269">
        <f t="shared" si="7"/>
        <v>330.85384239304466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3">SUM(D28:D31)+D22+D26+D39+D24</f>
        <v>362061.10129198933</v>
      </c>
      <c r="E41" s="352">
        <f t="shared" si="13"/>
        <v>26343.341273357066</v>
      </c>
      <c r="F41" s="352">
        <f t="shared" si="13"/>
        <v>179798.62431762065</v>
      </c>
      <c r="G41" s="352">
        <f t="shared" si="13"/>
        <v>34390.190440530409</v>
      </c>
      <c r="H41" s="352">
        <f t="shared" si="13"/>
        <v>20468.064189042212</v>
      </c>
      <c r="I41" s="352">
        <f t="shared" si="13"/>
        <v>51187.60109302515</v>
      </c>
      <c r="J41" s="352">
        <f t="shared" si="13"/>
        <v>49873.279978413761</v>
      </c>
      <c r="K41" s="269">
        <f>SUM(E41:J41)</f>
        <v>362061.10129198927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Proforma'!H700</f>
        <v>-110.98730219005427</v>
      </c>
      <c r="E43" s="294">
        <f>D43</f>
        <v>-110.98730219005427</v>
      </c>
      <c r="F43" s="294"/>
      <c r="G43" s="294"/>
      <c r="H43" s="294"/>
      <c r="I43" s="294"/>
      <c r="J43" s="294"/>
      <c r="K43" s="269">
        <f>SUM(E43:J43)</f>
        <v>-110.98730219005427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Proforma'!H698</f>
        <v>-15861.398023572528</v>
      </c>
      <c r="E44" s="348">
        <v>0</v>
      </c>
      <c r="F44" s="348">
        <f>D44</f>
        <v>-15861.398023572528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-15861.398023572528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Proforma'!H699</f>
        <v>-20908.497270879321</v>
      </c>
      <c r="E45" s="348">
        <v>0</v>
      </c>
      <c r="F45" s="348">
        <v>0</v>
      </c>
      <c r="G45" s="348">
        <f>D45</f>
        <v>-20908.497270879321</v>
      </c>
      <c r="H45" s="348">
        <v>0</v>
      </c>
      <c r="I45" s="348">
        <v>0</v>
      </c>
      <c r="J45" s="348">
        <v>0</v>
      </c>
      <c r="K45" s="269">
        <f>SUM(E45:J45)</f>
        <v>-20908.497270879321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Proforma'!H702-'Allocation Proforma'!H703-'Allocation Proforma'!H704-'Allocation Proforma'!H705</f>
        <v>-12537.406920978412</v>
      </c>
      <c r="E46" s="348">
        <f>-(E14/($D$14)*('Allocation Proforma'!H702+'Allocation Proforma'!H703+'Allocation Proforma'!H704+'Allocation Proforma'!H705))</f>
        <v>-1496.5866715417988</v>
      </c>
      <c r="F46" s="348">
        <f>(F14/($D$14)*-('Allocation Proforma'!H702+'Allocation Proforma'!H703+'Allocation Proforma'!H704+'Allocation Proforma'!H705))</f>
        <v>-161.53213825919218</v>
      </c>
      <c r="G46" s="348">
        <f>(G14/($D$14)*-('Allocation Proforma'!H702+'Allocation Proforma'!H703+'Allocation Proforma'!H704+'Allocation Proforma'!H705))</f>
        <v>-2681.2220405094736</v>
      </c>
      <c r="H46" s="348">
        <f>(H14/($D$14)*-('Allocation Proforma'!H702+'Allocation Proforma'!H703+'Allocation Proforma'!H704+'Allocation Proforma'!H705))</f>
        <v>-3436.1395784522006</v>
      </c>
      <c r="I46" s="348">
        <f>(I14/($D$14)*-('Allocation Proforma'!H702+'Allocation Proforma'!H703+'Allocation Proforma'!H704+'Allocation Proforma'!H705))</f>
        <v>-4714.5736374103508</v>
      </c>
      <c r="J46" s="348">
        <f>(J14/($D$14)*-('Allocation Proforma'!H702+'Allocation Proforma'!H703+'Allocation Proforma'!H704+'Allocation Proforma'!H705))</f>
        <v>-47.352854805398266</v>
      </c>
      <c r="K46" s="269">
        <f>SUM(E46:J46)</f>
        <v>-12537.406920978414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-49418.289517620316</v>
      </c>
      <c r="E47" s="142">
        <f>SUM(E43:E46)</f>
        <v>-1607.5739737318531</v>
      </c>
      <c r="F47" s="142">
        <f t="shared" ref="F47:I47" si="14">SUM(F43:F46)</f>
        <v>-16022.93016183172</v>
      </c>
      <c r="G47" s="142">
        <f t="shared" si="14"/>
        <v>-23589.719311388795</v>
      </c>
      <c r="H47" s="142">
        <f t="shared" si="14"/>
        <v>-3436.1395784522006</v>
      </c>
      <c r="I47" s="142">
        <f t="shared" si="14"/>
        <v>-4714.5736374103508</v>
      </c>
      <c r="J47" s="142">
        <f>SUM(J43:J46)</f>
        <v>-47.352854805398266</v>
      </c>
      <c r="K47" s="269">
        <f>SUM(E47:J47)</f>
        <v>-49418.289517620324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3">
      <c r="A49" s="201" t="s">
        <v>1151</v>
      </c>
      <c r="B49" s="206" t="s">
        <v>1148</v>
      </c>
      <c r="C49" s="209" t="e">
        <f>'Allocation Proforma'!H926-SUM('Allocation Proforma'!H699:H705)-'Allocation Proforma'!#REF!-'Allocation Proforma'!H920-'Allocation Proforma'!H924</f>
        <v>#REF!</v>
      </c>
      <c r="D49" s="259">
        <f t="shared" ref="D49:J49" si="15">D41+D47</f>
        <v>312642.81177436898</v>
      </c>
      <c r="E49" s="333">
        <f t="shared" si="15"/>
        <v>24735.767299625211</v>
      </c>
      <c r="F49" s="333">
        <f t="shared" si="15"/>
        <v>163775.69415578892</v>
      </c>
      <c r="G49" s="333">
        <f t="shared" si="15"/>
        <v>10800.471129141613</v>
      </c>
      <c r="H49" s="333">
        <f t="shared" si="15"/>
        <v>17031.924610590013</v>
      </c>
      <c r="I49" s="333">
        <f t="shared" si="15"/>
        <v>46473.0274556148</v>
      </c>
      <c r="J49" s="333">
        <f t="shared" si="15"/>
        <v>49825.927123608359</v>
      </c>
      <c r="K49" s="269">
        <f>SUM(E49:J49)</f>
        <v>312642.81177436892</v>
      </c>
      <c r="L49" s="200" t="str">
        <f>IF(ABS(K49-D49)&lt;0.01,"ok","err")</f>
        <v>ok</v>
      </c>
    </row>
    <row r="50" spans="1:13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3">
      <c r="A51" s="201" t="s">
        <v>1237</v>
      </c>
      <c r="B51" s="206" t="s">
        <v>1150</v>
      </c>
      <c r="C51" s="199"/>
      <c r="D51" s="263"/>
      <c r="E51" s="349">
        <f>'Allocation Proforma'!H964</f>
        <v>5193232.6263630604</v>
      </c>
      <c r="F51" s="349">
        <f>'Allocation Proforma'!H964</f>
        <v>5193232.6263630604</v>
      </c>
      <c r="G51" s="349">
        <f>'Allocation Proforma'!H964</f>
        <v>5193232.6263630604</v>
      </c>
      <c r="H51" s="349">
        <f>'Allocation Proforma'!H964</f>
        <v>5193232.6263630604</v>
      </c>
      <c r="I51" s="349">
        <f>'Allocation Proforma'!$H$980*12</f>
        <v>11157</v>
      </c>
      <c r="J51" s="349">
        <f>'Allocation Proforma'!$H$980*12</f>
        <v>11157</v>
      </c>
      <c r="K51" s="369"/>
      <c r="L51" s="204"/>
    </row>
    <row r="52" spans="1:13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3" ht="14.4" thickBot="1">
      <c r="A53" s="210" t="s">
        <v>1372</v>
      </c>
      <c r="B53" s="361" t="s">
        <v>1152</v>
      </c>
      <c r="C53" s="211"/>
      <c r="D53" s="265"/>
      <c r="E53" s="350">
        <f t="shared" ref="E53:J53" si="16">E49/E51</f>
        <v>4.763077081133613E-3</v>
      </c>
      <c r="F53" s="350">
        <f t="shared" si="16"/>
        <v>3.1536367796118694E-2</v>
      </c>
      <c r="G53" s="350">
        <f t="shared" si="16"/>
        <v>2.0797202640824952E-3</v>
      </c>
      <c r="H53" s="350">
        <f t="shared" si="16"/>
        <v>3.2796382977586464E-3</v>
      </c>
      <c r="I53" s="351">
        <f t="shared" si="16"/>
        <v>4.1653694949910189</v>
      </c>
      <c r="J53" s="351">
        <f t="shared" si="16"/>
        <v>4.4658893182404196</v>
      </c>
      <c r="K53" s="362">
        <f>I53+J53</f>
        <v>8.6312588132314385</v>
      </c>
      <c r="L53" s="449">
        <f>ROUND(K53/30.5,2)</f>
        <v>0.28000000000000003</v>
      </c>
    </row>
    <row r="54" spans="1:13">
      <c r="L54" s="1" t="s">
        <v>1378</v>
      </c>
      <c r="M54" s="1" t="s">
        <v>1379</v>
      </c>
    </row>
    <row r="55" spans="1:13">
      <c r="D55" s="246"/>
      <c r="F55" s="291"/>
      <c r="J55" s="213" t="s">
        <v>1224</v>
      </c>
      <c r="K55" s="370">
        <f>I53+J53</f>
        <v>8.6312588132314385</v>
      </c>
      <c r="L55" s="425">
        <v>347288</v>
      </c>
      <c r="M55" s="426">
        <f>I51-L55</f>
        <v>-336131</v>
      </c>
    </row>
    <row r="56" spans="1:13">
      <c r="D56" s="246"/>
      <c r="I56" s="19"/>
      <c r="J56" s="213" t="s">
        <v>1238</v>
      </c>
      <c r="K56" s="371">
        <f>E53+G53+H53</f>
        <v>1.0122435642974756E-2</v>
      </c>
      <c r="L56" s="427">
        <f>L55/I51</f>
        <v>31.127363986734785</v>
      </c>
      <c r="M56" s="427">
        <f>M55/J51</f>
        <v>-30.127363986734785</v>
      </c>
    </row>
    <row r="57" spans="1:13" ht="15.3">
      <c r="J57" s="213" t="s">
        <v>1223</v>
      </c>
      <c r="K57" s="371">
        <f>F53</f>
        <v>3.1536367796118694E-2</v>
      </c>
      <c r="L57" s="429">
        <f>L56*K53</f>
        <v>268.66833474316752</v>
      </c>
      <c r="M57" s="429">
        <f>M56*K53</f>
        <v>-260.03707592993607</v>
      </c>
    </row>
    <row r="58" spans="1:13">
      <c r="I58" s="7"/>
      <c r="J58" s="226"/>
      <c r="K58" s="372"/>
      <c r="L58" s="1"/>
      <c r="M58" s="1"/>
    </row>
    <row r="59" spans="1:13">
      <c r="J59" s="338" t="s">
        <v>1232</v>
      </c>
      <c r="K59" s="301">
        <v>42.79</v>
      </c>
      <c r="L59" s="428">
        <f>L56*31.5</f>
        <v>980.51196558214576</v>
      </c>
      <c r="M59" s="428">
        <f>M56*50.4</f>
        <v>-1518.419144931433</v>
      </c>
    </row>
    <row r="60" spans="1:13">
      <c r="J60" s="338" t="s">
        <v>1233</v>
      </c>
      <c r="K60" s="294">
        <f>(K55-K59)*I51</f>
        <v>-381109.07542077679</v>
      </c>
    </row>
    <row r="61" spans="1:13">
      <c r="J61" s="338" t="s">
        <v>1234</v>
      </c>
      <c r="K61" s="373">
        <f>K60/H51</f>
        <v>-7.3385712299138081E-2</v>
      </c>
    </row>
    <row r="62" spans="1:13">
      <c r="J62" s="338" t="s">
        <v>1240</v>
      </c>
      <c r="K62" s="60">
        <v>0</v>
      </c>
    </row>
    <row r="63" spans="1:13">
      <c r="J63" s="338" t="s">
        <v>1241</v>
      </c>
      <c r="K63" s="374">
        <f>K61+K62+K56</f>
        <v>-6.3263276656163325E-2</v>
      </c>
      <c r="L63" s="343">
        <f>K63+K57</f>
        <v>-3.1726908860044631E-2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67"/>
  <sheetViews>
    <sheetView view="pageBreakPreview" topLeftCell="A28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1210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Proforma'!J176</f>
        <v>22807737.128033813</v>
      </c>
      <c r="E14" s="333">
        <f>'Allocation Proforma'!J125+'Allocation Proforma'!J126+'Allocation Proforma'!J127</f>
        <v>16642024.782784197</v>
      </c>
      <c r="F14" s="333">
        <f>'Allocation Proforma'!J128</f>
        <v>705536.78388060012</v>
      </c>
      <c r="G14" s="333">
        <f>'Allocation Proforma'!J137</f>
        <v>2627986.7530633551</v>
      </c>
      <c r="H14" s="333">
        <f>'Allocation Proforma'!J147+'Allocation Proforma'!J149+'Allocation Proforma'!J154+'Allocation Proforma'!J143</f>
        <v>2576985.4747385303</v>
      </c>
      <c r="I14" s="333">
        <f>'Allocation Proforma'!J148+'Allocation Proforma'!J150+'Allocation Proforma'!J155+'Allocation Proforma'!J159+'Allocation Proforma'!J162+'Allocation Proforma'!J165</f>
        <v>251868.1242089197</v>
      </c>
      <c r="J14" s="333">
        <f>'Allocation Proforma'!J168+'Allocation Proforma'!J171</f>
        <v>3335.209358212473</v>
      </c>
      <c r="K14" s="269">
        <f>SUM(E14:J14)</f>
        <v>22807737.128033813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22807737.128033813</v>
      </c>
      <c r="E16" s="333">
        <f t="shared" ref="E16:K16" si="1">E14+E15</f>
        <v>16642024.782784197</v>
      </c>
      <c r="F16" s="333">
        <f t="shared" si="1"/>
        <v>705536.78388060012</v>
      </c>
      <c r="G16" s="333">
        <f t="shared" si="1"/>
        <v>2627986.7530633551</v>
      </c>
      <c r="H16" s="333">
        <f t="shared" si="1"/>
        <v>2576985.4747385303</v>
      </c>
      <c r="I16" s="333">
        <f t="shared" si="1"/>
        <v>251868.1242089197</v>
      </c>
      <c r="J16" s="333">
        <f t="shared" si="1"/>
        <v>3335.209358212473</v>
      </c>
      <c r="K16" s="269">
        <f t="shared" si="1"/>
        <v>22807737.128033813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Proforma'!J946</f>
        <v>0.16710516470812653</v>
      </c>
      <c r="E18" s="335">
        <f t="shared" ref="E18:J18" si="2">D18</f>
        <v>0.16710516470812653</v>
      </c>
      <c r="F18" s="335">
        <f t="shared" si="2"/>
        <v>0.16710516470812653</v>
      </c>
      <c r="G18" s="335">
        <f t="shared" si="2"/>
        <v>0.16710516470812653</v>
      </c>
      <c r="H18" s="335">
        <f t="shared" si="2"/>
        <v>0.16710516470812653</v>
      </c>
      <c r="I18" s="335">
        <f t="shared" si="2"/>
        <v>0.16710516470812653</v>
      </c>
      <c r="J18" s="335">
        <f t="shared" si="2"/>
        <v>0.16710516470812653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3811290.669399743</v>
      </c>
      <c r="E20" s="352">
        <f t="shared" ref="E20:J20" si="3">E18*E16</f>
        <v>2780968.2924038768</v>
      </c>
      <c r="F20" s="352">
        <f t="shared" si="3"/>
        <v>117898.84047800956</v>
      </c>
      <c r="G20" s="352">
        <f t="shared" si="3"/>
        <v>439150.15922142658</v>
      </c>
      <c r="H20" s="352">
        <f t="shared" si="3"/>
        <v>430627.58220663178</v>
      </c>
      <c r="I20" s="352">
        <f t="shared" si="3"/>
        <v>42088.464380658399</v>
      </c>
      <c r="J20" s="352">
        <f t="shared" si="3"/>
        <v>557.33070914018026</v>
      </c>
      <c r="K20" s="269">
        <f>SUM(E20:J20)</f>
        <v>3811290.6693997434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Proforma'!J738</f>
        <v>496328.5260433607</v>
      </c>
      <c r="E22" s="352">
        <f t="shared" ref="E22:J22" si="4">(E14/$D$14)*$D$22</f>
        <v>362153.92980234785</v>
      </c>
      <c r="F22" s="352">
        <f t="shared" si="4"/>
        <v>15353.475447698622</v>
      </c>
      <c r="G22" s="352">
        <f t="shared" si="4"/>
        <v>57188.69804081507</v>
      </c>
      <c r="H22" s="352">
        <f t="shared" si="4"/>
        <v>56078.838296501635</v>
      </c>
      <c r="I22" s="352">
        <f t="shared" si="4"/>
        <v>5481.0055966606924</v>
      </c>
      <c r="J22" s="352">
        <f t="shared" si="4"/>
        <v>72.578859336858869</v>
      </c>
      <c r="K22" s="269">
        <f>SUM(E22:J22)</f>
        <v>496328.5260433607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3314962.1433563824</v>
      </c>
      <c r="E24" s="352">
        <f t="shared" ref="E24:J24" si="5">E20-E22</f>
        <v>2418814.3626015289</v>
      </c>
      <c r="F24" s="352">
        <f t="shared" si="5"/>
        <v>102545.36503031093</v>
      </c>
      <c r="G24" s="352">
        <f t="shared" si="5"/>
        <v>381961.46118061151</v>
      </c>
      <c r="H24" s="352">
        <f t="shared" si="5"/>
        <v>374548.74391013011</v>
      </c>
      <c r="I24" s="352">
        <f t="shared" si="5"/>
        <v>36607.458783997703</v>
      </c>
      <c r="J24" s="352">
        <f t="shared" si="5"/>
        <v>484.75184980332142</v>
      </c>
      <c r="K24" s="269">
        <f>SUM(E24:J24)</f>
        <v>3314962.1433563824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Proforma'!J767+'Allocation Proforma'!J937</f>
        <v>554713.89011301368</v>
      </c>
      <c r="E26" s="352">
        <f t="shared" ref="E26:J26" si="6">$D$26*(E24/$K$24)</f>
        <v>404755.73068880022</v>
      </c>
      <c r="F26" s="352">
        <f t="shared" si="6"/>
        <v>17159.574043107677</v>
      </c>
      <c r="G26" s="352">
        <f t="shared" si="6"/>
        <v>63916.06264022705</v>
      </c>
      <c r="H26" s="352">
        <f t="shared" si="6"/>
        <v>62675.645086241551</v>
      </c>
      <c r="I26" s="352">
        <f t="shared" si="6"/>
        <v>6125.7610165836713</v>
      </c>
      <c r="J26" s="352">
        <f t="shared" si="6"/>
        <v>81.11663805355596</v>
      </c>
      <c r="K26" s="269">
        <f>SUM(E26:J26)</f>
        <v>554713.89011301368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Proforma'!J758</f>
        <v>5053917.4220187729</v>
      </c>
      <c r="E28" s="352">
        <f>'Allocation Proforma'!J182+'Allocation Proforma'!J183+'Allocation Proforma'!J184</f>
        <v>927660.87898076372</v>
      </c>
      <c r="F28" s="352">
        <f>'Allocation Proforma'!J185</f>
        <v>3578704.8916238984</v>
      </c>
      <c r="G28" s="352">
        <f>'Allocation Proforma'!J194</f>
        <v>261118.21315559436</v>
      </c>
      <c r="H28" s="352">
        <f>'Allocation Proforma'!J200+'Allocation Proforma'!J204+'Allocation Proforma'!J206+'Allocation Proforma'!J211</f>
        <v>170229.55591992891</v>
      </c>
      <c r="I28" s="352">
        <f>'Allocation Proforma'!J205+'Allocation Proforma'!J207+'Allocation Proforma'!J212+'Allocation Proforma'!J216+'Allocation Proforma'!J219</f>
        <v>100161.08496024799</v>
      </c>
      <c r="J28" s="352">
        <f>'Allocation Proforma'!J225+'Allocation Proforma'!J228</f>
        <v>16042.797378338597</v>
      </c>
      <c r="K28" s="269">
        <f t="shared" ref="K28:K39" si="7">SUM(E28:J28)</f>
        <v>5053917.4220187729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Proforma'!J759</f>
        <v>2010098.9249021292</v>
      </c>
      <c r="E29" s="348">
        <f>'Allocation Proforma'!J302</f>
        <v>1763072.0178129254</v>
      </c>
      <c r="F29" s="348">
        <v>0</v>
      </c>
      <c r="G29" s="348">
        <f>'Allocation Proforma'!J308</f>
        <v>110412.69755564674</v>
      </c>
      <c r="H29" s="348">
        <f>'Allocation Proforma'!J314+'Allocation Proforma'!J318+'Allocation Proforma'!J320+'Allocation Proforma'!J325</f>
        <v>126015.51508805787</v>
      </c>
      <c r="I29" s="348">
        <f>'Allocation Proforma'!J319+'Allocation Proforma'!J321+'Allocation Proforma'!J326+'Allocation Proforma'!J330+'Allocation Proforma'!J333</f>
        <v>10598.694445499183</v>
      </c>
      <c r="J29" s="348">
        <v>0</v>
      </c>
      <c r="K29" s="269">
        <f t="shared" si="7"/>
        <v>2010098.9249021292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Proforma'!J764+'Allocation Proforma'!J765</f>
        <v>272599.01793763874</v>
      </c>
      <c r="E30" s="348">
        <f>'Allocation Proforma'!J417+'Allocation Proforma'!J474+'Allocation Proforma'!J359+'Allocation Proforma'!J531+'Allocation Proforma'!J589</f>
        <v>208732.16202190556</v>
      </c>
      <c r="F30" s="348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348">
        <f>'Allocation Proforma'!J365+'Allocation Proforma'!J423+'Allocation Proforma'!J480+'Allocation Proforma'!J537+'Allocation Proforma'!J595</f>
        <v>30212.778828970182</v>
      </c>
      <c r="H30" s="348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31031.457788306845</v>
      </c>
      <c r="I30" s="348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2622.619298456154</v>
      </c>
      <c r="J30" s="348">
        <v>0</v>
      </c>
      <c r="K30" s="269">
        <f t="shared" si="7"/>
        <v>272599.0179376388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Proforma'!J771</f>
        <v>-3668.0891687159919</v>
      </c>
      <c r="E31" s="348">
        <f t="shared" ref="E31:J31" si="8">$D$31*(E14/$K$14)</f>
        <v>-2676.4790609675129</v>
      </c>
      <c r="F31" s="348">
        <f t="shared" si="8"/>
        <v>-113.46903116934716</v>
      </c>
      <c r="G31" s="348">
        <f t="shared" si="8"/>
        <v>-422.64998453495463</v>
      </c>
      <c r="H31" s="348">
        <f t="shared" si="8"/>
        <v>-414.44762602986572</v>
      </c>
      <c r="I31" s="348">
        <f t="shared" si="8"/>
        <v>-40.507075873826373</v>
      </c>
      <c r="J31" s="348">
        <f t="shared" si="8"/>
        <v>-0.53639014048536737</v>
      </c>
      <c r="K31" s="269">
        <f t="shared" si="7"/>
        <v>-3668.0891687159919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Proforma'!J934+'Allocation Proforma'!J935</f>
        <v>4681.9786788484289</v>
      </c>
      <c r="E36" s="348">
        <f t="shared" ref="E36:J36" si="10">(E14/($D$14)*$D$36)</f>
        <v>3416.2795181505062</v>
      </c>
      <c r="F36" s="348">
        <f t="shared" si="10"/>
        <v>144.83278901053478</v>
      </c>
      <c r="G36" s="348">
        <f t="shared" si="10"/>
        <v>539.4738582380113</v>
      </c>
      <c r="H36" s="348">
        <f t="shared" si="10"/>
        <v>529.00430150950342</v>
      </c>
      <c r="I36" s="348">
        <f t="shared" si="10"/>
        <v>51.703559226761776</v>
      </c>
      <c r="J36" s="348">
        <f t="shared" si="10"/>
        <v>0.68465271311168896</v>
      </c>
      <c r="K36" s="269">
        <f t="shared" si="7"/>
        <v>4681.9786788484298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8">
        <f>D37</f>
        <v>0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1">SUM(D32:D37)</f>
        <v>4681.9786788484289</v>
      </c>
      <c r="E39" s="333">
        <f t="shared" si="11"/>
        <v>3416.2795181505062</v>
      </c>
      <c r="F39" s="333">
        <f t="shared" si="11"/>
        <v>144.83278901053478</v>
      </c>
      <c r="G39" s="333">
        <f t="shared" si="11"/>
        <v>539.4738582380113</v>
      </c>
      <c r="H39" s="333">
        <f t="shared" si="11"/>
        <v>529.00430150950342</v>
      </c>
      <c r="I39" s="333">
        <f t="shared" si="11"/>
        <v>51.703559226761776</v>
      </c>
      <c r="J39" s="333">
        <f t="shared" si="11"/>
        <v>0.68465271311168896</v>
      </c>
      <c r="K39" s="269">
        <f t="shared" si="7"/>
        <v>4681.9786788484298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2">SUM(D28:D31)+D22+D26+D39+D24</f>
        <v>11703633.813881431</v>
      </c>
      <c r="E41" s="352">
        <f t="shared" si="12"/>
        <v>6085928.8823654549</v>
      </c>
      <c r="F41" s="352">
        <f t="shared" si="12"/>
        <v>3713794.6699028565</v>
      </c>
      <c r="G41" s="352">
        <f t="shared" si="12"/>
        <v>904926.73527556797</v>
      </c>
      <c r="H41" s="352">
        <f t="shared" si="12"/>
        <v>820694.31276464672</v>
      </c>
      <c r="I41" s="352">
        <f t="shared" si="12"/>
        <v>161607.82058479829</v>
      </c>
      <c r="J41" s="352">
        <f t="shared" si="12"/>
        <v>16681.392988104959</v>
      </c>
      <c r="K41" s="269">
        <f>SUM(E41:J41)</f>
        <v>11703633.813881429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Proforma'!J700</f>
        <v>-5518.2288157883859</v>
      </c>
      <c r="E43" s="294">
        <f>D43</f>
        <v>-5518.2288157883859</v>
      </c>
      <c r="F43" s="294"/>
      <c r="G43" s="294"/>
      <c r="H43" s="294"/>
      <c r="I43" s="294"/>
      <c r="J43" s="294"/>
      <c r="K43" s="269">
        <f>SUM(E43:J43)</f>
        <v>-5518.2288157883859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Proforma'!J698</f>
        <v>-309759.26197993307</v>
      </c>
      <c r="E44" s="348">
        <v>0</v>
      </c>
      <c r="F44" s="348">
        <f>D44</f>
        <v>-309759.26197993307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-309759.26197993307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Proforma'!J699</f>
        <v>-91629.502776315348</v>
      </c>
      <c r="E45" s="348">
        <v>0</v>
      </c>
      <c r="F45" s="348">
        <v>0</v>
      </c>
      <c r="G45" s="348">
        <f>D45</f>
        <v>-91629.502776315348</v>
      </c>
      <c r="H45" s="348">
        <v>0</v>
      </c>
      <c r="I45" s="348">
        <v>0</v>
      </c>
      <c r="J45" s="348">
        <v>0</v>
      </c>
      <c r="K45" s="269">
        <f>SUM(E45:J45)</f>
        <v>-91629.502776315348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Proforma'!J702-'Allocation Proforma'!J703-'Allocation Proforma'!J704-'Allocation Proforma'!J705</f>
        <v>-36681.690858305657</v>
      </c>
      <c r="E46" s="348">
        <f>-(E14/($D$14)*('Allocation Proforma'!J702+'Allocation Proforma'!J703+'Allocation Proforma'!J704+'Allocation Proforma'!J705))</f>
        <v>-26765.373737494359</v>
      </c>
      <c r="F46" s="348">
        <f>(F14/($D$14)*-('Allocation Proforma'!J702+'Allocation Proforma'!J703+'Allocation Proforma'!J704+'Allocation Proforma'!J705))</f>
        <v>-1134.715033332307</v>
      </c>
      <c r="G46" s="348">
        <f>(G14/($D$14)*-('Allocation Proforma'!J702+'Allocation Proforma'!J703+'Allocation Proforma'!J704+'Allocation Proforma'!J705))</f>
        <v>-4226.5919286269291</v>
      </c>
      <c r="H46" s="348">
        <f>(H14/($D$14)*-('Allocation Proforma'!J702+'Allocation Proforma'!J703+'Allocation Proforma'!J704+'Allocation Proforma'!J705))</f>
        <v>-4144.5665565179988</v>
      </c>
      <c r="I46" s="348">
        <f>(I14/($D$14)*-('Allocation Proforma'!J702+'Allocation Proforma'!J703+'Allocation Proforma'!J704+'Allocation Proforma'!J705))</f>
        <v>-405.07958406522488</v>
      </c>
      <c r="J46" s="348">
        <f>(J14/($D$14)*-('Allocation Proforma'!J702+'Allocation Proforma'!J703+'Allocation Proforma'!J704+'Allocation Proforma'!J705))</f>
        <v>-5.3640182688401854</v>
      </c>
      <c r="K46" s="269">
        <f>SUM(E46:J46)</f>
        <v>-36681.690858305665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-443588.68443034252</v>
      </c>
      <c r="E47" s="142">
        <f>SUM(E43:E46)</f>
        <v>-32283.602553282744</v>
      </c>
      <c r="F47" s="142">
        <f t="shared" ref="F47:I47" si="13">SUM(F43:F46)</f>
        <v>-310893.97701326536</v>
      </c>
      <c r="G47" s="142">
        <f t="shared" si="13"/>
        <v>-95856.094704942283</v>
      </c>
      <c r="H47" s="142">
        <f t="shared" si="13"/>
        <v>-4144.5665565179988</v>
      </c>
      <c r="I47" s="142">
        <f t="shared" si="13"/>
        <v>-405.07958406522488</v>
      </c>
      <c r="J47" s="142">
        <f>SUM(J43:J46)</f>
        <v>-5.3640182688401854</v>
      </c>
      <c r="K47" s="269">
        <f>SUM(E47:J47)</f>
        <v>-443588.68443034252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59">
        <f t="shared" ref="D49:J49" si="14">D41+D47</f>
        <v>11260045.129451089</v>
      </c>
      <c r="E49" s="333">
        <f t="shared" si="14"/>
        <v>6053645.2798121721</v>
      </c>
      <c r="F49" s="333">
        <f t="shared" si="14"/>
        <v>3402900.6928895912</v>
      </c>
      <c r="G49" s="333">
        <f t="shared" si="14"/>
        <v>809070.64057062566</v>
      </c>
      <c r="H49" s="333">
        <f t="shared" si="14"/>
        <v>816549.74620812875</v>
      </c>
      <c r="I49" s="333">
        <f t="shared" si="14"/>
        <v>161202.74100073308</v>
      </c>
      <c r="J49" s="333">
        <f t="shared" si="14"/>
        <v>16676.028969836119</v>
      </c>
      <c r="K49" s="269">
        <f>SUM(E49:J49)</f>
        <v>11260045.129451087</v>
      </c>
      <c r="L49" s="200" t="str">
        <f>IF(ABS(K49-D49)&lt;0.01,"ok","err")</f>
        <v>ok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4774578.4218267137</v>
      </c>
      <c r="F51" s="349">
        <f>'Allocation Proforma'!J964</f>
        <v>103621086</v>
      </c>
      <c r="G51" s="349">
        <f>E51</f>
        <v>4774578.4218267137</v>
      </c>
      <c r="H51" s="349">
        <f>E51</f>
        <v>4774578.4218267137</v>
      </c>
      <c r="I51" s="349">
        <f>'Allocation Proforma'!$J$980*12</f>
        <v>840</v>
      </c>
      <c r="J51" s="349">
        <f>'Allocation Proforma'!$J$980*12</f>
        <v>840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>
        <f t="shared" ref="E53:J53" si="15">E49/E51</f>
        <v>1.2678910565461188</v>
      </c>
      <c r="F53" s="430">
        <f t="shared" si="15"/>
        <v>3.2839847797866077E-2</v>
      </c>
      <c r="G53" s="351">
        <f t="shared" si="15"/>
        <v>0.16945383845241818</v>
      </c>
      <c r="H53" s="351">
        <f t="shared" si="15"/>
        <v>0.1710202815970763</v>
      </c>
      <c r="I53" s="351">
        <f t="shared" si="15"/>
        <v>191.9080250008727</v>
      </c>
      <c r="J53" s="351">
        <f t="shared" si="15"/>
        <v>19.852415440281096</v>
      </c>
      <c r="K53" s="362">
        <f>I53+J53</f>
        <v>211.7604404411538</v>
      </c>
      <c r="L53" s="212"/>
    </row>
    <row r="55" spans="1:12">
      <c r="D55" s="246"/>
      <c r="F55" s="291"/>
      <c r="J55" s="345" t="s">
        <v>1224</v>
      </c>
      <c r="K55" s="214">
        <f>I53+J53</f>
        <v>211.7604404411538</v>
      </c>
      <c r="L55">
        <f>ROUND(K55/30.5,2)</f>
        <v>6.94</v>
      </c>
    </row>
    <row r="56" spans="1:12">
      <c r="D56" s="246"/>
      <c r="I56" s="19"/>
      <c r="J56" s="345" t="s">
        <v>1242</v>
      </c>
      <c r="K56" s="3">
        <f>E53+G53+H53</f>
        <v>1.6083651765956133</v>
      </c>
    </row>
    <row r="57" spans="1:12">
      <c r="J57" s="345" t="s">
        <v>1243</v>
      </c>
      <c r="K57" s="8">
        <f>F53</f>
        <v>3.2839847797866077E-2</v>
      </c>
    </row>
    <row r="58" spans="1:12">
      <c r="I58" s="7"/>
      <c r="J58" s="226"/>
      <c r="K58" s="330"/>
    </row>
    <row r="59" spans="1:12">
      <c r="J59" s="338"/>
      <c r="K59" s="289"/>
    </row>
    <row r="60" spans="1:12">
      <c r="J60" s="338"/>
      <c r="K60" s="35"/>
    </row>
    <row r="61" spans="1:12">
      <c r="J61" s="338"/>
      <c r="K61" s="344"/>
    </row>
    <row r="62" spans="1:12">
      <c r="J62" s="338"/>
    </row>
    <row r="63" spans="1:12">
      <c r="J63" s="338"/>
      <c r="K63" s="343"/>
    </row>
    <row r="67" spans="5:5">
      <c r="E67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65"/>
  <sheetViews>
    <sheetView view="pageBreakPreview" topLeftCell="A25" zoomScale="85" zoomScaleNormal="100" zoomScaleSheetLayoutView="85" workbookViewId="0">
      <selection activeCell="F28" sqref="F28"/>
    </sheetView>
  </sheetViews>
  <sheetFormatPr defaultRowHeight="14.1"/>
  <cols>
    <col min="1" max="1" width="4.578125" customWidth="1"/>
    <col min="2" max="2" width="41.15625" style="213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227"/>
      <c r="B2" s="346"/>
      <c r="C2" s="227"/>
      <c r="D2" s="227"/>
      <c r="E2" s="227"/>
      <c r="F2" s="227"/>
      <c r="G2" s="227"/>
      <c r="H2" s="227"/>
      <c r="I2" s="227"/>
      <c r="J2" s="227"/>
      <c r="K2" s="227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1102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356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251" t="s">
        <v>1103</v>
      </c>
      <c r="K9" s="182"/>
      <c r="L9" s="253"/>
    </row>
    <row r="10" spans="1:14">
      <c r="A10" s="185"/>
      <c r="B10" s="357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357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358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359"/>
      <c r="C13" s="194"/>
      <c r="D13" s="399"/>
      <c r="E13" s="400"/>
      <c r="F13" s="400"/>
      <c r="G13" s="400"/>
      <c r="H13" s="400"/>
      <c r="I13" s="400"/>
      <c r="J13" s="400"/>
      <c r="K13" s="253"/>
      <c r="L13" s="254"/>
    </row>
    <row r="14" spans="1:14">
      <c r="A14" s="197" t="s">
        <v>1109</v>
      </c>
      <c r="B14" s="206" t="s">
        <v>889</v>
      </c>
      <c r="C14" s="199"/>
      <c r="D14" s="223">
        <f>'Allocation Proforma'!G176</f>
        <v>1749779989.101094</v>
      </c>
      <c r="E14" s="401">
        <f>'Allocation Proforma'!G125+'Allocation Proforma'!G126+'Allocation Proforma'!G127</f>
        <v>879007150.50976884</v>
      </c>
      <c r="F14" s="401">
        <f>'Allocation Proforma'!G128</f>
        <v>28132037.963979956</v>
      </c>
      <c r="G14" s="401">
        <f>'Allocation Proforma'!G137</f>
        <v>163759384.02678114</v>
      </c>
      <c r="H14" s="401">
        <f>'Allocation Proforma'!G147+'Allocation Proforma'!G149+'Allocation Proforma'!G154+'Allocation Proforma'!G143</f>
        <v>247451340.46297511</v>
      </c>
      <c r="I14" s="401">
        <f>'Allocation Proforma'!G148+'Allocation Proforma'!G150+'Allocation Proforma'!G155+'Allocation Proforma'!G159+'Allocation Proforma'!G162+'Allocation Proforma'!G165</f>
        <v>427139954.5528422</v>
      </c>
      <c r="J14" s="401">
        <f>'Allocation Proforma'!G168+'Allocation Proforma'!G171</f>
        <v>4290121.5847467342</v>
      </c>
      <c r="K14" s="270">
        <f>SUM(E14:J14)</f>
        <v>1749779989.101094</v>
      </c>
      <c r="L14" s="422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23">
        <v>0</v>
      </c>
      <c r="E15" s="401">
        <f t="shared" ref="E15:J15" si="0">(E14/$D$14)*$D$15</f>
        <v>0</v>
      </c>
      <c r="F15" s="401">
        <f t="shared" si="0"/>
        <v>0</v>
      </c>
      <c r="G15" s="401">
        <f t="shared" si="0"/>
        <v>0</v>
      </c>
      <c r="H15" s="401">
        <f t="shared" si="0"/>
        <v>0</v>
      </c>
      <c r="I15" s="401">
        <f t="shared" si="0"/>
        <v>0</v>
      </c>
      <c r="J15" s="401">
        <f t="shared" si="0"/>
        <v>0</v>
      </c>
      <c r="K15" s="270">
        <f>SUM(E15:J15)</f>
        <v>0</v>
      </c>
      <c r="L15" s="422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23">
        <f>D14+D15</f>
        <v>1749779989.101094</v>
      </c>
      <c r="E16" s="401">
        <f t="shared" ref="E16:K16" si="1">E14+E15</f>
        <v>879007150.50976884</v>
      </c>
      <c r="F16" s="401">
        <f t="shared" si="1"/>
        <v>28132037.963979956</v>
      </c>
      <c r="G16" s="401">
        <f t="shared" si="1"/>
        <v>163759384.02678114</v>
      </c>
      <c r="H16" s="401">
        <f t="shared" si="1"/>
        <v>247451340.46297511</v>
      </c>
      <c r="I16" s="401">
        <f t="shared" si="1"/>
        <v>427139954.5528422</v>
      </c>
      <c r="J16" s="401">
        <f t="shared" si="1"/>
        <v>4290121.5847467342</v>
      </c>
      <c r="K16" s="270">
        <f t="shared" si="1"/>
        <v>1749779989.101094</v>
      </c>
      <c r="L16" s="422" t="str">
        <f>IF(ABS(K16-D16)&lt;0.01,"ok","err")</f>
        <v>ok</v>
      </c>
    </row>
    <row r="17" spans="1:12">
      <c r="A17" s="201"/>
      <c r="B17" s="360"/>
      <c r="C17" s="203"/>
      <c r="D17" s="258"/>
      <c r="E17" s="226"/>
      <c r="F17" s="226"/>
      <c r="G17" s="226"/>
      <c r="H17" s="226"/>
      <c r="I17" s="226"/>
      <c r="J17" s="226"/>
      <c r="K17" s="270"/>
      <c r="L17" s="402"/>
    </row>
    <row r="18" spans="1:12">
      <c r="A18" s="201" t="s">
        <v>1114</v>
      </c>
      <c r="B18" s="206" t="s">
        <v>1044</v>
      </c>
      <c r="C18" s="199"/>
      <c r="D18" s="403">
        <f>'Allocation Proforma'!G946</f>
        <v>3.6012144422876077E-2</v>
      </c>
      <c r="E18" s="404">
        <f t="shared" ref="E18:J18" si="2">D18</f>
        <v>3.6012144422876077E-2</v>
      </c>
      <c r="F18" s="404">
        <f t="shared" si="2"/>
        <v>3.6012144422876077E-2</v>
      </c>
      <c r="G18" s="404">
        <f t="shared" si="2"/>
        <v>3.6012144422876077E-2</v>
      </c>
      <c r="H18" s="404">
        <f t="shared" si="2"/>
        <v>3.6012144422876077E-2</v>
      </c>
      <c r="I18" s="404">
        <f t="shared" si="2"/>
        <v>3.6012144422876077E-2</v>
      </c>
      <c r="J18" s="404">
        <f t="shared" si="2"/>
        <v>3.6012144422876077E-2</v>
      </c>
      <c r="K18" s="270"/>
      <c r="L18" s="422"/>
    </row>
    <row r="19" spans="1:12">
      <c r="A19" s="205"/>
      <c r="B19" s="206"/>
      <c r="C19" s="203"/>
      <c r="D19" s="258"/>
      <c r="E19" s="226"/>
      <c r="F19" s="226"/>
      <c r="G19" s="226"/>
      <c r="H19" s="226"/>
      <c r="I19" s="226"/>
      <c r="J19" s="226"/>
      <c r="K19" s="270"/>
      <c r="L19" s="402"/>
    </row>
    <row r="20" spans="1:12">
      <c r="A20" s="201" t="s">
        <v>1115</v>
      </c>
      <c r="B20" s="206" t="s">
        <v>1116</v>
      </c>
      <c r="C20" s="199"/>
      <c r="D20" s="223">
        <f>D18*D16</f>
        <v>63013329.675767124</v>
      </c>
      <c r="E20" s="224">
        <f t="shared" ref="E20:J20" si="3">E18*E16</f>
        <v>31654932.452898566</v>
      </c>
      <c r="F20" s="224">
        <f t="shared" si="3"/>
        <v>1013095.0140686788</v>
      </c>
      <c r="G20" s="224">
        <f t="shared" si="3"/>
        <v>5897326.5881736679</v>
      </c>
      <c r="H20" s="224">
        <f t="shared" si="3"/>
        <v>8911253.4103869386</v>
      </c>
      <c r="I20" s="224">
        <f t="shared" si="3"/>
        <v>15382225.732137678</v>
      </c>
      <c r="J20" s="224">
        <f t="shared" si="3"/>
        <v>154496.47810159737</v>
      </c>
      <c r="K20" s="270">
        <f>SUM(E20:J20)</f>
        <v>63013329.675767124</v>
      </c>
      <c r="L20" s="422" t="str">
        <f>IF(ABS(K20-D20)&lt;0.01,"ok","err")</f>
        <v>ok</v>
      </c>
    </row>
    <row r="21" spans="1:12">
      <c r="A21" s="205"/>
      <c r="B21" s="206"/>
      <c r="C21" s="203"/>
      <c r="D21" s="258"/>
      <c r="E21" s="226"/>
      <c r="F21" s="226"/>
      <c r="G21" s="226"/>
      <c r="H21" s="226"/>
      <c r="I21" s="226"/>
      <c r="J21" s="226"/>
      <c r="K21" s="270"/>
      <c r="L21" s="402"/>
    </row>
    <row r="22" spans="1:12">
      <c r="A22" s="201" t="s">
        <v>1117</v>
      </c>
      <c r="B22" s="206" t="s">
        <v>764</v>
      </c>
      <c r="C22" s="199"/>
      <c r="D22" s="223">
        <f>'Allocation Proforma'!G738</f>
        <v>38255752.853161</v>
      </c>
      <c r="E22" s="224">
        <f t="shared" ref="E22:J22" si="4">(E14/$D$14)*$D$22</f>
        <v>19217890.54367806</v>
      </c>
      <c r="F22" s="224">
        <f t="shared" si="4"/>
        <v>615055.77747442236</v>
      </c>
      <c r="G22" s="224">
        <f t="shared" si="4"/>
        <v>3580300.7016515108</v>
      </c>
      <c r="H22" s="224">
        <f t="shared" si="4"/>
        <v>5410072.9136799192</v>
      </c>
      <c r="I22" s="224">
        <f t="shared" si="4"/>
        <v>9338637.2211734504</v>
      </c>
      <c r="J22" s="224">
        <f t="shared" si="4"/>
        <v>93795.695503636409</v>
      </c>
      <c r="K22" s="270">
        <f>SUM(E22:J22)</f>
        <v>38255752.853161</v>
      </c>
      <c r="L22" s="422" t="str">
        <f>IF(ABS(K22-D22)&lt;0.01,"ok","err")</f>
        <v>ok</v>
      </c>
    </row>
    <row r="23" spans="1:12">
      <c r="A23" s="205"/>
      <c r="B23" s="206"/>
      <c r="C23" s="203"/>
      <c r="D23" s="258"/>
      <c r="E23" s="226"/>
      <c r="F23" s="226"/>
      <c r="G23" s="226"/>
      <c r="H23" s="226"/>
      <c r="I23" s="226"/>
      <c r="J23" s="226"/>
      <c r="K23" s="270"/>
      <c r="L23" s="402"/>
    </row>
    <row r="24" spans="1:12">
      <c r="A24" s="201" t="s">
        <v>1118</v>
      </c>
      <c r="B24" s="206" t="s">
        <v>1119</v>
      </c>
      <c r="C24" s="199"/>
      <c r="D24" s="223">
        <f>D20-D22</f>
        <v>24757576.822606124</v>
      </c>
      <c r="E24" s="224">
        <f t="shared" ref="E24:J24" si="5">E20-E22</f>
        <v>12437041.909220506</v>
      </c>
      <c r="F24" s="224">
        <f t="shared" si="5"/>
        <v>398039.23659425648</v>
      </c>
      <c r="G24" s="224">
        <f t="shared" si="5"/>
        <v>2317025.8865221571</v>
      </c>
      <c r="H24" s="224">
        <f t="shared" si="5"/>
        <v>3501180.4967070194</v>
      </c>
      <c r="I24" s="224">
        <f t="shared" si="5"/>
        <v>6043588.5109642278</v>
      </c>
      <c r="J24" s="224">
        <f t="shared" si="5"/>
        <v>60700.782597960962</v>
      </c>
      <c r="K24" s="270">
        <f>SUM(E24:J24)</f>
        <v>24757576.822606128</v>
      </c>
      <c r="L24" s="422" t="str">
        <f>IF(ABS(K24-D24)&lt;0.01,"ok","err")</f>
        <v>ok</v>
      </c>
    </row>
    <row r="25" spans="1:12">
      <c r="A25" s="205"/>
      <c r="B25" s="206"/>
      <c r="C25" s="203"/>
      <c r="D25" s="258"/>
      <c r="E25" s="226"/>
      <c r="F25" s="226"/>
      <c r="G25" s="226"/>
      <c r="H25" s="226"/>
      <c r="I25" s="226"/>
      <c r="J25" s="226"/>
      <c r="K25" s="270"/>
      <c r="L25" s="402"/>
    </row>
    <row r="26" spans="1:12">
      <c r="A26" s="201" t="s">
        <v>1120</v>
      </c>
      <c r="B26" s="206" t="s">
        <v>1121</v>
      </c>
      <c r="C26" s="203"/>
      <c r="D26" s="223">
        <f>'Allocation Proforma'!G767+'Allocation Proforma'!G937</f>
        <v>11753938.149879657</v>
      </c>
      <c r="E26" s="224">
        <f t="shared" ref="E26:J26" si="6">$D$26*(E24/$K$24)</f>
        <v>5904625.5785000045</v>
      </c>
      <c r="F26" s="224">
        <f t="shared" si="6"/>
        <v>188973.60600663649</v>
      </c>
      <c r="G26" s="224">
        <f t="shared" si="6"/>
        <v>1100034.1090321895</v>
      </c>
      <c r="H26" s="224">
        <f t="shared" si="6"/>
        <v>1662224.8334208045</v>
      </c>
      <c r="I26" s="224">
        <f t="shared" si="6"/>
        <v>2869261.6434227899</v>
      </c>
      <c r="J26" s="224">
        <f t="shared" si="6"/>
        <v>28818.379497231432</v>
      </c>
      <c r="K26" s="270">
        <f>SUM(E26:J26)</f>
        <v>11753938.149879657</v>
      </c>
      <c r="L26" s="422" t="str">
        <f>IF(ABS(K26-D26)&lt;0.01,"ok","err")</f>
        <v>ok</v>
      </c>
    </row>
    <row r="27" spans="1:12">
      <c r="A27" s="205"/>
      <c r="B27" s="206"/>
      <c r="C27" s="203"/>
      <c r="D27" s="258"/>
      <c r="E27" s="226"/>
      <c r="F27" s="226"/>
      <c r="G27" s="226"/>
      <c r="H27" s="226"/>
      <c r="I27" s="226"/>
      <c r="J27" s="226"/>
      <c r="K27" s="270"/>
      <c r="L27" s="402"/>
    </row>
    <row r="28" spans="1:12">
      <c r="A28" s="201" t="s">
        <v>1122</v>
      </c>
      <c r="B28" s="206" t="s">
        <v>899</v>
      </c>
      <c r="C28" s="199"/>
      <c r="D28" s="223">
        <f>'Allocation Proforma'!G758</f>
        <v>278762508.12792587</v>
      </c>
      <c r="E28" s="224">
        <f>'Allocation Proforma'!G182+'Allocation Proforma'!G183+'Allocation Proforma'!G184</f>
        <v>48997676.455559842</v>
      </c>
      <c r="F28" s="224">
        <f>'Allocation Proforma'!G185</f>
        <v>142694561.32294586</v>
      </c>
      <c r="G28" s="224">
        <f>'Allocation Proforma'!G194</f>
        <v>16271222.712477274</v>
      </c>
      <c r="H28" s="224">
        <f>'Allocation Proforma'!G200+'Allocation Proforma'!G204+'Allocation Proforma'!G206+'Allocation Proforma'!G211</f>
        <v>14533669.043935115</v>
      </c>
      <c r="I28" s="224">
        <f>'Allocation Proforma'!G205+'Allocation Proforma'!G207+'Allocation Proforma'!G212+'Allocation Proforma'!G216+'Allocation Proforma'!G219</f>
        <v>35650398.210854158</v>
      </c>
      <c r="J28" s="224">
        <f>'Allocation Proforma'!G225+'Allocation Proforma'!G228</f>
        <v>20614980.382153634</v>
      </c>
      <c r="K28" s="270">
        <f t="shared" ref="K28:K32" si="7">SUM(E28:J28)</f>
        <v>278762508.12792587</v>
      </c>
      <c r="L28" s="422" t="str">
        <f>IF(ABS(K28-D28)&lt;0.01,"ok","err")</f>
        <v>ok</v>
      </c>
    </row>
    <row r="29" spans="1:12">
      <c r="A29" s="201" t="s">
        <v>1123</v>
      </c>
      <c r="B29" s="206" t="s">
        <v>995</v>
      </c>
      <c r="C29" s="199"/>
      <c r="D29" s="405">
        <f>'Allocation Proforma'!G759</f>
        <v>132895663.60879765</v>
      </c>
      <c r="E29" s="347">
        <f>'Allocation Proforma'!G302</f>
        <v>93122857.990479201</v>
      </c>
      <c r="F29" s="347">
        <v>0</v>
      </c>
      <c r="G29" s="347">
        <f>'Allocation Proforma'!G308</f>
        <v>6880215.5564031852</v>
      </c>
      <c r="H29" s="347">
        <f>'Allocation Proforma'!G314+'Allocation Proforma'!G318+'Allocation Proforma'!G320+'Allocation Proforma'!G325</f>
        <v>12117026.470572844</v>
      </c>
      <c r="I29" s="347">
        <f>'Allocation Proforma'!G319+'Allocation Proforma'!G321+'Allocation Proforma'!G326+'Allocation Proforma'!G330+'Allocation Proforma'!G333</f>
        <v>20775563.591342423</v>
      </c>
      <c r="J29" s="347">
        <v>0</v>
      </c>
      <c r="K29" s="270">
        <f t="shared" si="7"/>
        <v>132895663.60879765</v>
      </c>
      <c r="L29" s="422" t="str">
        <f>IF(ABS(K29-D29)&lt;0.01,"ok","err")</f>
        <v>ok</v>
      </c>
    </row>
    <row r="30" spans="1:12">
      <c r="A30" s="201" t="s">
        <v>1124</v>
      </c>
      <c r="B30" s="206" t="s">
        <v>1125</v>
      </c>
      <c r="C30" s="199"/>
      <c r="D30" s="405">
        <f>'Allocation Proforma'!G764+'Allocation Proforma'!G765</f>
        <v>21008673.597951356</v>
      </c>
      <c r="E30" s="347">
        <f>'Allocation Proforma'!G417+'Allocation Proforma'!G474+'Allocation Proforma'!G359+'Allocation Proforma'!G531+'Allocation Proforma'!G589</f>
        <v>11024924.271740153</v>
      </c>
      <c r="F30" s="347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30" s="347">
        <f>'Allocation Proforma'!G365+'Allocation Proforma'!G423+'Allocation Proforma'!G480+'Allocation Proforma'!G537+'Allocation Proforma'!G595</f>
        <v>1882667.8045474356</v>
      </c>
      <c r="H30" s="347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2983830.9606450293</v>
      </c>
      <c r="I30" s="347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5117250.5610187408</v>
      </c>
      <c r="J30" s="347">
        <v>0</v>
      </c>
      <c r="K30" s="270">
        <f t="shared" si="7"/>
        <v>21008673.59795136</v>
      </c>
      <c r="L30" s="422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405">
        <f>'Allocation Proforma'!G771</f>
        <v>-146258.60211286336</v>
      </c>
      <c r="E31" s="406">
        <f t="shared" ref="E31:J31" si="8">$D$31*(E14/$K$14)</f>
        <v>-73473.441164917997</v>
      </c>
      <c r="F31" s="406">
        <f t="shared" si="8"/>
        <v>-2351.4685119421556</v>
      </c>
      <c r="G31" s="406">
        <f t="shared" si="8"/>
        <v>-13688.131502135258</v>
      </c>
      <c r="H31" s="406">
        <f t="shared" si="8"/>
        <v>-20683.678732468328</v>
      </c>
      <c r="I31" s="406">
        <f t="shared" si="8"/>
        <v>-35703.284440659641</v>
      </c>
      <c r="J31" s="406">
        <f t="shared" si="8"/>
        <v>-358.59776073998023</v>
      </c>
      <c r="K31" s="270">
        <f t="shared" si="7"/>
        <v>-146258.60211286333</v>
      </c>
      <c r="L31" s="422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257">
        <v>0</v>
      </c>
      <c r="E32" s="347">
        <f>D32</f>
        <v>0</v>
      </c>
      <c r="F32" s="347">
        <v>0</v>
      </c>
      <c r="G32" s="347">
        <v>0</v>
      </c>
      <c r="H32" s="347">
        <v>0</v>
      </c>
      <c r="I32" s="347">
        <v>0</v>
      </c>
      <c r="J32" s="347">
        <v>0</v>
      </c>
      <c r="K32" s="270">
        <f t="shared" si="7"/>
        <v>0</v>
      </c>
      <c r="L32" s="422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257">
        <v>0</v>
      </c>
      <c r="E33" s="347">
        <v>0</v>
      </c>
      <c r="F33" s="347">
        <f>D33</f>
        <v>0</v>
      </c>
      <c r="G33" s="347">
        <v>0</v>
      </c>
      <c r="H33" s="347">
        <v>0</v>
      </c>
      <c r="I33" s="347">
        <v>0</v>
      </c>
      <c r="J33" s="347">
        <v>0</v>
      </c>
      <c r="K33" s="270">
        <f t="shared" ref="K33:K39" si="10">SUM(E33:J33)</f>
        <v>0</v>
      </c>
      <c r="L33" s="422" t="str">
        <f t="shared" si="9"/>
        <v>ok</v>
      </c>
    </row>
    <row r="34" spans="1:12">
      <c r="A34" s="201" t="s">
        <v>1131</v>
      </c>
      <c r="B34" s="206" t="s">
        <v>1132</v>
      </c>
      <c r="C34" s="199"/>
      <c r="D34" s="257">
        <v>0</v>
      </c>
      <c r="E34" s="347">
        <v>0</v>
      </c>
      <c r="F34" s="347">
        <v>0</v>
      </c>
      <c r="G34" s="347">
        <f>D34</f>
        <v>0</v>
      </c>
      <c r="H34" s="347">
        <v>0</v>
      </c>
      <c r="I34" s="347">
        <v>0</v>
      </c>
      <c r="J34" s="347">
        <v>0</v>
      </c>
      <c r="K34" s="270">
        <f t="shared" si="10"/>
        <v>0</v>
      </c>
      <c r="L34" s="422" t="str">
        <f t="shared" si="9"/>
        <v>ok</v>
      </c>
    </row>
    <row r="35" spans="1:12">
      <c r="A35" s="201" t="s">
        <v>1133</v>
      </c>
      <c r="B35" s="206" t="s">
        <v>1134</v>
      </c>
      <c r="C35" s="199"/>
      <c r="D35" s="257">
        <v>0</v>
      </c>
      <c r="E35" s="347">
        <v>0</v>
      </c>
      <c r="F35" s="347">
        <v>0</v>
      </c>
      <c r="G35" s="347">
        <v>0</v>
      </c>
      <c r="H35" s="347">
        <f>(H14/($I$14+$H$14)*$D$35)</f>
        <v>0</v>
      </c>
      <c r="I35" s="347">
        <f>(I14/($I$14+$H$14)*$D$35)</f>
        <v>0</v>
      </c>
      <c r="J35" s="347">
        <v>0</v>
      </c>
      <c r="K35" s="270">
        <f t="shared" si="10"/>
        <v>0</v>
      </c>
      <c r="L35" s="422" t="str">
        <f t="shared" si="9"/>
        <v>ok</v>
      </c>
    </row>
    <row r="36" spans="1:12">
      <c r="A36" s="207" t="s">
        <v>1135</v>
      </c>
      <c r="B36" s="206" t="s">
        <v>1136</v>
      </c>
      <c r="C36" s="199"/>
      <c r="D36" s="405">
        <f>'Allocation Proforma'!G934+'Allocation Proforma'!G935</f>
        <v>203061.01199607053</v>
      </c>
      <c r="E36" s="347">
        <f t="shared" ref="E36:J36" si="11">(E14/($D$14)*$D$36)</f>
        <v>102008.29969829055</v>
      </c>
      <c r="F36" s="347">
        <f t="shared" si="11"/>
        <v>3264.7076398515169</v>
      </c>
      <c r="G36" s="347">
        <f t="shared" si="11"/>
        <v>19004.187070063763</v>
      </c>
      <c r="H36" s="347">
        <f t="shared" si="11"/>
        <v>28716.592901493539</v>
      </c>
      <c r="I36" s="347">
        <f t="shared" si="11"/>
        <v>49569.358419748474</v>
      </c>
      <c r="J36" s="347">
        <f t="shared" si="11"/>
        <v>497.86626662269276</v>
      </c>
      <c r="K36" s="270">
        <f t="shared" si="10"/>
        <v>203061.01199607053</v>
      </c>
      <c r="L36" s="422" t="str">
        <f t="shared" si="9"/>
        <v>ok</v>
      </c>
    </row>
    <row r="37" spans="1:12">
      <c r="A37" s="207" t="s">
        <v>1137</v>
      </c>
      <c r="B37" s="206" t="s">
        <v>1376</v>
      </c>
      <c r="C37" s="342"/>
      <c r="D37" s="405">
        <v>0</v>
      </c>
      <c r="E37" s="347">
        <f t="shared" ref="E37:J37" si="12">(E14/($D$14)*$D$37)</f>
        <v>0</v>
      </c>
      <c r="F37" s="347">
        <f t="shared" si="12"/>
        <v>0</v>
      </c>
      <c r="G37" s="347">
        <f t="shared" si="12"/>
        <v>0</v>
      </c>
      <c r="H37" s="347">
        <f t="shared" si="12"/>
        <v>0</v>
      </c>
      <c r="I37" s="347">
        <f t="shared" si="12"/>
        <v>0</v>
      </c>
      <c r="J37" s="347">
        <f t="shared" si="12"/>
        <v>0</v>
      </c>
      <c r="K37" s="270">
        <f t="shared" si="10"/>
        <v>0</v>
      </c>
      <c r="L37" s="422" t="str">
        <f t="shared" si="9"/>
        <v>ok</v>
      </c>
    </row>
    <row r="38" spans="1:12">
      <c r="A38" s="201"/>
      <c r="B38" s="206"/>
      <c r="D38" s="223"/>
      <c r="E38" s="224"/>
      <c r="F38" s="224"/>
      <c r="G38" s="224"/>
      <c r="H38" s="224"/>
      <c r="I38" s="224"/>
      <c r="J38" s="224"/>
      <c r="K38" s="270"/>
      <c r="L38" s="422"/>
    </row>
    <row r="39" spans="1:12" s="44" customFormat="1">
      <c r="A39" s="201" t="s">
        <v>1138</v>
      </c>
      <c r="B39" s="206" t="s">
        <v>1236</v>
      </c>
      <c r="C39" s="199"/>
      <c r="D39" s="223">
        <f t="shared" ref="D39:J39" si="13">SUM(D32:D37)</f>
        <v>203061.01199607053</v>
      </c>
      <c r="E39" s="401">
        <f t="shared" si="13"/>
        <v>102008.29969829055</v>
      </c>
      <c r="F39" s="401">
        <f t="shared" si="13"/>
        <v>3264.7076398515169</v>
      </c>
      <c r="G39" s="401">
        <f t="shared" si="13"/>
        <v>19004.187070063763</v>
      </c>
      <c r="H39" s="401">
        <f t="shared" si="13"/>
        <v>28716.592901493539</v>
      </c>
      <c r="I39" s="401">
        <f t="shared" si="13"/>
        <v>49569.358419748474</v>
      </c>
      <c r="J39" s="401">
        <f t="shared" si="13"/>
        <v>497.86626662269276</v>
      </c>
      <c r="K39" s="270">
        <f t="shared" si="10"/>
        <v>203061.01199607053</v>
      </c>
      <c r="L39" s="422" t="str">
        <f t="shared" si="9"/>
        <v>ok</v>
      </c>
    </row>
    <row r="40" spans="1:12">
      <c r="A40" s="205"/>
      <c r="B40" s="206"/>
      <c r="C40" s="203"/>
      <c r="D40" s="223"/>
      <c r="E40" s="226"/>
      <c r="F40" s="226"/>
      <c r="G40" s="226"/>
      <c r="H40" s="226"/>
      <c r="I40" s="226"/>
      <c r="J40" s="226"/>
      <c r="K40" s="270"/>
      <c r="L40" s="402"/>
    </row>
    <row r="41" spans="1:12" s="44" customFormat="1">
      <c r="A41" s="201" t="s">
        <v>1140</v>
      </c>
      <c r="B41" s="206" t="s">
        <v>1139</v>
      </c>
      <c r="C41" s="208"/>
      <c r="D41" s="223">
        <f t="shared" ref="D41:J41" si="14">SUM(D28:D31)+D22+D26+D39+D24</f>
        <v>507490915.57020485</v>
      </c>
      <c r="E41" s="224">
        <f t="shared" si="14"/>
        <v>190733551.60771117</v>
      </c>
      <c r="F41" s="224">
        <f t="shared" si="14"/>
        <v>143897543.18214908</v>
      </c>
      <c r="G41" s="224">
        <f t="shared" si="14"/>
        <v>32036782.826201685</v>
      </c>
      <c r="H41" s="224">
        <f t="shared" si="14"/>
        <v>40216037.633129753</v>
      </c>
      <c r="I41" s="224">
        <f t="shared" si="14"/>
        <v>79808565.812754884</v>
      </c>
      <c r="J41" s="224">
        <f t="shared" si="14"/>
        <v>20798434.508258346</v>
      </c>
      <c r="K41" s="270">
        <f>SUM(E41:J41)</f>
        <v>507490915.57020491</v>
      </c>
      <c r="L41" s="422" t="str">
        <f>IF(ABS(K41-D41)&lt;0.01,"ok","err")</f>
        <v>ok</v>
      </c>
    </row>
    <row r="42" spans="1:12">
      <c r="A42" s="205"/>
      <c r="B42" s="206"/>
      <c r="C42" s="203"/>
      <c r="D42" s="260"/>
      <c r="E42" s="226"/>
      <c r="F42" s="226"/>
      <c r="G42" s="226"/>
      <c r="H42" s="226"/>
      <c r="I42" s="226"/>
      <c r="J42" s="226"/>
      <c r="K42" s="270"/>
      <c r="L42" s="402"/>
    </row>
    <row r="43" spans="1:12">
      <c r="A43" s="201" t="s">
        <v>1141</v>
      </c>
      <c r="B43" s="206" t="s">
        <v>1244</v>
      </c>
      <c r="C43" s="203"/>
      <c r="D43" s="223">
        <f>-'Allocation Proforma'!G700</f>
        <v>-291464.68957580475</v>
      </c>
      <c r="E43" s="407">
        <f>D43</f>
        <v>-291464.68957580475</v>
      </c>
      <c r="F43" s="407"/>
      <c r="G43" s="407"/>
      <c r="H43" s="407"/>
      <c r="I43" s="407"/>
      <c r="J43" s="407"/>
      <c r="K43" s="270">
        <f>SUM(E43:J43)</f>
        <v>-291464.68957580475</v>
      </c>
      <c r="L43" s="422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405">
        <f>-'Allocation Proforma'!G698</f>
        <v>-12351105.593367064</v>
      </c>
      <c r="E44" s="347">
        <v>0</v>
      </c>
      <c r="F44" s="347">
        <f>D44</f>
        <v>-12351105.593367064</v>
      </c>
      <c r="G44" s="347">
        <v>0</v>
      </c>
      <c r="H44" s="347">
        <v>0</v>
      </c>
      <c r="I44" s="347">
        <v>0</v>
      </c>
      <c r="J44" s="347">
        <v>0</v>
      </c>
      <c r="K44" s="270">
        <f>SUM(E44:J44)</f>
        <v>-12351105.593367064</v>
      </c>
      <c r="L44" s="422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405">
        <f>-'Allocation Proforma'!G699</f>
        <v>-5709766.5792411594</v>
      </c>
      <c r="E45" s="347">
        <v>0</v>
      </c>
      <c r="F45" s="347">
        <v>0</v>
      </c>
      <c r="G45" s="347">
        <f>D45</f>
        <v>-5709766.5792411594</v>
      </c>
      <c r="H45" s="347">
        <v>0</v>
      </c>
      <c r="I45" s="347">
        <v>0</v>
      </c>
      <c r="J45" s="347">
        <v>0</v>
      </c>
      <c r="K45" s="270">
        <f>SUM(E45:J45)</f>
        <v>-5709766.5792411594</v>
      </c>
      <c r="L45" s="422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257">
        <f>-('Allocation Proforma'!G702+'Allocation Proforma'!G703+'Allocation Proforma'!G704+'Allocation Proforma'!G705)</f>
        <v>-5871332.7709747236</v>
      </c>
      <c r="E46" s="347">
        <f>-(E14/($D$14)*('Allocation Proforma'!G702+'Allocation Proforma'!G703+'Allocation Proforma'!G704+'Allocation Proforma'!G705))</f>
        <v>-2949481.3752901722</v>
      </c>
      <c r="F46" s="347">
        <f>(F14/($D$14)*-('Allocation Proforma'!G702+'Allocation Proforma'!G703+'Allocation Proforma'!G704+'Allocation Proforma'!G705))</f>
        <v>-94396.18548676731</v>
      </c>
      <c r="G46" s="347">
        <f>(G14/($D$14)*-('Allocation Proforma'!G702+'Allocation Proforma'!G703+'Allocation Proforma'!G704+'Allocation Proforma'!G705))</f>
        <v>-549489.56096189795</v>
      </c>
      <c r="H46" s="347">
        <f>(H14/($D$14)*-('Allocation Proforma'!G702+'Allocation Proforma'!G703+'Allocation Proforma'!G704+'Allocation Proforma'!G705))</f>
        <v>-830315.33880340285</v>
      </c>
      <c r="I46" s="347">
        <f>(I14/($D$14)*-('Allocation Proforma'!G702+'Allocation Proforma'!G703+'Allocation Proforma'!G704+'Allocation Proforma'!G705))</f>
        <v>-1433254.9398093859</v>
      </c>
      <c r="J46" s="347">
        <f>(J14/($D$14)*-('Allocation Proforma'!G702+'Allocation Proforma'!G703+'Allocation Proforma'!G704+'Allocation Proforma'!G705))</f>
        <v>-14395.370623097364</v>
      </c>
      <c r="K46" s="270">
        <f>SUM(E46:J46)</f>
        <v>-5871332.7709747236</v>
      </c>
      <c r="L46" s="422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257">
        <f>SUM(D43:D46)</f>
        <v>-24223669.633158751</v>
      </c>
      <c r="E47" s="408">
        <f>SUM(E43:E46)</f>
        <v>-3240946.064865977</v>
      </c>
      <c r="F47" s="408">
        <f t="shared" ref="F47:J47" si="15">SUM(F44:F46)</f>
        <v>-12445501.778853832</v>
      </c>
      <c r="G47" s="408">
        <f t="shared" si="15"/>
        <v>-6259256.1402030569</v>
      </c>
      <c r="H47" s="408">
        <f t="shared" si="15"/>
        <v>-830315.33880340285</v>
      </c>
      <c r="I47" s="408">
        <f t="shared" si="15"/>
        <v>-1433254.9398093859</v>
      </c>
      <c r="J47" s="408">
        <f t="shared" si="15"/>
        <v>-14395.370623097364</v>
      </c>
      <c r="K47" s="270">
        <f>SUM(E47:J47)</f>
        <v>-24223669.633158751</v>
      </c>
      <c r="L47" s="422" t="str">
        <f>IF(ABS(K47-D47)&lt;0.01,"ok","err")</f>
        <v>ok</v>
      </c>
    </row>
    <row r="48" spans="1:12">
      <c r="A48" s="205"/>
      <c r="B48" s="206"/>
      <c r="D48" s="261"/>
      <c r="E48" s="226"/>
      <c r="F48" s="226"/>
      <c r="G48" s="226"/>
      <c r="H48" s="226"/>
      <c r="I48" s="226"/>
      <c r="J48" s="226"/>
      <c r="K48" s="270"/>
      <c r="L48" s="402"/>
    </row>
    <row r="49" spans="1:15">
      <c r="A49" s="201" t="s">
        <v>1151</v>
      </c>
      <c r="B49" s="206" t="s">
        <v>1148</v>
      </c>
      <c r="C49" s="209" t="e">
        <f>'Allocation Proforma'!G926-SUM('Allocation Proforma'!G699:G705)-'Allocation Proforma'!#REF!-'Allocation Proforma'!G920-'Allocation Proforma'!G924</f>
        <v>#REF!</v>
      </c>
      <c r="D49" s="223">
        <f t="shared" ref="D49:J49" si="16">D41+D47</f>
        <v>483267245.93704611</v>
      </c>
      <c r="E49" s="401">
        <f t="shared" si="16"/>
        <v>187492605.54284519</v>
      </c>
      <c r="F49" s="401">
        <f t="shared" si="16"/>
        <v>131452041.40329525</v>
      </c>
      <c r="G49" s="401">
        <f t="shared" si="16"/>
        <v>25777526.685998626</v>
      </c>
      <c r="H49" s="401">
        <f t="shared" si="16"/>
        <v>39385722.29432635</v>
      </c>
      <c r="I49" s="401">
        <f t="shared" si="16"/>
        <v>78375310.872945502</v>
      </c>
      <c r="J49" s="401">
        <f t="shared" si="16"/>
        <v>20784039.13763525</v>
      </c>
      <c r="K49" s="270">
        <f>SUM(E49:J49)</f>
        <v>483267245.93704611</v>
      </c>
      <c r="L49" s="422" t="str">
        <f>IF(ABS(K49-D49)&lt;0.01,"ok","err")</f>
        <v>ok</v>
      </c>
    </row>
    <row r="50" spans="1:15">
      <c r="A50" s="205"/>
      <c r="B50" s="206"/>
      <c r="C50" s="203"/>
      <c r="D50" s="262"/>
      <c r="E50" s="226"/>
      <c r="F50" s="226"/>
      <c r="G50" s="226"/>
      <c r="H50" s="226"/>
      <c r="I50" s="226"/>
      <c r="J50" s="226"/>
      <c r="K50" s="270"/>
      <c r="L50" s="402"/>
    </row>
    <row r="51" spans="1:15">
      <c r="A51" s="201" t="s">
        <v>1237</v>
      </c>
      <c r="B51" s="206" t="s">
        <v>1150</v>
      </c>
      <c r="C51" s="199"/>
      <c r="D51" s="261"/>
      <c r="E51" s="264">
        <f>'Allocation Proforma'!G964</f>
        <v>4043916207.3736367</v>
      </c>
      <c r="F51" s="264">
        <f>'Allocation Proforma'!G964</f>
        <v>4043916207.3736367</v>
      </c>
      <c r="G51" s="264">
        <f>'Allocation Proforma'!G964</f>
        <v>4043916207.3736367</v>
      </c>
      <c r="H51" s="264">
        <f>'Allocation Proforma'!G964</f>
        <v>4043916207.3736367</v>
      </c>
      <c r="I51" s="264">
        <f>'Allocation Proforma'!$G$980*12</f>
        <v>4519527</v>
      </c>
      <c r="J51" s="264">
        <f>'Allocation Proforma'!$G$980*12</f>
        <v>4519527</v>
      </c>
      <c r="K51" s="254"/>
      <c r="L51" s="402"/>
    </row>
    <row r="52" spans="1:15" ht="14.4" thickBot="1">
      <c r="A52" s="205"/>
      <c r="B52" s="206"/>
      <c r="C52" s="203"/>
      <c r="D52" s="261"/>
      <c r="E52" s="226"/>
      <c r="F52" s="226"/>
      <c r="G52" s="226"/>
      <c r="H52" s="226"/>
      <c r="I52" s="226"/>
      <c r="J52" s="226"/>
      <c r="K52" s="254"/>
      <c r="L52" s="402"/>
    </row>
    <row r="53" spans="1:15" ht="14.4" thickBot="1">
      <c r="A53" s="210" t="s">
        <v>1372</v>
      </c>
      <c r="B53" s="361" t="s">
        <v>1152</v>
      </c>
      <c r="C53" s="211"/>
      <c r="D53" s="409"/>
      <c r="E53" s="266">
        <f t="shared" ref="E53:J53" si="17">E49/E51</f>
        <v>4.6364117337785837E-2</v>
      </c>
      <c r="F53" s="266">
        <f t="shared" si="17"/>
        <v>3.2506123930957545E-2</v>
      </c>
      <c r="G53" s="266">
        <f t="shared" si="17"/>
        <v>6.3743968381432189E-3</v>
      </c>
      <c r="H53" s="266">
        <f t="shared" si="17"/>
        <v>9.739500097086783E-3</v>
      </c>
      <c r="I53" s="267">
        <f t="shared" si="17"/>
        <v>17.341485264485755</v>
      </c>
      <c r="J53" s="267">
        <f t="shared" si="17"/>
        <v>4.5987199849973788</v>
      </c>
      <c r="K53" s="252">
        <f>I53+J53</f>
        <v>21.940205249483135</v>
      </c>
      <c r="L53" s="410"/>
    </row>
    <row r="54" spans="1:15">
      <c r="D54" s="213"/>
      <c r="E54" s="213"/>
      <c r="F54" s="213"/>
      <c r="G54" s="213"/>
      <c r="H54" s="213"/>
      <c r="I54" s="213"/>
      <c r="J54" s="213"/>
      <c r="K54" s="213"/>
      <c r="L54" s="213"/>
    </row>
    <row r="55" spans="1:15">
      <c r="D55" s="411"/>
      <c r="E55" s="213"/>
      <c r="F55" s="412"/>
      <c r="G55" s="213"/>
      <c r="H55" s="213"/>
      <c r="I55" s="213"/>
      <c r="J55" s="213" t="s">
        <v>1224</v>
      </c>
      <c r="K55" s="413">
        <f>I53+J53</f>
        <v>21.940205249483135</v>
      </c>
      <c r="L55" s="414">
        <f>ROUND(K55/30.5, 2)</f>
        <v>0.72</v>
      </c>
    </row>
    <row r="56" spans="1:15">
      <c r="D56" s="411"/>
      <c r="E56" s="213"/>
      <c r="F56" s="213"/>
      <c r="G56" s="213"/>
      <c r="H56" s="213"/>
      <c r="I56" s="415"/>
      <c r="J56" s="213" t="s">
        <v>1238</v>
      </c>
      <c r="K56" s="416">
        <f>E53+G53+H53</f>
        <v>6.2478014273015837E-2</v>
      </c>
      <c r="L56" s="414"/>
      <c r="N56" t="s">
        <v>855</v>
      </c>
      <c r="O56" s="18">
        <f>(I49+J49)/K49</f>
        <v>0.2051853313963222</v>
      </c>
    </row>
    <row r="57" spans="1:15">
      <c r="D57" s="213"/>
      <c r="E57" s="213"/>
      <c r="F57" s="213"/>
      <c r="G57" s="213"/>
      <c r="H57" s="213"/>
      <c r="I57" s="213"/>
      <c r="J57" s="213" t="s">
        <v>1223</v>
      </c>
      <c r="K57" s="416">
        <f>F53</f>
        <v>3.2506123930957545E-2</v>
      </c>
      <c r="L57" s="213"/>
      <c r="N57" t="s">
        <v>853</v>
      </c>
      <c r="O57" s="18">
        <f>(E49+G49+H49)/K49</f>
        <v>0.52280773556932292</v>
      </c>
    </row>
    <row r="58" spans="1:15">
      <c r="D58" s="213"/>
      <c r="E58" s="213"/>
      <c r="F58" s="213"/>
      <c r="G58" s="213"/>
      <c r="H58" s="213"/>
      <c r="I58" s="417"/>
      <c r="J58" s="226"/>
      <c r="K58" s="418"/>
      <c r="L58" s="213"/>
      <c r="N58" t="s">
        <v>854</v>
      </c>
      <c r="O58" s="18">
        <f>F49/K49</f>
        <v>0.27200693303435497</v>
      </c>
    </row>
    <row r="59" spans="1:15">
      <c r="D59" s="213"/>
      <c r="E59" s="213"/>
      <c r="F59" s="213"/>
      <c r="G59" s="213"/>
      <c r="H59" s="213"/>
      <c r="I59" s="213"/>
      <c r="J59" s="338" t="s">
        <v>1232</v>
      </c>
      <c r="K59" s="419">
        <v>18.3</v>
      </c>
      <c r="L59" s="213"/>
      <c r="O59" s="437">
        <f>SUM(O56:O58)</f>
        <v>1</v>
      </c>
    </row>
    <row r="60" spans="1:15">
      <c r="D60" s="213"/>
      <c r="E60" s="213"/>
      <c r="F60" s="213"/>
      <c r="G60" s="213"/>
      <c r="H60" s="213"/>
      <c r="I60" s="213"/>
      <c r="J60" s="338" t="s">
        <v>1233</v>
      </c>
      <c r="K60" s="407">
        <f>(K55-K59)*I51</f>
        <v>16452005.910580762</v>
      </c>
      <c r="L60" s="213"/>
    </row>
    <row r="61" spans="1:15">
      <c r="D61" s="213"/>
      <c r="E61" s="213"/>
      <c r="F61" s="213"/>
      <c r="G61" s="213"/>
      <c r="H61" s="213"/>
      <c r="I61" s="213"/>
      <c r="J61" s="338" t="s">
        <v>1234</v>
      </c>
      <c r="K61" s="420">
        <f>K60/H51</f>
        <v>4.0683350165817821E-3</v>
      </c>
      <c r="L61" s="213"/>
    </row>
    <row r="62" spans="1:15">
      <c r="D62" s="213"/>
      <c r="E62" s="213"/>
      <c r="F62" s="213"/>
      <c r="G62" s="213"/>
      <c r="H62" s="213"/>
      <c r="I62" s="213"/>
      <c r="J62" s="338" t="s">
        <v>1240</v>
      </c>
      <c r="K62" s="213">
        <v>6.9100000000000003E-3</v>
      </c>
      <c r="L62" s="213"/>
    </row>
    <row r="63" spans="1:15">
      <c r="D63" s="213"/>
      <c r="E63" s="213"/>
      <c r="F63" s="213"/>
      <c r="G63" s="213"/>
      <c r="H63" s="213"/>
      <c r="I63" s="213"/>
      <c r="J63" s="338" t="s">
        <v>1241</v>
      </c>
      <c r="K63" s="421">
        <f>K61+K62+K56</f>
        <v>7.3456349289597628E-2</v>
      </c>
      <c r="L63" s="421">
        <f>K63+K57</f>
        <v>0.10596247322055517</v>
      </c>
    </row>
    <row r="65" spans="11:11">
      <c r="K65" s="246">
        <f>K49-484980728</f>
        <v>-1713482.0629538894</v>
      </c>
    </row>
  </sheetData>
  <mergeCells count="6">
    <mergeCell ref="E9:F9"/>
    <mergeCell ref="H9:I9"/>
    <mergeCell ref="A1:K1"/>
    <mergeCell ref="A3:K3"/>
    <mergeCell ref="A4:K4"/>
    <mergeCell ref="A6:K6"/>
  </mergeCells>
  <pageMargins left="0.7" right="0.7" top="0.75" bottom="0.75" header="0.3" footer="0.3"/>
  <pageSetup scale="50" orientation="landscape" r:id="rId1"/>
  <headerFooter>
    <oddHeader>&amp;R&amp;"Times New Roman,Bold"&amp;12Exhibit WSS - XX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65"/>
  <sheetViews>
    <sheetView view="pageBreakPreview" topLeftCell="B22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1211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423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Proforma'!I176</f>
        <v>403377509.80225503</v>
      </c>
      <c r="E14" s="333">
        <f>'Allocation Proforma'!I125+'Allocation Proforma'!I126+'Allocation Proforma'!I127</f>
        <v>245587138.06649747</v>
      </c>
      <c r="F14" s="333">
        <f>'Allocation Proforma'!I128</f>
        <v>8327707.1263278788</v>
      </c>
      <c r="G14" s="333">
        <f>'Allocation Proforma'!I137</f>
        <v>40034447.174666457</v>
      </c>
      <c r="H14" s="333">
        <f>'Allocation Proforma'!I147+'Allocation Proforma'!I149+'Allocation Proforma'!I154+'Allocation Proforma'!I143</f>
        <v>53152465.693432234</v>
      </c>
      <c r="I14" s="333">
        <f>'Allocation Proforma'!I148+'Allocation Proforma'!I150+'Allocation Proforma'!I155+'Allocation Proforma'!I159+'Allocation Proforma'!I162+'Allocation Proforma'!I165</f>
        <v>55348502.295769937</v>
      </c>
      <c r="J14" s="333">
        <f>'Allocation Proforma'!I168+'Allocation Proforma'!I171</f>
        <v>927249.44556108629</v>
      </c>
      <c r="K14" s="269">
        <f>SUM(E14:J14)</f>
        <v>403377509.80225503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403377509.80225503</v>
      </c>
      <c r="E16" s="333">
        <f t="shared" ref="E16:K16" si="1">E14+E15</f>
        <v>245587138.06649747</v>
      </c>
      <c r="F16" s="333">
        <f t="shared" si="1"/>
        <v>8327707.1263278788</v>
      </c>
      <c r="G16" s="333">
        <f t="shared" si="1"/>
        <v>40034447.174666457</v>
      </c>
      <c r="H16" s="333">
        <f t="shared" si="1"/>
        <v>53152465.693432234</v>
      </c>
      <c r="I16" s="333">
        <f t="shared" si="1"/>
        <v>55348502.295769937</v>
      </c>
      <c r="J16" s="333">
        <f t="shared" si="1"/>
        <v>927249.44556108629</v>
      </c>
      <c r="K16" s="269">
        <f t="shared" si="1"/>
        <v>403377509.80225503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Proforma'!I946</f>
        <v>0.1323059627515541</v>
      </c>
      <c r="E18" s="335">
        <f t="shared" ref="E18:J18" si="2">D18</f>
        <v>0.1323059627515541</v>
      </c>
      <c r="F18" s="335">
        <f t="shared" si="2"/>
        <v>0.1323059627515541</v>
      </c>
      <c r="G18" s="335">
        <f t="shared" si="2"/>
        <v>0.1323059627515541</v>
      </c>
      <c r="H18" s="335">
        <f t="shared" si="2"/>
        <v>0.1323059627515541</v>
      </c>
      <c r="I18" s="335">
        <f t="shared" si="2"/>
        <v>0.1323059627515541</v>
      </c>
      <c r="J18" s="335">
        <f t="shared" si="2"/>
        <v>0.1323059627515541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53369249.786711805</v>
      </c>
      <c r="E20" s="352">
        <f t="shared" ref="E20:J20" si="3">E18*E16</f>
        <v>32492642.741286788</v>
      </c>
      <c r="F20" s="352">
        <f t="shared" si="3"/>
        <v>1101805.3088617879</v>
      </c>
      <c r="G20" s="352">
        <f t="shared" si="3"/>
        <v>5296796.07667048</v>
      </c>
      <c r="H20" s="352">
        <f t="shared" si="3"/>
        <v>7032388.1461885022</v>
      </c>
      <c r="I20" s="352">
        <f t="shared" si="3"/>
        <v>7322936.883098444</v>
      </c>
      <c r="J20" s="352">
        <f t="shared" si="3"/>
        <v>122680.63060580427</v>
      </c>
      <c r="K20" s="269">
        <f>SUM(E20:J20)</f>
        <v>53369249.786711812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Proforma'!I738</f>
        <v>8814359.6230740286</v>
      </c>
      <c r="E22" s="352">
        <f t="shared" ref="E22:J22" si="4">(E14/$D$14)*$D$22</f>
        <v>5366420.5393623076</v>
      </c>
      <c r="F22" s="352">
        <f t="shared" si="4"/>
        <v>181971.98322502995</v>
      </c>
      <c r="G22" s="352">
        <f t="shared" si="4"/>
        <v>874808.35230863292</v>
      </c>
      <c r="H22" s="352">
        <f t="shared" si="4"/>
        <v>1161455.3020189167</v>
      </c>
      <c r="I22" s="352">
        <f t="shared" si="4"/>
        <v>1209441.7561172801</v>
      </c>
      <c r="J22" s="352">
        <f t="shared" si="4"/>
        <v>20261.690041861941</v>
      </c>
      <c r="K22" s="269">
        <f>SUM(E22:J22)</f>
        <v>8814359.6230740305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44554890.163637772</v>
      </c>
      <c r="E24" s="352">
        <f t="shared" ref="E24:J24" si="5">E20-E22</f>
        <v>27126222.20192448</v>
      </c>
      <c r="F24" s="352">
        <f t="shared" si="5"/>
        <v>919833.325636758</v>
      </c>
      <c r="G24" s="352">
        <f t="shared" si="5"/>
        <v>4421987.7243618472</v>
      </c>
      <c r="H24" s="352">
        <f t="shared" si="5"/>
        <v>5870932.844169585</v>
      </c>
      <c r="I24" s="352">
        <f t="shared" si="5"/>
        <v>6113495.1269811634</v>
      </c>
      <c r="J24" s="352">
        <f t="shared" si="5"/>
        <v>102418.94056394233</v>
      </c>
      <c r="K24" s="269">
        <f>SUM(E24:J24)</f>
        <v>44554890.163637772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Proforma'!I767+'Allocation Proforma'!I937</f>
        <v>7910055.6342064459</v>
      </c>
      <c r="E26" s="352">
        <f t="shared" ref="E26:J26" si="6">$D$26*(E24/$K$24)</f>
        <v>4815855.8123477083</v>
      </c>
      <c r="F26" s="352">
        <f t="shared" si="6"/>
        <v>163302.67571665879</v>
      </c>
      <c r="G26" s="352">
        <f t="shared" si="6"/>
        <v>785057.90913219715</v>
      </c>
      <c r="H26" s="352">
        <f t="shared" si="6"/>
        <v>1042296.485335554</v>
      </c>
      <c r="I26" s="352">
        <f t="shared" si="6"/>
        <v>1085359.7976847242</v>
      </c>
      <c r="J26" s="352">
        <f t="shared" si="6"/>
        <v>18182.953989603589</v>
      </c>
      <c r="K26" s="269">
        <f>SUM(E26:J26)</f>
        <v>7910055.6342064468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Proforma'!I758</f>
        <v>73702756.869020075</v>
      </c>
      <c r="E28" s="352">
        <f>'Allocation Proforma'!I182+'Allocation Proforma'!I183+'Allocation Proforma'!I184</f>
        <v>13689534.977787893</v>
      </c>
      <c r="F28" s="352">
        <f>'Allocation Proforma'!I185</f>
        <v>42240754.713143803</v>
      </c>
      <c r="G28" s="352">
        <f>'Allocation Proforma'!I194</f>
        <v>3977844.7508288953</v>
      </c>
      <c r="H28" s="352">
        <f>'Allocation Proforma'!I200+'Allocation Proforma'!I204+'Allocation Proforma'!I206+'Allocation Proforma'!I211</f>
        <v>3221233.555823294</v>
      </c>
      <c r="I28" s="352">
        <f>'Allocation Proforma'!I205+'Allocation Proforma'!I207+'Allocation Proforma'!I212+'Allocation Proforma'!I216+'Allocation Proforma'!I219</f>
        <v>6112618.2019007504</v>
      </c>
      <c r="J28" s="352">
        <f>'Allocation Proforma'!I225+'Allocation Proforma'!I228</f>
        <v>4460770.6695354497</v>
      </c>
      <c r="K28" s="269">
        <f t="shared" ref="K28:K39" si="7">SUM(E28:J28)</f>
        <v>73702756.869020075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Proforma'!I759</f>
        <v>32977673.946411591</v>
      </c>
      <c r="E29" s="348">
        <f>'Allocation Proforma'!I302</f>
        <v>26017736.225685559</v>
      </c>
      <c r="F29" s="348">
        <v>0</v>
      </c>
      <c r="G29" s="348">
        <f>'Allocation Proforma'!I308</f>
        <v>1682014.3033641081</v>
      </c>
      <c r="H29" s="348">
        <f>'Allocation Proforma'!I314+'Allocation Proforma'!I318+'Allocation Proforma'!I320+'Allocation Proforma'!I325</f>
        <v>2601824.5808924492</v>
      </c>
      <c r="I29" s="348">
        <f>'Allocation Proforma'!I319+'Allocation Proforma'!I321+'Allocation Proforma'!I326+'Allocation Proforma'!I330+'Allocation Proforma'!I333</f>
        <v>2676098.8364694733</v>
      </c>
      <c r="J29" s="348">
        <v>0</v>
      </c>
      <c r="K29" s="269">
        <f t="shared" si="7"/>
        <v>32977673.946411587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Proforma'!I764+'Allocation Proforma'!I765</f>
        <v>4840610.5621111291</v>
      </c>
      <c r="E30" s="348">
        <f>'Allocation Proforma'!I417+'Allocation Proforma'!I474+'Allocation Proforma'!I359+'Allocation Proforma'!I531+'Allocation Proforma'!I589</f>
        <v>3080270.2773536053</v>
      </c>
      <c r="F30" s="348">
        <f>'Allocation Proforma'!I356+'Allocation Proforma'!I357+'Allocation Proforma'!I358+'Allocation Proforma'!I414+'Allocation Proforma'!I415+'Allocation Proforma'!I416+'Allocation Proforma'!I471+'Allocation Proforma'!I472+'Allocation Proforma'!I473+'Allocation Proforma'!I528+'Allocation Proforma'!I529+'Allocation Proforma'!I530+'Allocation Proforma'!I586+'Allocation Proforma'!I587+'Allocation Proforma'!I588</f>
        <v>0</v>
      </c>
      <c r="G30" s="348">
        <f>'Allocation Proforma'!I365+'Allocation Proforma'!I423+'Allocation Proforma'!I480+'Allocation Proforma'!I537+'Allocation Proforma'!I595</f>
        <v>460257.98897896055</v>
      </c>
      <c r="H30" s="348">
        <f>'Allocation Proforma'!I371+'Allocation Proforma'!I375+'Allocation Proforma'!I377+'Allocation Proforma'!I382+'Allocation Proforma'!I429+'Allocation Proforma'!I433+'Allocation Proforma'!I435+'Allocation Proforma'!I440+'Allocation Proforma'!I486+'Allocation Proforma'!I490+'Allocation Proforma'!I492+'Allocation Proforma'!I497+'Allocation Proforma'!I543+'Allocation Proforma'!I547+'Allocation Proforma'!I549+'Allocation Proforma'!I554+'Allocation Proforma'!I601+'Allocation Proforma'!I605+'Allocation Proforma'!I607+'Allocation Proforma'!I612</f>
        <v>640702.13574990619</v>
      </c>
      <c r="I30" s="348">
        <f>'Allocation Proforma'!I376+'Allocation Proforma'!I378+'Allocation Proforma'!I383+'Allocation Proforma'!I387+'Allocation Proforma'!I391+'Allocation Proforma'!I434+'Allocation Proforma'!I436+'Allocation Proforma'!I441+'Allocation Proforma'!I445+'Allocation Proforma'!I448+'Allocation Proforma'!I491+'Allocation Proforma'!I493+'Allocation Proforma'!I498+'Allocation Proforma'!I502+'Allocation Proforma'!I505+'Allocation Proforma'!I548+'Allocation Proforma'!I550+'Allocation Proforma'!I555+'Allocation Proforma'!I559+'Allocation Proforma'!I562+'Allocation Proforma'!I606+'Allocation Proforma'!I608+'Allocation Proforma'!I613+'Allocation Proforma'!I617+'Allocation Proforma'!I620</f>
        <v>659380.16002865764</v>
      </c>
      <c r="J30" s="348">
        <v>0</v>
      </c>
      <c r="K30" s="269">
        <f t="shared" si="7"/>
        <v>4840610.56211113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Proforma'!I771</f>
        <v>-43295.789827298053</v>
      </c>
      <c r="E31" s="348">
        <f t="shared" ref="E31:J31" si="8">$D$31*(E14/$K$14)</f>
        <v>-26359.64786243832</v>
      </c>
      <c r="F31" s="348">
        <f t="shared" si="8"/>
        <v>-893.83926650133844</v>
      </c>
      <c r="G31" s="348">
        <f t="shared" si="8"/>
        <v>-4297.0244215552329</v>
      </c>
      <c r="H31" s="348">
        <f t="shared" si="8"/>
        <v>-5705.0230306435569</v>
      </c>
      <c r="I31" s="348">
        <f t="shared" si="8"/>
        <v>-5940.7306169055601</v>
      </c>
      <c r="J31" s="348">
        <f t="shared" si="8"/>
        <v>-99.524629254050211</v>
      </c>
      <c r="K31" s="269">
        <f t="shared" si="7"/>
        <v>-43295.789827298053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Proforma'!I934+'Allocation Proforma'!I935</f>
        <v>72999.469755023441</v>
      </c>
      <c r="E36" s="348">
        <f t="shared" ref="E36:J36" si="10">(E14/($D$14)*$D$36)</f>
        <v>44444.051593993521</v>
      </c>
      <c r="F36" s="348">
        <f t="shared" si="10"/>
        <v>1507.0701507257575</v>
      </c>
      <c r="G36" s="348">
        <f t="shared" si="10"/>
        <v>7245.0579039937593</v>
      </c>
      <c r="H36" s="348">
        <f t="shared" si="10"/>
        <v>9619.0335789785186</v>
      </c>
      <c r="I36" s="348">
        <f t="shared" si="10"/>
        <v>10016.451639325667</v>
      </c>
      <c r="J36" s="348">
        <f t="shared" si="10"/>
        <v>167.80488800622857</v>
      </c>
      <c r="K36" s="269">
        <f t="shared" si="7"/>
        <v>72999.469755023441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8">
        <f>D37</f>
        <v>0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1">SUM(D32:D37)</f>
        <v>72999.469755023441</v>
      </c>
      <c r="E39" s="333">
        <f t="shared" si="11"/>
        <v>44444.051593993521</v>
      </c>
      <c r="F39" s="333">
        <f t="shared" si="11"/>
        <v>1507.0701507257575</v>
      </c>
      <c r="G39" s="333">
        <f t="shared" si="11"/>
        <v>7245.0579039937593</v>
      </c>
      <c r="H39" s="333">
        <f t="shared" si="11"/>
        <v>9619.0335789785186</v>
      </c>
      <c r="I39" s="333">
        <f t="shared" si="11"/>
        <v>10016.451639325667</v>
      </c>
      <c r="J39" s="333">
        <f t="shared" si="11"/>
        <v>167.80488800622857</v>
      </c>
      <c r="K39" s="269">
        <f t="shared" si="7"/>
        <v>72999.469755023441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2">SUM(D28:D31)+D22+D26+D39+D24</f>
        <v>172830050.47838876</v>
      </c>
      <c r="E41" s="352">
        <f t="shared" si="12"/>
        <v>80114124.438193113</v>
      </c>
      <c r="F41" s="352">
        <f t="shared" si="12"/>
        <v>43506475.92860648</v>
      </c>
      <c r="G41" s="352">
        <f t="shared" si="12"/>
        <v>12204919.062457081</v>
      </c>
      <c r="H41" s="352">
        <f t="shared" si="12"/>
        <v>14542358.914538041</v>
      </c>
      <c r="I41" s="352">
        <f t="shared" si="12"/>
        <v>17860469.600204468</v>
      </c>
      <c r="J41" s="352">
        <f t="shared" si="12"/>
        <v>4601702.5343896095</v>
      </c>
      <c r="K41" s="269">
        <f>SUM(E41:J41)</f>
        <v>172830050.47838879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Proforma'!I700</f>
        <v>-81432.760721969215</v>
      </c>
      <c r="E43" s="294">
        <f>D43</f>
        <v>-81432.760721969215</v>
      </c>
      <c r="F43" s="294"/>
      <c r="G43" s="294"/>
      <c r="H43" s="294"/>
      <c r="I43" s="294"/>
      <c r="J43" s="294"/>
      <c r="K43" s="269">
        <f>SUM(E43:J43)</f>
        <v>-81432.760721969215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Proforma'!I698</f>
        <v>-3656201.1682057143</v>
      </c>
      <c r="E44" s="348">
        <v>0</v>
      </c>
      <c r="F44" s="348">
        <f>D44</f>
        <v>-3656201.1682057143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-3656201.1682057143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Proforma'!I699</f>
        <v>-1395873.2799026843</v>
      </c>
      <c r="E45" s="348">
        <v>0</v>
      </c>
      <c r="F45" s="348">
        <v>0</v>
      </c>
      <c r="G45" s="348">
        <f>D45</f>
        <v>-1395873.2799026843</v>
      </c>
      <c r="H45" s="348">
        <v>0</v>
      </c>
      <c r="I45" s="348">
        <v>0</v>
      </c>
      <c r="J45" s="348">
        <v>0</v>
      </c>
      <c r="K45" s="269">
        <f>SUM(E45:J45)</f>
        <v>-1395873.2799026843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Proforma'!I702-'Allocation Proforma'!I703-'Allocation Proforma'!I704-'Allocation Proforma'!I705</f>
        <v>-788156.28921181941</v>
      </c>
      <c r="E46" s="348">
        <f>-(E14/($D$14)*('Allocation Proforma'!I702+'Allocation Proforma'!I703+'Allocation Proforma'!I704+'Allocation Proforma'!I705))</f>
        <v>-479850.86603249027</v>
      </c>
      <c r="F46" s="348">
        <f>(F14/($D$14)*-('Allocation Proforma'!I702+'Allocation Proforma'!I703+'Allocation Proforma'!I704+'Allocation Proforma'!I705))</f>
        <v>-16271.444457939666</v>
      </c>
      <c r="G46" s="348">
        <f>(G14/($D$14)*-('Allocation Proforma'!I702+'Allocation Proforma'!I703+'Allocation Proforma'!I704+'Allocation Proforma'!I705))</f>
        <v>-78223.005891676832</v>
      </c>
      <c r="H46" s="348">
        <f>(H14/($D$14)*-('Allocation Proforma'!I702+'Allocation Proforma'!I703+'Allocation Proforma'!I704+'Allocation Proforma'!I705))</f>
        <v>-103854.20382988316</v>
      </c>
      <c r="I46" s="348">
        <f>(I14/($D$14)*-('Allocation Proforma'!I702+'Allocation Proforma'!I703+'Allocation Proforma'!I704+'Allocation Proforma'!I705))</f>
        <v>-108145.02326679302</v>
      </c>
      <c r="J46" s="348">
        <f>(J14/($D$14)*-('Allocation Proforma'!I702+'Allocation Proforma'!I703+'Allocation Proforma'!I704+'Allocation Proforma'!I705))</f>
        <v>-1811.7457330365453</v>
      </c>
      <c r="K46" s="269">
        <f>SUM(E46:J46)</f>
        <v>-788156.28921181941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-5921663.4980421867</v>
      </c>
      <c r="E47" s="142">
        <f>SUM(E43:E46)</f>
        <v>-561283.62675445946</v>
      </c>
      <c r="F47" s="142">
        <f t="shared" ref="F47:I47" si="13">SUM(F43:F46)</f>
        <v>-3672472.6126636541</v>
      </c>
      <c r="G47" s="142">
        <f t="shared" si="13"/>
        <v>-1474096.285794361</v>
      </c>
      <c r="H47" s="142">
        <f t="shared" si="13"/>
        <v>-103854.20382988316</v>
      </c>
      <c r="I47" s="142">
        <f t="shared" si="13"/>
        <v>-108145.02326679302</v>
      </c>
      <c r="J47" s="142">
        <f>SUM(J43:J46)</f>
        <v>-1811.7457330365453</v>
      </c>
      <c r="K47" s="269">
        <f>SUM(E47:J47)</f>
        <v>-5921663.4980421877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Proforma'!I926-SUM('Allocation Proforma'!H699:I705)-'Allocation Proforma'!#REF!-'Allocation Proforma'!I920-'Allocation Proforma'!I924</f>
        <v>#REF!</v>
      </c>
      <c r="D49" s="259">
        <f t="shared" ref="D49:J49" si="14">D41+D47</f>
        <v>166908386.98034656</v>
      </c>
      <c r="E49" s="333">
        <f t="shared" si="14"/>
        <v>79552840.81143865</v>
      </c>
      <c r="F49" s="333">
        <f t="shared" si="14"/>
        <v>39834003.315942824</v>
      </c>
      <c r="G49" s="333">
        <f t="shared" si="14"/>
        <v>10730822.77666272</v>
      </c>
      <c r="H49" s="333">
        <f t="shared" si="14"/>
        <v>14438504.710708158</v>
      </c>
      <c r="I49" s="333">
        <f t="shared" si="14"/>
        <v>17752324.576937675</v>
      </c>
      <c r="J49" s="333">
        <f t="shared" si="14"/>
        <v>4599890.7886565728</v>
      </c>
      <c r="K49" s="269">
        <f>SUM(E49:J49)</f>
        <v>166908386.98034659</v>
      </c>
      <c r="L49" s="200" t="str">
        <f>IF(ABS(K49-D49)&lt;0.01,"ok","err")</f>
        <v>ok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349">
        <v>283163</v>
      </c>
      <c r="F51" s="349">
        <f>'Allocation Proforma'!I964</f>
        <v>1197088880</v>
      </c>
      <c r="G51" s="349">
        <f>E51</f>
        <v>283163</v>
      </c>
      <c r="H51" s="349">
        <f>E51</f>
        <v>283163</v>
      </c>
      <c r="I51" s="349">
        <f>'Allocation Proforma'!$I$980*12</f>
        <v>543984</v>
      </c>
      <c r="J51" s="349">
        <f>'Allocation Proforma'!$I$980*12</f>
        <v>543984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>
        <f t="shared" ref="E53:J53" si="15">E49/E51</f>
        <v>280.94362897496723</v>
      </c>
      <c r="F53" s="350">
        <f t="shared" si="15"/>
        <v>3.3275727459721141E-2</v>
      </c>
      <c r="G53" s="351">
        <f t="shared" si="15"/>
        <v>37.896274501480491</v>
      </c>
      <c r="H53" s="351">
        <f t="shared" si="15"/>
        <v>50.990082428524062</v>
      </c>
      <c r="I53" s="351">
        <f t="shared" si="15"/>
        <v>32.633909410823989</v>
      </c>
      <c r="J53" s="351">
        <f t="shared" si="15"/>
        <v>8.4559303006275428</v>
      </c>
      <c r="K53" s="362">
        <f>I53+J53</f>
        <v>41.089839711451532</v>
      </c>
      <c r="L53" s="212"/>
    </row>
    <row r="55" spans="1:12">
      <c r="D55" s="246"/>
      <c r="F55" s="291"/>
      <c r="J55" s="345" t="s">
        <v>1224</v>
      </c>
      <c r="K55" s="214">
        <f>I53+J53</f>
        <v>41.089839711451532</v>
      </c>
      <c r="L55" s="214">
        <f>ROUND(K55/30.5,2)</f>
        <v>1.35</v>
      </c>
    </row>
    <row r="56" spans="1:12">
      <c r="D56" s="246"/>
      <c r="I56" s="19"/>
      <c r="J56" s="345" t="s">
        <v>1242</v>
      </c>
      <c r="K56" s="3">
        <f>E53+G53+H53</f>
        <v>369.82998590497175</v>
      </c>
    </row>
    <row r="57" spans="1:12">
      <c r="J57" s="345" t="s">
        <v>1243</v>
      </c>
      <c r="K57" s="8">
        <f>F53</f>
        <v>3.3275727459721141E-2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12"/>
    </row>
    <row r="61" spans="1:12">
      <c r="J61" s="338"/>
      <c r="K61" s="3"/>
    </row>
    <row r="65" spans="5:5">
      <c r="E65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N69"/>
  <sheetViews>
    <sheetView view="pageBreakPreview" topLeftCell="A10" zoomScale="80" zoomScaleNormal="80" zoomScaleSheetLayoutView="80" workbookViewId="0">
      <selection activeCell="F28" sqref="F28"/>
    </sheetView>
  </sheetViews>
  <sheetFormatPr defaultRowHeight="14.1"/>
  <cols>
    <col min="1" max="1" width="4.578125" customWidth="1"/>
    <col min="2" max="2" width="41.15625" bestFit="1" customWidth="1"/>
    <col min="3" max="3" width="30.68359375" hidden="1" customWidth="1"/>
    <col min="4" max="4" width="28.26171875" customWidth="1"/>
    <col min="5" max="5" width="22.578125" bestFit="1" customWidth="1"/>
    <col min="6" max="6" width="20.578125" customWidth="1"/>
    <col min="7" max="8" width="22.578125" bestFit="1" customWidth="1"/>
    <col min="9" max="9" width="24.68359375" bestFit="1" customWidth="1"/>
    <col min="10" max="10" width="37" bestFit="1" customWidth="1"/>
    <col min="11" max="11" width="21.41796875" customWidth="1"/>
    <col min="12" max="12" width="17.83984375" customWidth="1"/>
  </cols>
  <sheetData>
    <row r="1" spans="1:14" ht="15">
      <c r="A1" s="472" t="s">
        <v>597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22"/>
      <c r="M1" s="222"/>
      <c r="N1" s="222"/>
    </row>
    <row r="2" spans="1:14" ht="15">
      <c r="A2" s="346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8"/>
      <c r="M2" s="178"/>
      <c r="N2" s="178"/>
    </row>
    <row r="3" spans="1:14" ht="15">
      <c r="A3" s="472" t="s">
        <v>1101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222"/>
      <c r="M3" s="222"/>
      <c r="N3" s="222"/>
    </row>
    <row r="4" spans="1:14" ht="15">
      <c r="A4" s="472" t="s">
        <v>1393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222"/>
      <c r="M4" s="222"/>
      <c r="N4" s="222"/>
    </row>
    <row r="5" spans="1:14" ht="15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0"/>
      <c r="M5" s="20"/>
      <c r="N5" s="20"/>
    </row>
    <row r="6" spans="1:14" ht="15">
      <c r="A6" s="472" t="s">
        <v>1212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222"/>
      <c r="M6" s="222"/>
      <c r="N6" s="222"/>
    </row>
    <row r="8" spans="1:14" ht="14.4" thickBot="1"/>
    <row r="9" spans="1:14" ht="14.4" thickBot="1">
      <c r="A9" s="180"/>
      <c r="B9" s="181"/>
      <c r="C9" s="182"/>
      <c r="D9" s="180"/>
      <c r="E9" s="473" t="s">
        <v>681</v>
      </c>
      <c r="F9" s="474"/>
      <c r="G9" s="183" t="s">
        <v>1054</v>
      </c>
      <c r="H9" s="473" t="s">
        <v>862</v>
      </c>
      <c r="I9" s="474"/>
      <c r="J9" s="340" t="s">
        <v>1103</v>
      </c>
      <c r="K9" s="182"/>
      <c r="L9" s="253"/>
    </row>
    <row r="10" spans="1:14">
      <c r="A10" s="185"/>
      <c r="B10" s="186"/>
      <c r="C10" s="187"/>
      <c r="D10" s="187"/>
      <c r="E10" s="182"/>
      <c r="F10" s="182"/>
      <c r="G10" s="182"/>
      <c r="H10" s="182"/>
      <c r="I10" s="182"/>
      <c r="J10" s="180"/>
      <c r="K10" s="187"/>
      <c r="L10" s="254"/>
    </row>
    <row r="11" spans="1:14">
      <c r="A11" s="185"/>
      <c r="B11" s="186"/>
      <c r="C11" s="187"/>
      <c r="D11" s="187"/>
      <c r="E11" s="187"/>
      <c r="F11" s="187"/>
      <c r="G11" s="187"/>
      <c r="H11" s="187"/>
      <c r="I11" s="187"/>
      <c r="J11" s="185"/>
      <c r="K11" s="187"/>
      <c r="L11" s="254"/>
    </row>
    <row r="12" spans="1:14" ht="14.4" thickBot="1">
      <c r="A12" s="189"/>
      <c r="B12" s="255" t="s">
        <v>849</v>
      </c>
      <c r="C12" s="256" t="s">
        <v>1104</v>
      </c>
      <c r="D12" s="256" t="s">
        <v>1159</v>
      </c>
      <c r="E12" s="190" t="s">
        <v>1105</v>
      </c>
      <c r="F12" s="190" t="s">
        <v>1106</v>
      </c>
      <c r="G12" s="190" t="s">
        <v>1105</v>
      </c>
      <c r="H12" s="190" t="s">
        <v>1105</v>
      </c>
      <c r="I12" s="190" t="s">
        <v>1107</v>
      </c>
      <c r="J12" s="271" t="s">
        <v>1107</v>
      </c>
      <c r="K12" s="191" t="s">
        <v>846</v>
      </c>
      <c r="L12" s="191" t="s">
        <v>1108</v>
      </c>
    </row>
    <row r="13" spans="1:14">
      <c r="A13" s="192"/>
      <c r="B13" s="193"/>
      <c r="C13" s="194"/>
      <c r="D13" s="195"/>
      <c r="E13" s="196"/>
      <c r="F13" s="196"/>
      <c r="G13" s="196"/>
      <c r="H13" s="196"/>
      <c r="I13" s="196"/>
      <c r="J13" s="196"/>
      <c r="K13" s="184"/>
      <c r="L13" s="188"/>
    </row>
    <row r="14" spans="1:14">
      <c r="A14" s="197" t="s">
        <v>1109</v>
      </c>
      <c r="B14" s="198" t="s">
        <v>889</v>
      </c>
      <c r="C14" s="199"/>
      <c r="D14" s="259">
        <f>'Allocation Proforma'!L176</f>
        <v>335231274.66265321</v>
      </c>
      <c r="E14" s="333">
        <f>'Allocation Proforma'!L125+'Allocation Proforma'!L126+'Allocation Proforma'!L127</f>
        <v>247146897.23319376</v>
      </c>
      <c r="F14" s="333">
        <f>'Allocation Proforma'!L128</f>
        <v>13568786.402307633</v>
      </c>
      <c r="G14" s="333">
        <f>'Allocation Proforma'!L137</f>
        <v>37357346.100473687</v>
      </c>
      <c r="H14" s="333">
        <f>'Allocation Proforma'!L147+'Allocation Proforma'!L149+'Allocation Proforma'!L154+'Allocation Proforma'!L143</f>
        <v>36632352.94602716</v>
      </c>
      <c r="I14" s="333">
        <f>'Allocation Proforma'!L148+'Allocation Proforma'!L150+'Allocation Proforma'!L155+'Allocation Proforma'!L159+'Allocation Proforma'!L162+'Allocation Proforma'!L165</f>
        <v>495674.45997575624</v>
      </c>
      <c r="J14" s="333">
        <f>'Allocation Proforma'!L168+'Allocation Proforma'!L171</f>
        <v>30217.520675222408</v>
      </c>
      <c r="K14" s="269">
        <f>SUM(E14:J14)</f>
        <v>335231274.66265327</v>
      </c>
      <c r="L14" s="200" t="str">
        <f>IF(ABS(K14-D14)&lt;0.01,"ok","err")</f>
        <v>ok</v>
      </c>
    </row>
    <row r="15" spans="1:14">
      <c r="A15" s="201" t="s">
        <v>1110</v>
      </c>
      <c r="B15" s="206" t="s">
        <v>1111</v>
      </c>
      <c r="C15" s="199"/>
      <c r="D15" s="259">
        <v>0</v>
      </c>
      <c r="E15" s="333">
        <f t="shared" ref="E15:J15" si="0">(E14/$D$14)*$D$15</f>
        <v>0</v>
      </c>
      <c r="F15" s="333">
        <f t="shared" si="0"/>
        <v>0</v>
      </c>
      <c r="G15" s="333">
        <f t="shared" si="0"/>
        <v>0</v>
      </c>
      <c r="H15" s="333">
        <f t="shared" si="0"/>
        <v>0</v>
      </c>
      <c r="I15" s="333">
        <f t="shared" si="0"/>
        <v>0</v>
      </c>
      <c r="J15" s="333">
        <f t="shared" si="0"/>
        <v>0</v>
      </c>
      <c r="K15" s="269">
        <f>SUM(E15:J15)</f>
        <v>0</v>
      </c>
      <c r="L15" s="200" t="str">
        <f>IF(ABS(K15-D15)&lt;0.01,"ok","err")</f>
        <v>ok</v>
      </c>
    </row>
    <row r="16" spans="1:14">
      <c r="A16" s="201" t="s">
        <v>1112</v>
      </c>
      <c r="B16" s="225" t="s">
        <v>1113</v>
      </c>
      <c r="C16" s="199"/>
      <c r="D16" s="259">
        <f>D14+D15</f>
        <v>335231274.66265321</v>
      </c>
      <c r="E16" s="333">
        <f t="shared" ref="E16:K16" si="1">E14+E15</f>
        <v>247146897.23319376</v>
      </c>
      <c r="F16" s="333">
        <f t="shared" si="1"/>
        <v>13568786.402307633</v>
      </c>
      <c r="G16" s="333">
        <f t="shared" si="1"/>
        <v>37357346.100473687</v>
      </c>
      <c r="H16" s="333">
        <f t="shared" si="1"/>
        <v>36632352.94602716</v>
      </c>
      <c r="I16" s="333">
        <f t="shared" si="1"/>
        <v>495674.45997575624</v>
      </c>
      <c r="J16" s="333">
        <f t="shared" si="1"/>
        <v>30217.520675222408</v>
      </c>
      <c r="K16" s="269">
        <f t="shared" si="1"/>
        <v>335231274.66265327</v>
      </c>
      <c r="L16" s="200" t="str">
        <f>IF(ABS(K16-D16)&lt;0.01,"ok","err")</f>
        <v>ok</v>
      </c>
    </row>
    <row r="17" spans="1:12">
      <c r="A17" s="201"/>
      <c r="B17" s="202"/>
      <c r="C17" s="203"/>
      <c r="D17" s="353"/>
      <c r="E17" s="69"/>
      <c r="F17" s="69"/>
      <c r="G17" s="69"/>
      <c r="H17" s="69"/>
      <c r="I17" s="69"/>
      <c r="J17" s="69"/>
      <c r="K17" s="269"/>
      <c r="L17" s="204"/>
    </row>
    <row r="18" spans="1:12">
      <c r="A18" s="201" t="s">
        <v>1114</v>
      </c>
      <c r="B18" s="198" t="s">
        <v>1044</v>
      </c>
      <c r="C18" s="199"/>
      <c r="D18" s="334">
        <f>'Allocation Proforma'!L946</f>
        <v>9.6946454864449846E-2</v>
      </c>
      <c r="E18" s="335">
        <f t="shared" ref="E18:J18" si="2">D18</f>
        <v>9.6946454864449846E-2</v>
      </c>
      <c r="F18" s="335">
        <f t="shared" si="2"/>
        <v>9.6946454864449846E-2</v>
      </c>
      <c r="G18" s="335">
        <f t="shared" si="2"/>
        <v>9.6946454864449846E-2</v>
      </c>
      <c r="H18" s="335">
        <f t="shared" si="2"/>
        <v>9.6946454864449846E-2</v>
      </c>
      <c r="I18" s="335">
        <f t="shared" si="2"/>
        <v>9.6946454864449846E-2</v>
      </c>
      <c r="J18" s="335">
        <f t="shared" si="2"/>
        <v>9.6946454864449846E-2</v>
      </c>
      <c r="K18" s="269"/>
      <c r="L18" s="200"/>
    </row>
    <row r="19" spans="1:12">
      <c r="A19" s="205"/>
      <c r="B19" s="198"/>
      <c r="C19" s="203"/>
      <c r="D19" s="353"/>
      <c r="E19" s="69"/>
      <c r="F19" s="69"/>
      <c r="G19" s="69"/>
      <c r="H19" s="69"/>
      <c r="I19" s="69"/>
      <c r="J19" s="69"/>
      <c r="K19" s="269"/>
      <c r="L19" s="204"/>
    </row>
    <row r="20" spans="1:12">
      <c r="A20" s="201" t="s">
        <v>1115</v>
      </c>
      <c r="B20" s="198" t="s">
        <v>1116</v>
      </c>
      <c r="C20" s="199"/>
      <c r="D20" s="259">
        <f>D18*D16</f>
        <v>32499483.638234898</v>
      </c>
      <c r="E20" s="352">
        <f t="shared" ref="E20:J20" si="3">E18*E16</f>
        <v>23960015.517506644</v>
      </c>
      <c r="F20" s="352">
        <f t="shared" si="3"/>
        <v>1315445.7385166779</v>
      </c>
      <c r="G20" s="352">
        <f t="shared" si="3"/>
        <v>3621662.267585204</v>
      </c>
      <c r="H20" s="352">
        <f t="shared" si="3"/>
        <v>3551376.7514606183</v>
      </c>
      <c r="I20" s="352">
        <f t="shared" si="3"/>
        <v>48053.881661500207</v>
      </c>
      <c r="J20" s="352">
        <f t="shared" si="3"/>
        <v>2929.481504256029</v>
      </c>
      <c r="K20" s="269">
        <f>SUM(E20:J20)</f>
        <v>32499483.638234902</v>
      </c>
      <c r="L20" s="200" t="str">
        <f>IF(ABS(K20-D20)&lt;0.01,"ok","err")</f>
        <v>ok</v>
      </c>
    </row>
    <row r="21" spans="1:12">
      <c r="A21" s="205"/>
      <c r="B21" s="198"/>
      <c r="C21" s="203"/>
      <c r="D21" s="353"/>
      <c r="E21" s="69"/>
      <c r="F21" s="69"/>
      <c r="G21" s="69"/>
      <c r="H21" s="69"/>
      <c r="I21" s="69"/>
      <c r="J21" s="69"/>
      <c r="K21" s="269"/>
      <c r="L21" s="204"/>
    </row>
    <row r="22" spans="1:12">
      <c r="A22" s="201" t="s">
        <v>1117</v>
      </c>
      <c r="B22" s="198" t="s">
        <v>764</v>
      </c>
      <c r="C22" s="199"/>
      <c r="D22" s="259">
        <f>'Allocation Proforma'!L738</f>
        <v>7238009.6830848549</v>
      </c>
      <c r="E22" s="352">
        <f t="shared" ref="E22:J22" si="4">(E14/$D$14)*$D$22</f>
        <v>5336171.6836186433</v>
      </c>
      <c r="F22" s="352">
        <f t="shared" si="4"/>
        <v>292964.93134909187</v>
      </c>
      <c r="G22" s="352">
        <f t="shared" si="4"/>
        <v>806585.94005490676</v>
      </c>
      <c r="H22" s="352">
        <f t="shared" si="4"/>
        <v>790932.54531321744</v>
      </c>
      <c r="I22" s="352">
        <f t="shared" si="4"/>
        <v>10702.153444879857</v>
      </c>
      <c r="J22" s="352">
        <f t="shared" si="4"/>
        <v>652.42930411600628</v>
      </c>
      <c r="K22" s="269">
        <f>SUM(E22:J22)</f>
        <v>7238009.6830848558</v>
      </c>
      <c r="L22" s="200" t="str">
        <f>IF(ABS(K22-D22)&lt;0.01,"ok","err")</f>
        <v>ok</v>
      </c>
    </row>
    <row r="23" spans="1:12">
      <c r="A23" s="205"/>
      <c r="B23" s="198"/>
      <c r="C23" s="203"/>
      <c r="D23" s="353"/>
      <c r="E23" s="69"/>
      <c r="F23" s="69"/>
      <c r="G23" s="69"/>
      <c r="H23" s="69"/>
      <c r="I23" s="69"/>
      <c r="J23" s="69"/>
      <c r="K23" s="269"/>
      <c r="L23" s="204"/>
    </row>
    <row r="24" spans="1:12">
      <c r="A24" s="201" t="s">
        <v>1118</v>
      </c>
      <c r="B24" s="198" t="s">
        <v>1119</v>
      </c>
      <c r="C24" s="199"/>
      <c r="D24" s="259">
        <f>D20-D22</f>
        <v>25261473.955150045</v>
      </c>
      <c r="E24" s="352">
        <f t="shared" ref="E24:J24" si="5">E20-E22</f>
        <v>18623843.833888002</v>
      </c>
      <c r="F24" s="352">
        <f t="shared" si="5"/>
        <v>1022480.8071675859</v>
      </c>
      <c r="G24" s="352">
        <f t="shared" si="5"/>
        <v>2815076.3275302975</v>
      </c>
      <c r="H24" s="352">
        <f t="shared" si="5"/>
        <v>2760444.2061474007</v>
      </c>
      <c r="I24" s="352">
        <f t="shared" si="5"/>
        <v>37351.728216620351</v>
      </c>
      <c r="J24" s="352">
        <f t="shared" si="5"/>
        <v>2277.0522001400227</v>
      </c>
      <c r="K24" s="269">
        <f>SUM(E24:J24)</f>
        <v>25261473.955150049</v>
      </c>
      <c r="L24" s="200" t="str">
        <f>IF(ABS(K24-D24)&lt;0.01,"ok","err")</f>
        <v>ok</v>
      </c>
    </row>
    <row r="25" spans="1:12">
      <c r="A25" s="205"/>
      <c r="B25" s="198"/>
      <c r="C25" s="203"/>
      <c r="D25" s="353"/>
      <c r="E25" s="69"/>
      <c r="F25" s="69"/>
      <c r="G25" s="69"/>
      <c r="H25" s="69"/>
      <c r="I25" s="69"/>
      <c r="J25" s="69"/>
      <c r="K25" s="269"/>
      <c r="L25" s="204"/>
    </row>
    <row r="26" spans="1:12">
      <c r="A26" s="201" t="s">
        <v>1120</v>
      </c>
      <c r="B26" s="198" t="s">
        <v>1121</v>
      </c>
      <c r="C26" s="203"/>
      <c r="D26" s="259">
        <f>'Allocation Proforma'!L767+'Allocation Proforma'!L937</f>
        <v>5424530.2396460008</v>
      </c>
      <c r="E26" s="352">
        <f t="shared" ref="E26:J26" si="6">$D$26*(E24/$K$24)</f>
        <v>3999196.7307503098</v>
      </c>
      <c r="F26" s="352">
        <f t="shared" si="6"/>
        <v>219562.72495364281</v>
      </c>
      <c r="G26" s="352">
        <f t="shared" si="6"/>
        <v>604496.26544798363</v>
      </c>
      <c r="H26" s="352">
        <f t="shared" si="6"/>
        <v>592764.82036193321</v>
      </c>
      <c r="I26" s="352">
        <f t="shared" si="6"/>
        <v>8020.7346401807536</v>
      </c>
      <c r="J26" s="352">
        <f t="shared" si="6"/>
        <v>488.96349194991552</v>
      </c>
      <c r="K26" s="269">
        <f>SUM(E26:J26)</f>
        <v>5424530.2396460008</v>
      </c>
      <c r="L26" s="200" t="str">
        <f>IF(ABS(K26-D26)&lt;0.01,"ok","err")</f>
        <v>ok</v>
      </c>
    </row>
    <row r="27" spans="1:12">
      <c r="A27" s="205"/>
      <c r="B27" s="198"/>
      <c r="C27" s="203"/>
      <c r="D27" s="353"/>
      <c r="E27" s="69"/>
      <c r="F27" s="69"/>
      <c r="G27" s="69"/>
      <c r="H27" s="69"/>
      <c r="I27" s="69"/>
      <c r="J27" s="69"/>
      <c r="K27" s="269"/>
      <c r="L27" s="204"/>
    </row>
    <row r="28" spans="1:12">
      <c r="A28" s="201" t="s">
        <v>1122</v>
      </c>
      <c r="B28" s="198" t="s">
        <v>899</v>
      </c>
      <c r="C28" s="199"/>
      <c r="D28" s="259">
        <f>'Allocation Proforma'!L758</f>
        <v>89077922.490978703</v>
      </c>
      <c r="E28" s="352">
        <f>'Allocation Proforma'!L182+'Allocation Proforma'!L183+'Allocation Proforma'!L184</f>
        <v>13776479.179497808</v>
      </c>
      <c r="F28" s="352">
        <f>'Allocation Proforma'!L185</f>
        <v>68825160.332896098</v>
      </c>
      <c r="G28" s="352">
        <f>'Allocation Proforma'!L194</f>
        <v>3711846.5116386511</v>
      </c>
      <c r="H28" s="352">
        <f>'Allocation Proforma'!L200+'Allocation Proforma'!L204+'Allocation Proforma'!L206+'Allocation Proforma'!L211</f>
        <v>2419846.4583650865</v>
      </c>
      <c r="I28" s="352">
        <f>'Allocation Proforma'!L205+'Allocation Proforma'!L207+'Allocation Proforma'!L212+'Allocation Proforma'!L216+'Allocation Proforma'!L219</f>
        <v>199645.42532075944</v>
      </c>
      <c r="J28" s="352">
        <f>'Allocation Proforma'!L225+'Allocation Proforma'!L228</f>
        <v>144944.58326029649</v>
      </c>
      <c r="K28" s="269">
        <f t="shared" ref="K28:K39" si="7">SUM(E28:J28)</f>
        <v>89077922.490978703</v>
      </c>
      <c r="L28" s="200" t="str">
        <f>IF(ABS(K28-D28)&lt;0.01,"ok","err")</f>
        <v>ok</v>
      </c>
    </row>
    <row r="29" spans="1:12">
      <c r="A29" s="201" t="s">
        <v>1123</v>
      </c>
      <c r="B29" s="198" t="s">
        <v>995</v>
      </c>
      <c r="C29" s="199"/>
      <c r="D29" s="336">
        <f>'Allocation Proforma'!L759</f>
        <v>29564727.853097949</v>
      </c>
      <c r="E29" s="348">
        <f>'Allocation Proforma'!L302</f>
        <v>26182978.603174038</v>
      </c>
      <c r="F29" s="348">
        <v>0</v>
      </c>
      <c r="G29" s="348">
        <f>'Allocation Proforma'!L308</f>
        <v>1569538.1080841322</v>
      </c>
      <c r="H29" s="348">
        <f>'Allocation Proforma'!L314+'Allocation Proforma'!L318+'Allocation Proforma'!L320+'Allocation Proforma'!L325</f>
        <v>1791335.2134239431</v>
      </c>
      <c r="I29" s="348">
        <f>'Allocation Proforma'!L319+'Allocation Proforma'!L321+'Allocation Proforma'!L326+'Allocation Proforma'!L330+'Allocation Proforma'!L333</f>
        <v>20875.928415836788</v>
      </c>
      <c r="J29" s="348">
        <v>0</v>
      </c>
      <c r="K29" s="269">
        <f t="shared" si="7"/>
        <v>29564727.853097949</v>
      </c>
      <c r="L29" s="200" t="str">
        <f>IF(ABS(K29-D29)&lt;0.01,"ok","err")</f>
        <v>ok</v>
      </c>
    </row>
    <row r="30" spans="1:12">
      <c r="A30" s="201" t="s">
        <v>1124</v>
      </c>
      <c r="B30" s="198" t="s">
        <v>1125</v>
      </c>
      <c r="C30" s="199"/>
      <c r="D30" s="336">
        <f>'Allocation Proforma'!L764+'Allocation Proforma'!L765</f>
        <v>3975598.3731865985</v>
      </c>
      <c r="E30" s="348">
        <f>'Allocation Proforma'!L417+'Allocation Proforma'!L474+'Allocation Proforma'!L359+'Allocation Proforma'!L531+'Allocation Proforma'!L589</f>
        <v>3099833.5160428542</v>
      </c>
      <c r="F30" s="348">
        <f>'Allocation Proforma'!L356+'Allocation Proforma'!L357+'Allocation Proforma'!L358+'Allocation Proforma'!L414+'Allocation Proforma'!L415+'Allocation Proforma'!L416+'Allocation Proforma'!L471+'Allocation Proforma'!L472+'Allocation Proforma'!L473+'Allocation Proforma'!L528+'Allocation Proforma'!L529+'Allocation Proforma'!L530+'Allocation Proforma'!L586+'Allocation Proforma'!L587+'Allocation Proforma'!L588</f>
        <v>0</v>
      </c>
      <c r="G30" s="348">
        <f>'Allocation Proforma'!L365+'Allocation Proforma'!L423+'Allocation Proforma'!L480+'Allocation Proforma'!L537+'Allocation Proforma'!L595</f>
        <v>429480.56494396389</v>
      </c>
      <c r="H30" s="348">
        <f>'Allocation Proforma'!L371+'Allocation Proforma'!L375+'Allocation Proforma'!L377+'Allocation Proforma'!L382+'Allocation Proforma'!L429+'Allocation Proforma'!L433+'Allocation Proforma'!L435+'Allocation Proforma'!L440+'Allocation Proforma'!L486+'Allocation Proforma'!L490+'Allocation Proforma'!L492+'Allocation Proforma'!L497+'Allocation Proforma'!L543+'Allocation Proforma'!L547+'Allocation Proforma'!L549+'Allocation Proforma'!L554+'Allocation Proforma'!L601+'Allocation Proforma'!L605+'Allocation Proforma'!L607+'Allocation Proforma'!L612</f>
        <v>441118.24660026032</v>
      </c>
      <c r="I30" s="348">
        <f>'Allocation Proforma'!L376+'Allocation Proforma'!L378+'Allocation Proforma'!L383+'Allocation Proforma'!L387+'Allocation Proforma'!L391+'Allocation Proforma'!L434+'Allocation Proforma'!L436+'Allocation Proforma'!L441+'Allocation Proforma'!L445+'Allocation Proforma'!L448+'Allocation Proforma'!L491+'Allocation Proforma'!L493+'Allocation Proforma'!L498+'Allocation Proforma'!L502+'Allocation Proforma'!L505+'Allocation Proforma'!L548+'Allocation Proforma'!L550+'Allocation Proforma'!L555+'Allocation Proforma'!L559+'Allocation Proforma'!L562+'Allocation Proforma'!L606+'Allocation Proforma'!L608+'Allocation Proforma'!L613+'Allocation Proforma'!L617+'Allocation Proforma'!L620</f>
        <v>5166.0455995201492</v>
      </c>
      <c r="J30" s="348">
        <v>0</v>
      </c>
      <c r="K30" s="269">
        <f t="shared" si="7"/>
        <v>3975598.373186599</v>
      </c>
      <c r="L30" s="200" t="str">
        <f>IF(ABS(K30-D30)&lt;0.01,"ok","err")</f>
        <v>ok</v>
      </c>
    </row>
    <row r="31" spans="1:12">
      <c r="A31" s="201" t="s">
        <v>1126</v>
      </c>
      <c r="B31" s="206" t="s">
        <v>1377</v>
      </c>
      <c r="C31" s="199"/>
      <c r="D31" s="337">
        <f>'Allocation Proforma'!L771</f>
        <v>-70544.186457822492</v>
      </c>
      <c r="E31" s="348">
        <f t="shared" ref="E31:J31" si="8">$D$31*(E14/$K$14)</f>
        <v>-52008.204838392579</v>
      </c>
      <c r="F31" s="348">
        <f t="shared" si="8"/>
        <v>-2855.3391951093927</v>
      </c>
      <c r="G31" s="348">
        <f t="shared" si="8"/>
        <v>-7861.2700784949066</v>
      </c>
      <c r="H31" s="348">
        <f t="shared" si="8"/>
        <v>-7708.7065913340275</v>
      </c>
      <c r="I31" s="348">
        <f t="shared" si="8"/>
        <v>-104.30694917142749</v>
      </c>
      <c r="J31" s="348">
        <f t="shared" si="8"/>
        <v>-6.358805320151343</v>
      </c>
      <c r="K31" s="269">
        <f t="shared" si="7"/>
        <v>-70544.186457822492</v>
      </c>
      <c r="L31" s="200" t="str">
        <f>IF(ABS(K31-D31)&lt;0.01,"ok","err")</f>
        <v>ok</v>
      </c>
    </row>
    <row r="32" spans="1:12">
      <c r="A32" s="201" t="s">
        <v>1127</v>
      </c>
      <c r="B32" s="206" t="s">
        <v>1128</v>
      </c>
      <c r="C32" s="199"/>
      <c r="D32" s="337">
        <v>0</v>
      </c>
      <c r="E32" s="348">
        <f>D32</f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269">
        <f t="shared" si="7"/>
        <v>0</v>
      </c>
      <c r="L32" s="200" t="str">
        <f t="shared" ref="L32:L39" si="9">IF(ABS(K32-D32)&lt;0.01,"ok","err")</f>
        <v>ok</v>
      </c>
    </row>
    <row r="33" spans="1:12">
      <c r="A33" s="201" t="s">
        <v>1129</v>
      </c>
      <c r="B33" s="206" t="s">
        <v>1130</v>
      </c>
      <c r="C33" s="199"/>
      <c r="D33" s="337">
        <v>0</v>
      </c>
      <c r="E33" s="348">
        <v>0</v>
      </c>
      <c r="F33" s="348">
        <f>D33</f>
        <v>0</v>
      </c>
      <c r="G33" s="348">
        <v>0</v>
      </c>
      <c r="H33" s="348">
        <v>0</v>
      </c>
      <c r="I33" s="348">
        <v>0</v>
      </c>
      <c r="J33" s="348">
        <v>0</v>
      </c>
      <c r="K33" s="269">
        <f t="shared" si="7"/>
        <v>0</v>
      </c>
      <c r="L33" s="200" t="str">
        <f t="shared" si="9"/>
        <v>ok</v>
      </c>
    </row>
    <row r="34" spans="1:12">
      <c r="A34" s="201" t="s">
        <v>1131</v>
      </c>
      <c r="B34" s="198" t="s">
        <v>1132</v>
      </c>
      <c r="C34" s="199"/>
      <c r="D34" s="337">
        <v>0</v>
      </c>
      <c r="E34" s="348">
        <v>0</v>
      </c>
      <c r="F34" s="348">
        <v>0</v>
      </c>
      <c r="G34" s="348">
        <f>D34</f>
        <v>0</v>
      </c>
      <c r="H34" s="348">
        <v>0</v>
      </c>
      <c r="I34" s="348">
        <v>0</v>
      </c>
      <c r="J34" s="348">
        <v>0</v>
      </c>
      <c r="K34" s="269">
        <f t="shared" si="7"/>
        <v>0</v>
      </c>
      <c r="L34" s="200" t="str">
        <f t="shared" si="9"/>
        <v>ok</v>
      </c>
    </row>
    <row r="35" spans="1:12">
      <c r="A35" s="201" t="s">
        <v>1133</v>
      </c>
      <c r="B35" s="198" t="s">
        <v>1134</v>
      </c>
      <c r="C35" s="199"/>
      <c r="D35" s="337">
        <v>0</v>
      </c>
      <c r="E35" s="348">
        <v>0</v>
      </c>
      <c r="F35" s="348">
        <v>0</v>
      </c>
      <c r="G35" s="348">
        <v>0</v>
      </c>
      <c r="H35" s="348">
        <f>(H14/($I$14+$H$14)*$D$35)</f>
        <v>0</v>
      </c>
      <c r="I35" s="348">
        <f>(I14/($I$14+$H$14)*$D$35)</f>
        <v>0</v>
      </c>
      <c r="J35" s="348">
        <v>0</v>
      </c>
      <c r="K35" s="269">
        <f t="shared" si="7"/>
        <v>0</v>
      </c>
      <c r="L35" s="200" t="str">
        <f t="shared" si="9"/>
        <v>ok</v>
      </c>
    </row>
    <row r="36" spans="1:12">
      <c r="A36" s="207" t="s">
        <v>1135</v>
      </c>
      <c r="B36" s="198" t="s">
        <v>1136</v>
      </c>
      <c r="C36" s="199"/>
      <c r="D36" s="336">
        <f>'Allocation Proforma'!L934+'Allocation Proforma'!L935</f>
        <v>62503.234349140374</v>
      </c>
      <c r="E36" s="348">
        <f t="shared" ref="E36:J36" si="10">(E14/($D$14)*$D$36)</f>
        <v>46080.069504177933</v>
      </c>
      <c r="F36" s="348">
        <f t="shared" si="10"/>
        <v>2529.8744491852926</v>
      </c>
      <c r="G36" s="348">
        <f t="shared" si="10"/>
        <v>6965.2062157074752</v>
      </c>
      <c r="H36" s="348">
        <f t="shared" si="10"/>
        <v>6830.0326192717193</v>
      </c>
      <c r="I36" s="348">
        <f t="shared" si="10"/>
        <v>92.417561469839171</v>
      </c>
      <c r="J36" s="348">
        <f t="shared" si="10"/>
        <v>5.6339993281176772</v>
      </c>
      <c r="K36" s="269">
        <f t="shared" si="7"/>
        <v>62503.234349140374</v>
      </c>
      <c r="L36" s="200" t="str">
        <f t="shared" si="9"/>
        <v>ok</v>
      </c>
    </row>
    <row r="37" spans="1:12">
      <c r="A37" s="207" t="s">
        <v>1137</v>
      </c>
      <c r="B37" s="198" t="s">
        <v>1235</v>
      </c>
      <c r="C37" s="342"/>
      <c r="D37" s="336">
        <v>0</v>
      </c>
      <c r="E37" s="348">
        <f>D37</f>
        <v>0</v>
      </c>
      <c r="F37" s="348">
        <v>0</v>
      </c>
      <c r="G37" s="348">
        <v>0</v>
      </c>
      <c r="H37" s="348">
        <v>0</v>
      </c>
      <c r="I37" s="348">
        <v>0</v>
      </c>
      <c r="J37" s="348">
        <v>0</v>
      </c>
      <c r="K37" s="269">
        <f t="shared" si="7"/>
        <v>0</v>
      </c>
      <c r="L37" s="200" t="str">
        <f t="shared" si="9"/>
        <v>ok</v>
      </c>
    </row>
    <row r="38" spans="1:12">
      <c r="A38" s="201"/>
      <c r="B38" s="198"/>
      <c r="D38" s="259"/>
      <c r="E38" s="352"/>
      <c r="F38" s="352"/>
      <c r="G38" s="352"/>
      <c r="H38" s="352"/>
      <c r="I38" s="352"/>
      <c r="J38" s="352"/>
      <c r="K38" s="269"/>
      <c r="L38" s="200"/>
    </row>
    <row r="39" spans="1:12">
      <c r="A39" s="201" t="s">
        <v>1138</v>
      </c>
      <c r="B39" s="198" t="s">
        <v>1236</v>
      </c>
      <c r="C39" s="199"/>
      <c r="D39" s="259">
        <f t="shared" ref="D39:J39" si="11">SUM(D32:D37)</f>
        <v>62503.234349140374</v>
      </c>
      <c r="E39" s="333">
        <f t="shared" si="11"/>
        <v>46080.069504177933</v>
      </c>
      <c r="F39" s="333">
        <f t="shared" si="11"/>
        <v>2529.8744491852926</v>
      </c>
      <c r="G39" s="333">
        <f t="shared" si="11"/>
        <v>6965.2062157074752</v>
      </c>
      <c r="H39" s="333">
        <f t="shared" si="11"/>
        <v>6830.0326192717193</v>
      </c>
      <c r="I39" s="333">
        <f t="shared" si="11"/>
        <v>92.417561469839171</v>
      </c>
      <c r="J39" s="333">
        <f t="shared" si="11"/>
        <v>5.6339993281176772</v>
      </c>
      <c r="K39" s="269">
        <f t="shared" si="7"/>
        <v>62503.234349140374</v>
      </c>
      <c r="L39" s="200" t="str">
        <f t="shared" si="9"/>
        <v>ok</v>
      </c>
    </row>
    <row r="40" spans="1:12">
      <c r="A40" s="205"/>
      <c r="B40" s="198"/>
      <c r="C40" s="203"/>
      <c r="D40" s="259"/>
      <c r="E40" s="69"/>
      <c r="F40" s="69"/>
      <c r="G40" s="69"/>
      <c r="H40" s="69"/>
      <c r="I40" s="69"/>
      <c r="J40" s="69"/>
      <c r="K40" s="369"/>
      <c r="L40" s="204"/>
    </row>
    <row r="41" spans="1:12">
      <c r="A41" s="201" t="s">
        <v>1140</v>
      </c>
      <c r="B41" s="198" t="s">
        <v>1139</v>
      </c>
      <c r="C41" s="208"/>
      <c r="D41" s="259">
        <f t="shared" ref="D41:J41" si="12">SUM(D28:D31)+D22+D26+D39+D24</f>
        <v>160534221.64303544</v>
      </c>
      <c r="E41" s="352">
        <f t="shared" si="12"/>
        <v>71012575.411637425</v>
      </c>
      <c r="F41" s="352">
        <f t="shared" si="12"/>
        <v>70359843.331620499</v>
      </c>
      <c r="G41" s="352">
        <f t="shared" si="12"/>
        <v>9936127.6538371481</v>
      </c>
      <c r="H41" s="352">
        <f t="shared" si="12"/>
        <v>8795562.816239778</v>
      </c>
      <c r="I41" s="352">
        <f t="shared" si="12"/>
        <v>281750.12625009572</v>
      </c>
      <c r="J41" s="352">
        <f t="shared" si="12"/>
        <v>148362.30345051043</v>
      </c>
      <c r="K41" s="269">
        <f>SUM(E41:J41)</f>
        <v>160534221.64303547</v>
      </c>
      <c r="L41" s="200" t="str">
        <f>IF(ABS(K41-D41)&lt;0.01,"ok","err")</f>
        <v>ok</v>
      </c>
    </row>
    <row r="42" spans="1:12">
      <c r="A42" s="205"/>
      <c r="B42" s="198"/>
      <c r="C42" s="203"/>
      <c r="D42" s="354"/>
      <c r="E42" s="69"/>
      <c r="F42" s="69"/>
      <c r="G42" s="69"/>
      <c r="H42" s="69"/>
      <c r="I42" s="69"/>
      <c r="J42" s="69"/>
      <c r="K42" s="369"/>
      <c r="L42" s="204"/>
    </row>
    <row r="43" spans="1:12">
      <c r="A43" s="201" t="s">
        <v>1141</v>
      </c>
      <c r="B43" s="206" t="s">
        <v>1244</v>
      </c>
      <c r="C43" s="203"/>
      <c r="D43" s="259">
        <f>-'Allocation Proforma'!L700</f>
        <v>-81949.9518745901</v>
      </c>
      <c r="E43" s="294">
        <f>D43</f>
        <v>-81949.9518745901</v>
      </c>
      <c r="F43" s="294"/>
      <c r="G43" s="294"/>
      <c r="H43" s="294"/>
      <c r="I43" s="294"/>
      <c r="J43" s="294"/>
      <c r="K43" s="269">
        <f>SUM(E43:J43)</f>
        <v>-81949.9518745901</v>
      </c>
      <c r="L43" s="200" t="str">
        <f>IF(ABS(K43-D43)&lt;0.01,"ok","err")</f>
        <v>ok</v>
      </c>
    </row>
    <row r="44" spans="1:12">
      <c r="A44" s="201" t="s">
        <v>1143</v>
      </c>
      <c r="B44" s="206" t="s">
        <v>1142</v>
      </c>
      <c r="C44" s="199"/>
      <c r="D44" s="336">
        <f>-'Allocation Proforma'!L698</f>
        <v>-5957247.5283633946</v>
      </c>
      <c r="E44" s="348">
        <v>0</v>
      </c>
      <c r="F44" s="348">
        <f>D44</f>
        <v>-5957247.5283633946</v>
      </c>
      <c r="G44" s="348">
        <v>0</v>
      </c>
      <c r="H44" s="348">
        <v>0</v>
      </c>
      <c r="I44" s="348">
        <v>0</v>
      </c>
      <c r="J44" s="348">
        <v>0</v>
      </c>
      <c r="K44" s="269">
        <f>SUM(E44:J44)</f>
        <v>-5957247.5283633946</v>
      </c>
      <c r="L44" s="200" t="str">
        <f>IF(ABS(K44-D44)&lt;0.01,"ok","err")</f>
        <v>ok</v>
      </c>
    </row>
    <row r="45" spans="1:12">
      <c r="A45" s="201" t="s">
        <v>1145</v>
      </c>
      <c r="B45" s="206" t="s">
        <v>1373</v>
      </c>
      <c r="C45" s="199"/>
      <c r="D45" s="336">
        <f>-'Allocation Proforma'!L699</f>
        <v>-1302531.3176480099</v>
      </c>
      <c r="E45" s="348">
        <v>0</v>
      </c>
      <c r="F45" s="348">
        <v>0</v>
      </c>
      <c r="G45" s="348">
        <f>D45</f>
        <v>-1302531.3176480099</v>
      </c>
      <c r="H45" s="348">
        <v>0</v>
      </c>
      <c r="I45" s="348">
        <v>0</v>
      </c>
      <c r="J45" s="348">
        <v>0</v>
      </c>
      <c r="K45" s="269">
        <f>SUM(E45:J45)</f>
        <v>-1302531.3176480099</v>
      </c>
      <c r="L45" s="200" t="str">
        <f>IF(ABS(K45-D45)&lt;0.01,"ok","err")</f>
        <v>ok</v>
      </c>
    </row>
    <row r="46" spans="1:12">
      <c r="A46" s="201" t="s">
        <v>1147</v>
      </c>
      <c r="B46" s="206" t="s">
        <v>1144</v>
      </c>
      <c r="C46" s="199"/>
      <c r="D46" s="337">
        <f>-'Allocation Proforma'!L702-'Allocation Proforma'!L703-'Allocation Proforma'!L704-'Allocation Proforma'!L705</f>
        <v>-446233.20752814517</v>
      </c>
      <c r="E46" s="348">
        <f>-(E14/($D$14)*('Allocation Proforma'!L702+'Allocation Proforma'!L703+'Allocation Proforma'!L704+'Allocation Proforma'!L705))</f>
        <v>-328982.29079007631</v>
      </c>
      <c r="F46" s="348">
        <f>(F14/($D$14)*-('Allocation Proforma'!L702+'Allocation Proforma'!L703+'Allocation Proforma'!L704+'Allocation Proforma'!L705))</f>
        <v>-18061.689156714478</v>
      </c>
      <c r="G46" s="348">
        <f>(G14/($D$14)*-('Allocation Proforma'!L702+'Allocation Proforma'!L703+'Allocation Proforma'!L704+'Allocation Proforma'!L705))</f>
        <v>-49727.127613402736</v>
      </c>
      <c r="H46" s="348">
        <f>(H14/($D$14)*-('Allocation Proforma'!L702+'Allocation Proforma'!L703+'Allocation Proforma'!L704+'Allocation Proforma'!L705))</f>
        <v>-48762.074394337244</v>
      </c>
      <c r="I46" s="348">
        <f>(I14/($D$14)*-('Allocation Proforma'!L702+'Allocation Proforma'!L703+'Allocation Proforma'!L704+'Allocation Proforma'!L705))</f>
        <v>-659.8024136839415</v>
      </c>
      <c r="J46" s="348">
        <f>(J14/($D$14)*-('Allocation Proforma'!L702+'Allocation Proforma'!L703+'Allocation Proforma'!L704+'Allocation Proforma'!L705))</f>
        <v>-40.223159930473948</v>
      </c>
      <c r="K46" s="269">
        <f>SUM(E46:J46)</f>
        <v>-446233.20752814523</v>
      </c>
      <c r="L46" s="200" t="str">
        <f>IF(ABS(K46-D46)&lt;0.01,"ok","err")</f>
        <v>ok</v>
      </c>
    </row>
    <row r="47" spans="1:12">
      <c r="A47" s="201" t="s">
        <v>1149</v>
      </c>
      <c r="B47" s="206" t="s">
        <v>1146</v>
      </c>
      <c r="C47" s="199"/>
      <c r="D47" s="337">
        <f>SUM(D43:D46)</f>
        <v>-7787962.0054141404</v>
      </c>
      <c r="E47" s="142">
        <f>SUM(E43:E46)</f>
        <v>-410932.24266466638</v>
      </c>
      <c r="F47" s="142">
        <f t="shared" ref="F47:I47" si="13">SUM(F43:F46)</f>
        <v>-5975309.2175201094</v>
      </c>
      <c r="G47" s="142">
        <f t="shared" si="13"/>
        <v>-1352258.4452614125</v>
      </c>
      <c r="H47" s="142">
        <f t="shared" si="13"/>
        <v>-48762.074394337244</v>
      </c>
      <c r="I47" s="142">
        <f t="shared" si="13"/>
        <v>-659.8024136839415</v>
      </c>
      <c r="J47" s="142">
        <f>SUM(J43:J46)</f>
        <v>-40.223159930473948</v>
      </c>
      <c r="K47" s="269">
        <f>SUM(E47:J47)</f>
        <v>-7787962.0054141395</v>
      </c>
      <c r="L47" s="200" t="str">
        <f>IF(ABS(K47-D47)&lt;0.01,"ok","err")</f>
        <v>ok</v>
      </c>
    </row>
    <row r="48" spans="1:12">
      <c r="A48" s="205"/>
      <c r="B48" s="206"/>
      <c r="D48" s="263"/>
      <c r="E48" s="69"/>
      <c r="F48" s="69"/>
      <c r="G48" s="69"/>
      <c r="H48" s="69"/>
      <c r="I48" s="69"/>
      <c r="J48" s="69"/>
      <c r="K48" s="369"/>
      <c r="L48" s="204"/>
    </row>
    <row r="49" spans="1:12">
      <c r="A49" s="201" t="s">
        <v>1151</v>
      </c>
      <c r="B49" s="206" t="s">
        <v>1148</v>
      </c>
      <c r="C49" s="209" t="e">
        <f>'Allocation Proforma'!J926-SUM('Allocation Proforma'!H699:I705)-'Allocation Proforma'!#REF!-'Allocation Proforma'!J920-'Allocation Proforma'!J924</f>
        <v>#REF!</v>
      </c>
      <c r="D49" s="259">
        <f t="shared" ref="D49:J49" si="14">D41+D47</f>
        <v>152746259.63762131</v>
      </c>
      <c r="E49" s="333">
        <f t="shared" si="14"/>
        <v>70601643.16897276</v>
      </c>
      <c r="F49" s="333">
        <f t="shared" si="14"/>
        <v>64384534.114100389</v>
      </c>
      <c r="G49" s="333">
        <f t="shared" si="14"/>
        <v>8583869.2085757349</v>
      </c>
      <c r="H49" s="333">
        <f t="shared" si="14"/>
        <v>8746800.7418454401</v>
      </c>
      <c r="I49" s="333">
        <f t="shared" si="14"/>
        <v>281090.32383641176</v>
      </c>
      <c r="J49" s="333">
        <f t="shared" si="14"/>
        <v>148322.08029057996</v>
      </c>
      <c r="K49" s="269">
        <f>SUM(E49:J49)</f>
        <v>152746259.63762131</v>
      </c>
      <c r="L49" s="200" t="str">
        <f>IF(ABS(K49-D49)&lt;0.01,"ok","err")</f>
        <v>ok</v>
      </c>
    </row>
    <row r="50" spans="1:12">
      <c r="A50" s="205"/>
      <c r="B50" s="206"/>
      <c r="C50" s="203"/>
      <c r="D50" s="355"/>
      <c r="E50" s="69"/>
      <c r="F50" s="69"/>
      <c r="G50" s="69"/>
      <c r="H50" s="69"/>
      <c r="I50" s="69"/>
      <c r="J50" s="69"/>
      <c r="K50" s="369"/>
      <c r="L50" s="204"/>
    </row>
    <row r="51" spans="1:12">
      <c r="A51" s="201" t="s">
        <v>1237</v>
      </c>
      <c r="B51" s="206" t="s">
        <v>1150</v>
      </c>
      <c r="C51" s="199"/>
      <c r="D51" s="263"/>
      <c r="E51" s="142">
        <v>3183736</v>
      </c>
      <c r="F51" s="349">
        <f>'Allocation Proforma'!L964</f>
        <v>1992826476</v>
      </c>
      <c r="G51" s="349">
        <v>4406484</v>
      </c>
      <c r="H51" s="349">
        <f>G51</f>
        <v>4406484</v>
      </c>
      <c r="I51" s="349">
        <f>'Allocation Proforma'!$L$980*12</f>
        <v>1584</v>
      </c>
      <c r="J51" s="349">
        <f>'Allocation Proforma'!$L$980*12</f>
        <v>1584</v>
      </c>
      <c r="K51" s="369"/>
      <c r="L51" s="204"/>
    </row>
    <row r="52" spans="1:12" ht="14.4" thickBot="1">
      <c r="A52" s="205"/>
      <c r="B52" s="206"/>
      <c r="C52" s="203"/>
      <c r="D52" s="263"/>
      <c r="E52" s="69"/>
      <c r="F52" s="69"/>
      <c r="G52" s="69"/>
      <c r="H52" s="69"/>
      <c r="I52" s="69"/>
      <c r="J52" s="69"/>
      <c r="K52" s="369"/>
      <c r="L52" s="204"/>
    </row>
    <row r="53" spans="1:12" ht="14.4" thickBot="1">
      <c r="A53" s="210" t="s">
        <v>1372</v>
      </c>
      <c r="B53" s="361" t="s">
        <v>1152</v>
      </c>
      <c r="C53" s="211"/>
      <c r="D53" s="265"/>
      <c r="E53" s="351">
        <f t="shared" ref="E53:J53" si="15">E49/E51</f>
        <v>22.175721595312162</v>
      </c>
      <c r="F53" s="430">
        <f t="shared" si="15"/>
        <v>3.2308148697087258E-2</v>
      </c>
      <c r="G53" s="351">
        <f t="shared" si="15"/>
        <v>1.948008709114962</v>
      </c>
      <c r="H53" s="351">
        <f t="shared" si="15"/>
        <v>1.9849841147376095</v>
      </c>
      <c r="I53" s="351">
        <f t="shared" si="15"/>
        <v>177.45601252298721</v>
      </c>
      <c r="J53" s="351">
        <f t="shared" si="15"/>
        <v>93.637676951123709</v>
      </c>
      <c r="K53" s="362">
        <f>I53+J53</f>
        <v>271.09368947411093</v>
      </c>
      <c r="L53" s="212"/>
    </row>
    <row r="55" spans="1:12">
      <c r="D55" s="246"/>
      <c r="F55" s="291"/>
      <c r="J55" s="345" t="s">
        <v>1224</v>
      </c>
      <c r="K55" s="214">
        <f>I53+J53</f>
        <v>271.09368947411093</v>
      </c>
      <c r="L55">
        <f>ROUND(K55/30.5,2)</f>
        <v>8.89</v>
      </c>
    </row>
    <row r="56" spans="1:12">
      <c r="D56" s="246"/>
      <c r="I56" s="19"/>
      <c r="J56" s="345" t="s">
        <v>1242</v>
      </c>
      <c r="K56" s="3">
        <f>E53+G53+H53</f>
        <v>26.108714419164734</v>
      </c>
    </row>
    <row r="57" spans="1:12">
      <c r="J57" s="345" t="s">
        <v>1243</v>
      </c>
      <c r="K57" s="8">
        <f>F53</f>
        <v>3.2308148697087258E-2</v>
      </c>
    </row>
    <row r="58" spans="1:12">
      <c r="J58" s="338"/>
      <c r="K58" s="289"/>
    </row>
    <row r="59" spans="1:12">
      <c r="J59" s="338"/>
      <c r="K59" s="35"/>
    </row>
    <row r="60" spans="1:12">
      <c r="J60" s="338"/>
      <c r="K60" s="339"/>
    </row>
    <row r="61" spans="1:12">
      <c r="J61" s="338"/>
      <c r="K61" s="3"/>
    </row>
    <row r="69" spans="5:6">
      <c r="E69" s="264"/>
      <c r="F69" s="264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CE5AA-6664-45D6-9F21-E272353805CE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2b9e1b56-1bc3-4bb6-83f9-6df8fea7da23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D81EDF-6E11-4D57-A015-6B4E476E04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0C956E-73F1-46D7-A4D7-3F6A3A19B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Functional Assignment</vt:lpstr>
      <vt:lpstr>Allocation Proforma</vt:lpstr>
      <vt:lpstr>Summary of Returns</vt:lpstr>
      <vt:lpstr>Billing Det</vt:lpstr>
      <vt:lpstr>GS</vt:lpstr>
      <vt:lpstr>PS Sec</vt:lpstr>
      <vt:lpstr>RS</vt:lpstr>
      <vt:lpstr>PS Pri</vt:lpstr>
      <vt:lpstr>TOD Sec</vt:lpstr>
      <vt:lpstr>TOD Pri</vt:lpstr>
      <vt:lpstr>RTS</vt:lpstr>
      <vt:lpstr>Special Contract</vt:lpstr>
      <vt:lpstr>Meters</vt:lpstr>
      <vt:lpstr>Services</vt:lpstr>
      <vt:lpstr>'Allocation Proforma'!Print_Area</vt:lpstr>
      <vt:lpstr>'Billing Det'!Print_Area</vt:lpstr>
      <vt:lpstr>'Functional Assignment'!Print_Area</vt:lpstr>
      <vt:lpstr>GS!Print_Area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Jeff Wernert</cp:lastModifiedBy>
  <cp:lastPrinted>2018-09-20T03:28:29Z</cp:lastPrinted>
  <dcterms:created xsi:type="dcterms:W3CDTF">1999-02-10T22:20:33Z</dcterms:created>
  <dcterms:modified xsi:type="dcterms:W3CDTF">2021-04-12T17:34:44Z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