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LG&amp;E/2020 Rate Case/Rebuttal Testimony/COS for Net Metering/"/>
    </mc:Choice>
  </mc:AlternateContent>
  <xr:revisionPtr revIDLastSave="45" documentId="8_{1D911F5D-3024-494E-BC68-E0993050E900}" xr6:coauthVersionLast="46" xr6:coauthVersionMax="46" xr10:uidLastSave="{A5E5EB0D-7334-4F90-8FF4-AE6E1F9602F9}"/>
  <bookViews>
    <workbookView xWindow="57504" yWindow="-96" windowWidth="28992" windowHeight="15792" tabRatio="601" activeTab="2" xr2:uid="{00000000-000D-0000-FFFF-FFFF00000000}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GS" sheetId="24" state="hidden" r:id="rId5"/>
    <sheet name="PS Sec" sheetId="26" state="hidden" r:id="rId6"/>
    <sheet name="RS" sheetId="14" state="hidden" r:id="rId7"/>
    <sheet name="PS Pri" sheetId="34" state="hidden" r:id="rId8"/>
    <sheet name="TOD Sec" sheetId="28" state="hidden" r:id="rId9"/>
    <sheet name="TOD Pri" sheetId="32" state="hidden" r:id="rId10"/>
    <sheet name="RTS" sheetId="31" state="hidden" r:id="rId11"/>
    <sheet name="Special Contract" sheetId="27" state="hidden" r:id="rId12"/>
    <sheet name="Meters" sheetId="7" state="hidden" r:id="rId13"/>
    <sheet name="Services" sheetId="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\" localSheetId="7" hidden="1">#REF!</definedName>
    <definedName name="\\" localSheetId="9" hidden="1">#REF!</definedName>
    <definedName name="\\" hidden="1">#REF!</definedName>
    <definedName name="\\\" localSheetId="7" hidden="1">#REF!</definedName>
    <definedName name="\\\" localSheetId="9" hidden="1">#REF!</definedName>
    <definedName name="\\\" hidden="1">#REF!</definedName>
    <definedName name="\\\\" localSheetId="7" hidden="1">#REF!</definedName>
    <definedName name="\\\\" localSheetId="9" hidden="1">#REF!</definedName>
    <definedName name="\\\\" hidden="1">#REF!</definedName>
    <definedName name="\C" localSheetId="7">#REF!</definedName>
    <definedName name="\C" localSheetId="6">#REF!</definedName>
    <definedName name="\C" localSheetId="9">#REF!</definedName>
    <definedName name="\C">#REF!</definedName>
    <definedName name="\D" localSheetId="7">#REF!</definedName>
    <definedName name="\D" localSheetId="9">#REF!</definedName>
    <definedName name="\D">#REF!</definedName>
    <definedName name="\E" localSheetId="7">#REF!</definedName>
    <definedName name="\E" localSheetId="6">#REF!</definedName>
    <definedName name="\E" localSheetId="9">#REF!</definedName>
    <definedName name="\E">#REF!</definedName>
    <definedName name="\M" localSheetId="7">#REF!</definedName>
    <definedName name="\M" localSheetId="9">#REF!</definedName>
    <definedName name="\M">#REF!</definedName>
    <definedName name="\P" localSheetId="7">[1]dbase!#REF!</definedName>
    <definedName name="\P" localSheetId="9">[1]dbase!#REF!</definedName>
    <definedName name="\P">[1]dbase!#REF!</definedName>
    <definedName name="\R" localSheetId="7">#REF!</definedName>
    <definedName name="\R" localSheetId="6">#REF!</definedName>
    <definedName name="\R" localSheetId="9">#REF!</definedName>
    <definedName name="\R">#REF!</definedName>
    <definedName name="\S" localSheetId="7">[1]dbase!#REF!</definedName>
    <definedName name="\S" localSheetId="9">[1]dbase!#REF!</definedName>
    <definedName name="\S">[1]dbase!#REF!</definedName>
    <definedName name="\T" localSheetId="7">#REF!</definedName>
    <definedName name="\T" localSheetId="9">#REF!</definedName>
    <definedName name="\T">#REF!</definedName>
    <definedName name="\Y" localSheetId="7">[2]d20!#REF!</definedName>
    <definedName name="\Y" localSheetId="9">[2]d20!#REF!</definedName>
    <definedName name="\Y">[2]d20!#REF!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7" hidden="1">#REF!</definedName>
    <definedName name="__123Graph_X" localSheetId="9" hidden="1">#REF!</definedName>
    <definedName name="__123Graph_X" hidden="1">#REF!</definedName>
    <definedName name="_10NON_UTILITY" localSheetId="7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7">#REF!</definedName>
    <definedName name="_1GAS_FINANCING" localSheetId="9">#REF!</definedName>
    <definedName name="_1GAS_FINANCING">#REF!</definedName>
    <definedName name="_xlnm._FilterDatabase" localSheetId="1" hidden="1">'Allocation Proforma'!$D$2:$E$1259</definedName>
    <definedName name="_xlnm._FilterDatabase" localSheetId="0" hidden="1">'Functional Assignment'!$C$2:$D$669</definedName>
    <definedName name="_may1" localSheetId="7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6">#REF!</definedName>
    <definedName name="_P" localSheetId="9">#REF!</definedName>
    <definedName name="_P">#REF!</definedName>
    <definedName name="_PG1" localSheetId="7">#REF!</definedName>
    <definedName name="_PG1" localSheetId="9">#REF!</definedName>
    <definedName name="_PG1">#REF!</definedName>
    <definedName name="_PG2" localSheetId="7">#REF!</definedName>
    <definedName name="_PG2" localSheetId="9">#REF!</definedName>
    <definedName name="_PG2">#REF!</definedName>
    <definedName name="A" localSheetId="7">#REF!</definedName>
    <definedName name="A" localSheetId="9">#REF!</definedName>
    <definedName name="A">#REF!</definedName>
    <definedName name="ACTUAL">"'Vol_Revs'!R5C3:R5C14"</definedName>
    <definedName name="ADJSUTW3" localSheetId="7">#REF!</definedName>
    <definedName name="ADJSUTW3" localSheetId="9">#REF!</definedName>
    <definedName name="ADJSUTW3">#REF!</definedName>
    <definedName name="ADJUSRN" localSheetId="7">#REF!</definedName>
    <definedName name="ADJUSRN" localSheetId="9">#REF!</definedName>
    <definedName name="ADJUSRN">#REF!</definedName>
    <definedName name="Adjust2" localSheetId="7">#REF!</definedName>
    <definedName name="Adjust2" localSheetId="9">#REF!</definedName>
    <definedName name="Adjust2">#REF!</definedName>
    <definedName name="ADJUSTA" localSheetId="7">#REF!</definedName>
    <definedName name="ADJUSTA" localSheetId="9">#REF!</definedName>
    <definedName name="ADJUSTA">#REF!</definedName>
    <definedName name="ADJUSTAA" localSheetId="7">#REF!</definedName>
    <definedName name="ADJUSTAA" localSheetId="6">#REF!</definedName>
    <definedName name="ADJUSTAA" localSheetId="9">#REF!</definedName>
    <definedName name="ADJUSTAA">#REF!</definedName>
    <definedName name="ADJUSTB" localSheetId="7">#REF!</definedName>
    <definedName name="ADJUSTB" localSheetId="9">#REF!</definedName>
    <definedName name="ADJUSTB">#REF!</definedName>
    <definedName name="ADJUSTC" localSheetId="7">#REF!</definedName>
    <definedName name="ADJUSTC" localSheetId="9">#REF!</definedName>
    <definedName name="ADJUSTC">#REF!</definedName>
    <definedName name="ADJUSTD1" localSheetId="7">#REF!</definedName>
    <definedName name="ADJUSTD1" localSheetId="9">#REF!</definedName>
    <definedName name="ADJUSTD1">#REF!</definedName>
    <definedName name="ADJUSTD2" localSheetId="7">#REF!</definedName>
    <definedName name="ADJUSTD2" localSheetId="9">#REF!</definedName>
    <definedName name="ADJUSTD2">#REF!</definedName>
    <definedName name="ADJUSTD3" localSheetId="7">#REF!</definedName>
    <definedName name="ADJUSTD3" localSheetId="9">#REF!</definedName>
    <definedName name="ADJUSTD3">#REF!</definedName>
    <definedName name="ADJUSTD4" localSheetId="7">#REF!</definedName>
    <definedName name="ADJUSTD4" localSheetId="9">#REF!</definedName>
    <definedName name="ADJUSTD4">#REF!</definedName>
    <definedName name="ADJUSTG1" localSheetId="7">#REF!</definedName>
    <definedName name="ADJUSTG1" localSheetId="9">#REF!</definedName>
    <definedName name="ADJUSTG1">#REF!</definedName>
    <definedName name="ADJUSTG2" localSheetId="7">#REF!</definedName>
    <definedName name="ADJUSTG2" localSheetId="9">#REF!</definedName>
    <definedName name="ADJUSTG2">#REF!</definedName>
    <definedName name="ADJUSTG3" localSheetId="7">#REF!</definedName>
    <definedName name="ADJUSTG3" localSheetId="9">#REF!</definedName>
    <definedName name="ADJUSTG3">#REF!</definedName>
    <definedName name="ADJUSTG4" localSheetId="7">#REF!</definedName>
    <definedName name="ADJUSTG4" localSheetId="9">#REF!</definedName>
    <definedName name="ADJUSTG4">#REF!</definedName>
    <definedName name="ADJUSTH" localSheetId="7">#REF!</definedName>
    <definedName name="ADJUSTH" localSheetId="9">#REF!</definedName>
    <definedName name="ADJUSTH">#REF!</definedName>
    <definedName name="ADJUSTI" localSheetId="7">#REF!</definedName>
    <definedName name="ADJUSTI" localSheetId="9">#REF!</definedName>
    <definedName name="ADJUSTI">#REF!</definedName>
    <definedName name="ADJUSTK" localSheetId="7">#REF!</definedName>
    <definedName name="ADJUSTK" localSheetId="9">#REF!</definedName>
    <definedName name="ADJUSTK">#REF!</definedName>
    <definedName name="ADJUSTM" localSheetId="7">#REF!</definedName>
    <definedName name="ADJUSTM" localSheetId="9">#REF!</definedName>
    <definedName name="ADJUSTM">#REF!</definedName>
    <definedName name="ADJUSTN" localSheetId="7">#REF!</definedName>
    <definedName name="ADJUSTN" localSheetId="9">#REF!</definedName>
    <definedName name="ADJUSTN">#REF!</definedName>
    <definedName name="ADJUSTO" localSheetId="7">#REF!</definedName>
    <definedName name="ADJUSTO" localSheetId="9">#REF!</definedName>
    <definedName name="ADJUSTO">#REF!</definedName>
    <definedName name="ADJUSTP" localSheetId="7">#REF!</definedName>
    <definedName name="ADJUSTP" localSheetId="9">#REF!</definedName>
    <definedName name="ADJUSTP">#REF!</definedName>
    <definedName name="ADJUSTQ" localSheetId="7">#REF!</definedName>
    <definedName name="ADJUSTQ" localSheetId="9">#REF!</definedName>
    <definedName name="ADJUSTQ">#REF!</definedName>
    <definedName name="ADJUSTR" localSheetId="7">#REF!</definedName>
    <definedName name="ADJUSTR" localSheetId="9">#REF!</definedName>
    <definedName name="ADJUSTR">#REF!</definedName>
    <definedName name="ADJUSTS" localSheetId="7">#REF!</definedName>
    <definedName name="ADJUSTS" localSheetId="6">#REF!</definedName>
    <definedName name="ADJUSTS" localSheetId="9">#REF!</definedName>
    <definedName name="ADJUSTS">#REF!</definedName>
    <definedName name="ADJUSTT" localSheetId="7">#REF!</definedName>
    <definedName name="ADJUSTT" localSheetId="9">#REF!</definedName>
    <definedName name="ADJUSTT">#REF!</definedName>
    <definedName name="ADJUSTW1" localSheetId="7">#REF!</definedName>
    <definedName name="ADJUSTW1" localSheetId="9">#REF!</definedName>
    <definedName name="ADJUSTW1">#REF!</definedName>
    <definedName name="ADJUSTW2" localSheetId="7">#REF!</definedName>
    <definedName name="ADJUSTW2" localSheetId="9">#REF!</definedName>
    <definedName name="ADJUSTW2">#REF!</definedName>
    <definedName name="ADJUSTX" localSheetId="7">#REF!</definedName>
    <definedName name="ADJUSTX" localSheetId="9">#REF!</definedName>
    <definedName name="ADJUSTX">#REF!</definedName>
    <definedName name="ADJUSTY" localSheetId="7">#REF!</definedName>
    <definedName name="ADJUSTY" localSheetId="9">#REF!</definedName>
    <definedName name="ADJUSTY">#REF!</definedName>
    <definedName name="ALERT2" localSheetId="7">#REF!</definedName>
    <definedName name="ALERT2" localSheetId="9">#REF!</definedName>
    <definedName name="ALERT2">#REF!</definedName>
    <definedName name="Annual_Sales_KU" localSheetId="7">'[4]LGE Sales'!#REF!</definedName>
    <definedName name="Annual_Sales_KU" localSheetId="9">'[4]LGE Sales'!#REF!</definedName>
    <definedName name="Annual_Sales_KU">'[4]LGE Sales'!#REF!</definedName>
    <definedName name="assets" localSheetId="7">#REF!</definedName>
    <definedName name="assets" localSheetId="6">#REF!</definedName>
    <definedName name="assets" localSheetId="9">#REF!</definedName>
    <definedName name="assets">#REF!</definedName>
    <definedName name="B" localSheetId="7">#REF!</definedName>
    <definedName name="B" localSheetId="9">#REF!</definedName>
    <definedName name="B">#REF!</definedName>
    <definedName name="Billed_Revenues_Dollars" localSheetId="7">#REF!</definedName>
    <definedName name="Billed_Revenues_Dollars" localSheetId="9">#REF!</definedName>
    <definedName name="Billed_Revenues_Dollars">#REF!</definedName>
    <definedName name="Billed_Sales__KWh" localSheetId="7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7">#REF!</definedName>
    <definedName name="C_" localSheetId="9">#REF!</definedName>
    <definedName name="C_">#REF!</definedName>
    <definedName name="Choices_Wrapper" localSheetId="6">RS!Choices_Wrapper</definedName>
    <definedName name="Choices_Wrapper">[0]!Choices_Wrapper</definedName>
    <definedName name="CM" localSheetId="7">#REF!</definedName>
    <definedName name="CM" localSheetId="6">#REF!</definedName>
    <definedName name="CM" localSheetId="9">#REF!</definedName>
    <definedName name="CM">#REF!</definedName>
    <definedName name="Coal_Annual_KU" localSheetId="7">'[4]LGE Coal'!#REF!</definedName>
    <definedName name="Coal_Annual_KU" localSheetId="9">'[4]LGE Coal'!#REF!</definedName>
    <definedName name="Coal_Annual_KU">'[4]LGE Coal'!#REF!</definedName>
    <definedName name="coal_hide_ku_01" localSheetId="7">'[4]LGE Coal'!#REF!</definedName>
    <definedName name="coal_hide_ku_01" localSheetId="9">'[4]LGE Coal'!#REF!</definedName>
    <definedName name="coal_hide_ku_01">'[4]LGE Coal'!#REF!</definedName>
    <definedName name="coal_hide_lge_01" localSheetId="7">'[4]LGE Coal'!#REF!</definedName>
    <definedName name="coal_hide_lge_01" localSheetId="9">'[4]LGE Coal'!#REF!</definedName>
    <definedName name="coal_hide_lge_01">'[4]LGE Coal'!#REF!</definedName>
    <definedName name="coal_ku_01" localSheetId="7">'[4]LGE Coal'!#REF!</definedName>
    <definedName name="coal_ku_01" localSheetId="9">'[4]LGE Coal'!#REF!</definedName>
    <definedName name="coal_ku_01">'[4]LGE Coal'!#REF!</definedName>
    <definedName name="ColumnAttributes1" localSheetId="7">#REF!</definedName>
    <definedName name="ColumnAttributes1" localSheetId="9">#REF!</definedName>
    <definedName name="ColumnAttributes1">#REF!</definedName>
    <definedName name="ColumnHeadings1" localSheetId="7">#REF!</definedName>
    <definedName name="ColumnHeadings1" localSheetId="9">#REF!</definedName>
    <definedName name="ColumnHeadings1">#REF!</definedName>
    <definedName name="Comp" localSheetId="6">RS!Comp</definedName>
    <definedName name="Comp">[0]!Comp</definedName>
    <definedName name="ConsEarnings" localSheetId="7">#REF!</definedName>
    <definedName name="ConsEarnings" localSheetId="9">#REF!</definedName>
    <definedName name="ConsEarnings">#REF!</definedName>
    <definedName name="CONSOLIDATED" localSheetId="7">#REF!</definedName>
    <definedName name="CONSOLIDATED" localSheetId="9">#REF!</definedName>
    <definedName name="CONSOLIDATED">#REF!</definedName>
    <definedName name="CORPORATE" localSheetId="7">#REF!</definedName>
    <definedName name="CORPORATE" localSheetId="9">#REF!</definedName>
    <definedName name="CORPORATE">#REF!</definedName>
    <definedName name="counter" localSheetId="7">#REF!</definedName>
    <definedName name="counter" localSheetId="9">#REF!</definedName>
    <definedName name="counter">#REF!</definedName>
    <definedName name="CREDIT" localSheetId="7">#REF!</definedName>
    <definedName name="CREDIT" localSheetId="6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7">#REF!</definedName>
    <definedName name="D" localSheetId="9">#REF!</definedName>
    <definedName name="D">#REF!</definedName>
    <definedName name="data" localSheetId="7">#REF!</definedName>
    <definedName name="data" localSheetId="9">#REF!</definedName>
    <definedName name="data">#REF!</definedName>
    <definedName name="data1" localSheetId="7">'[6]1'!#REF!</definedName>
    <definedName name="data1" localSheetId="9">'[6]1'!#REF!</definedName>
    <definedName name="data1">'[6]1'!#REF!</definedName>
    <definedName name="DateTimeNow">[5]Input!$AE$12</definedName>
    <definedName name="DEBIT" localSheetId="7">#REF!</definedName>
    <definedName name="DEBIT" localSheetId="6">#REF!</definedName>
    <definedName name="DEBIT" localSheetId="9">#REF!</definedName>
    <definedName name="DEBIT">#REF!</definedName>
    <definedName name="Detail" localSheetId="7">#REF!</definedName>
    <definedName name="Detail" localSheetId="9">#REF!</definedName>
    <definedName name="Detail">#REF!</definedName>
    <definedName name="ELEC_NET_OP_INC" localSheetId="7">#REF!</definedName>
    <definedName name="ELEC_NET_OP_INC" localSheetId="9">#REF!</definedName>
    <definedName name="ELEC_NET_OP_INC">#REF!</definedName>
    <definedName name="ELIMS" localSheetId="7">#REF!</definedName>
    <definedName name="ELIMS" localSheetId="9">#REF!</definedName>
    <definedName name="ELIMS">#REF!</definedName>
    <definedName name="EXHIB1A" localSheetId="7">'[7]#REF'!#REF!</definedName>
    <definedName name="EXHIB1A" localSheetId="9">'[7]#REF'!#REF!</definedName>
    <definedName name="EXHIB1A">'[7]#REF'!#REF!</definedName>
    <definedName name="EXHIB1B" localSheetId="7">#REF!</definedName>
    <definedName name="EXHIB1B" localSheetId="9">#REF!</definedName>
    <definedName name="EXHIB1B">#REF!</definedName>
    <definedName name="EXHIB1C" localSheetId="7">#REF!</definedName>
    <definedName name="EXHIB1C" localSheetId="9">#REF!</definedName>
    <definedName name="EXHIB1C">#REF!</definedName>
    <definedName name="EXHIB2B" localSheetId="7">'[8]Ex 2'!#REF!</definedName>
    <definedName name="EXHIB2B" localSheetId="9">'[8]Ex 2'!#REF!</definedName>
    <definedName name="EXHIB2B">'[8]Ex 2'!#REF!</definedName>
    <definedName name="EXHIB3" localSheetId="7">#REF!</definedName>
    <definedName name="EXHIB3" localSheetId="6">#REF!</definedName>
    <definedName name="EXHIB3" localSheetId="9">#REF!</definedName>
    <definedName name="EXHIB3">#REF!</definedName>
    <definedName name="EXHIB6" localSheetId="7">'[8]not used Ex 4'!#REF!</definedName>
    <definedName name="EXHIB6" localSheetId="9">'[8]not used Ex 4'!#REF!</definedName>
    <definedName name="EXHIB6">'[8]not used Ex 4'!#REF!</definedName>
    <definedName name="F" localSheetId="7">#REF!</definedName>
    <definedName name="F" localSheetId="9">#REF!</definedName>
    <definedName name="F">#REF!</definedName>
    <definedName name="Fac_2000" localSheetId="7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7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7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7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7">'[4]LGE Base Fuel &amp; FAC'!#REF!</definedName>
    <definedName name="fac_ku_01" localSheetId="9">'[4]LGE Base Fuel &amp; FAC'!#REF!</definedName>
    <definedName name="fac_ku_01">'[4]LGE Base Fuel &amp; FAC'!#REF!</definedName>
    <definedName name="FOOTER" localSheetId="7">#REF!</definedName>
    <definedName name="FOOTER" localSheetId="9">#REF!</definedName>
    <definedName name="FOOTER">#REF!</definedName>
    <definedName name="FORECAST">"'IFPSReport'!R5C3:R5C14"</definedName>
    <definedName name="fuelcost" localSheetId="7">#REF!</definedName>
    <definedName name="fuelcost" localSheetId="6">#REF!</definedName>
    <definedName name="fuelcost" localSheetId="9">#REF!</definedName>
    <definedName name="fuelcost">#REF!</definedName>
    <definedName name="Gas_Annual_NetRev" localSheetId="7">#REF!</definedName>
    <definedName name="Gas_Annual_NetRev" localSheetId="9">#REF!</definedName>
    <definedName name="Gas_Annual_NetRev">#REF!</definedName>
    <definedName name="Gas_Annual_Revenue" localSheetId="7">#REF!</definedName>
    <definedName name="Gas_Annual_Revenue" localSheetId="9">#REF!</definedName>
    <definedName name="Gas_Annual_Revenue">#REF!</definedName>
    <definedName name="gas_data" localSheetId="7">#REF!</definedName>
    <definedName name="gas_data" localSheetId="9">#REF!</definedName>
    <definedName name="gas_data">#REF!</definedName>
    <definedName name="Gas_Monthly_NetRevenue" localSheetId="7">#REF!</definedName>
    <definedName name="Gas_Monthly_NetRevenue" localSheetId="9">#REF!</definedName>
    <definedName name="Gas_Monthly_NetRevenue">#REF!</definedName>
    <definedName name="GAS_NET_OP_INC" localSheetId="7">#REF!</definedName>
    <definedName name="GAS_NET_OP_INC" localSheetId="9">#REF!</definedName>
    <definedName name="GAS_NET_OP_INC">#REF!</definedName>
    <definedName name="Gas_Sales_Revenues" localSheetId="7">#REF!</definedName>
    <definedName name="Gas_Sales_Revenues" localSheetId="9">#REF!</definedName>
    <definedName name="Gas_Sales_Revenues">#REF!</definedName>
    <definedName name="GenEx_Annual_KU" localSheetId="7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7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7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7">'[4]LGE Cost of Sales'!#REF!</definedName>
    <definedName name="genex_ku_01" localSheetId="9">'[4]LGE Cost of Sales'!#REF!</definedName>
    <definedName name="genex_ku_01">'[4]LGE Cost of Sales'!#REF!</definedName>
    <definedName name="H" localSheetId="7">#REF!</definedName>
    <definedName name="H" localSheetId="9">#REF!</definedName>
    <definedName name="H">#REF!</definedName>
    <definedName name="Home_KU" localSheetId="7">#REF!</definedName>
    <definedName name="Home_KU" localSheetId="9">#REF!</definedName>
    <definedName name="Home_KU">#REF!</definedName>
    <definedName name="INPUT1" localSheetId="7">#REF!</definedName>
    <definedName name="INPUT1" localSheetId="9">#REF!</definedName>
    <definedName name="INPUT1">#REF!</definedName>
    <definedName name="INPUT2" localSheetId="7">#REF!</definedName>
    <definedName name="INPUT2" localSheetId="9">#REF!</definedName>
    <definedName name="INPUT2">#REF!</definedName>
    <definedName name="INPUTCOL" localSheetId="7">#REF!</definedName>
    <definedName name="INPUTCOL" localSheetId="9">#REF!</definedName>
    <definedName name="INPUTCOL">#REF!</definedName>
    <definedName name="INPUTROW" localSheetId="7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7">#REF!</definedName>
    <definedName name="KUELIMBAL" localSheetId="9">#REF!</definedName>
    <definedName name="KUELIMBAL">#REF!</definedName>
    <definedName name="KUELIMCASH" localSheetId="7">#REF!</definedName>
    <definedName name="KUELIMCASH" localSheetId="9">#REF!</definedName>
    <definedName name="KUELIMCASH">#REF!</definedName>
    <definedName name="KUPWRGENIS" localSheetId="7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7">#REF!</definedName>
    <definedName name="LEC" localSheetId="9">#REF!</definedName>
    <definedName name="LEC">#REF!</definedName>
    <definedName name="LECBAL" localSheetId="7">#REF!</definedName>
    <definedName name="LECBAL" localSheetId="9">#REF!</definedName>
    <definedName name="LECBAL">#REF!</definedName>
    <definedName name="LECCASH" localSheetId="7">#REF!</definedName>
    <definedName name="LECCASH" localSheetId="9">#REF!</definedName>
    <definedName name="LECCASH">#REF!</definedName>
    <definedName name="LES" localSheetId="7">#REF!</definedName>
    <definedName name="LES" localSheetId="9">#REF!</definedName>
    <definedName name="LES">#REF!</definedName>
    <definedName name="LGE" localSheetId="7">#REF!</definedName>
    <definedName name="LGE" localSheetId="9">#REF!</definedName>
    <definedName name="LGE">#REF!</definedName>
    <definedName name="LNGCL" localSheetId="7">#REF!</definedName>
    <definedName name="LNGCL" localSheetId="9">#REF!</definedName>
    <definedName name="LNGCL">#REF!</definedName>
    <definedName name="Losses_by_State" localSheetId="7">#REF!</definedName>
    <definedName name="Losses_by_State" localSheetId="9">#REF!</definedName>
    <definedName name="Losses_by_State">#REF!</definedName>
    <definedName name="LOUPHONECOBAL" localSheetId="7">#REF!</definedName>
    <definedName name="LOUPHONECOBAL" localSheetId="9">#REF!</definedName>
    <definedName name="LOUPHONECOBAL">#REF!</definedName>
    <definedName name="LOUPHONECOCASH" localSheetId="7">#REF!</definedName>
    <definedName name="LOUPHONECOCASH" localSheetId="9">#REF!</definedName>
    <definedName name="LOUPHONECOCASH">#REF!</definedName>
    <definedName name="LOUPHONECOIS" localSheetId="7">#REF!</definedName>
    <definedName name="LOUPHONECOIS" localSheetId="9">#REF!</definedName>
    <definedName name="LOUPHONECOIS">#REF!</definedName>
    <definedName name="LPI" localSheetId="7">#REF!</definedName>
    <definedName name="LPI" localSheetId="9">#REF!</definedName>
    <definedName name="LPI">#REF!</definedName>
    <definedName name="MAIN" localSheetId="7">#REF!</definedName>
    <definedName name="MAIN" localSheetId="9">#REF!</definedName>
    <definedName name="MAIN">#REF!</definedName>
    <definedName name="MESG1" localSheetId="7">#REF!</definedName>
    <definedName name="MESG1" localSheetId="9">#REF!</definedName>
    <definedName name="MESG1">#REF!</definedName>
    <definedName name="MESG2" localSheetId="7">#REF!</definedName>
    <definedName name="MESG2" localSheetId="9">#REF!</definedName>
    <definedName name="MESG2">#REF!</definedName>
    <definedName name="MONTH_NAME" localSheetId="7">#REF!</definedName>
    <definedName name="MONTH_NAME" localSheetId="9">#REF!</definedName>
    <definedName name="MONTH_NAME">#REF!</definedName>
    <definedName name="MONTHCOUNT" localSheetId="7">#REF!</definedName>
    <definedName name="MONTHCOUNT" localSheetId="9">#REF!</definedName>
    <definedName name="MONTHCOUNT">#REF!</definedName>
    <definedName name="NATURAL" localSheetId="7">#REF!</definedName>
    <definedName name="NATURAL" localSheetId="9">#REF!</definedName>
    <definedName name="NATURAL">#REF!</definedName>
    <definedName name="NET_OP_INC" localSheetId="7">#REF!</definedName>
    <definedName name="NET_OP_INC" localSheetId="9">#REF!</definedName>
    <definedName name="NET_OP_INC">#REF!</definedName>
    <definedName name="Net_Revenues" localSheetId="7">#REF!</definedName>
    <definedName name="Net_Revenues" localSheetId="9">#REF!</definedName>
    <definedName name="Net_Revenues">#REF!</definedName>
    <definedName name="Net_Unbilled_KWh" localSheetId="7">#REF!</definedName>
    <definedName name="Net_Unbilled_KWh" localSheetId="9">#REF!</definedName>
    <definedName name="Net_Unbilled_KWh">#REF!</definedName>
    <definedName name="Net_Unbilled_Revenue_Dollars" localSheetId="7">#REF!</definedName>
    <definedName name="Net_Unbilled_Revenue_Dollars" localSheetId="9">#REF!</definedName>
    <definedName name="Net_Unbilled_Revenue_Dollars">#REF!</definedName>
    <definedName name="netrev_hide_ku_01" localSheetId="7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7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7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7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7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7">#REF!</definedName>
    <definedName name="Operating_Revenue_Dollars" localSheetId="9">#REF!</definedName>
    <definedName name="Operating_Revenue_Dollars">#REF!</definedName>
    <definedName name="Operating_Sales__KWh" localSheetId="7">#REF!</definedName>
    <definedName name="Operating_Sales__KWh" localSheetId="9">#REF!</definedName>
    <definedName name="Operating_Sales__KWh">#REF!</definedName>
    <definedName name="PAGE" localSheetId="7">#REF!</definedName>
    <definedName name="PAGE" localSheetId="6">#REF!</definedName>
    <definedName name="PAGE" localSheetId="9">#REF!</definedName>
    <definedName name="PAGE">#REF!</definedName>
    <definedName name="PAGE10" localSheetId="7">#REF!</definedName>
    <definedName name="PAGE10" localSheetId="6">#REF!</definedName>
    <definedName name="PAGE10" localSheetId="9">#REF!</definedName>
    <definedName name="PAGE10">#REF!</definedName>
    <definedName name="PAGE1B" localSheetId="7">[2]d20!#REF!</definedName>
    <definedName name="PAGE1B" localSheetId="9">[2]d20!#REF!</definedName>
    <definedName name="PAGE1B">[2]d20!#REF!</definedName>
    <definedName name="PAGE7" localSheetId="7">#REF!</definedName>
    <definedName name="PAGE7" localSheetId="6">#REF!</definedName>
    <definedName name="PAGE7" localSheetId="9">#REF!</definedName>
    <definedName name="PAGE7">#REF!</definedName>
    <definedName name="page8" localSheetId="7">#REF!</definedName>
    <definedName name="page8" localSheetId="6">#REF!</definedName>
    <definedName name="page8" localSheetId="9">#REF!</definedName>
    <definedName name="page8">#REF!</definedName>
    <definedName name="PAGE9" localSheetId="7">#REF!</definedName>
    <definedName name="PAGE9" localSheetId="6">#REF!</definedName>
    <definedName name="PAGE9" localSheetId="9">#REF!</definedName>
    <definedName name="PAGE9">#REF!</definedName>
    <definedName name="PgFERC_449" localSheetId="7">#REF!</definedName>
    <definedName name="PgFERC_449" localSheetId="9">#REF!</definedName>
    <definedName name="PgFERC_449">#REF!</definedName>
    <definedName name="Plan" localSheetId="7">#REF!</definedName>
    <definedName name="Plan" localSheetId="9">#REF!</definedName>
    <definedName name="Plan">#REF!</definedName>
    <definedName name="_xlnm.Print_Area" localSheetId="1">'Allocation Proforma'!$A$1:$V$1121</definedName>
    <definedName name="_xlnm.Print_Area" localSheetId="3">'Billing Det'!$A$1:$C$40</definedName>
    <definedName name="_xlnm.Print_Area" localSheetId="0">'Functional Assignment'!$A$1:$AE$669</definedName>
    <definedName name="_xlnm.Print_Area" localSheetId="4">GS!$A$1:$K$63</definedName>
    <definedName name="_xlnm.Print_Area" localSheetId="7">'PS Pri'!$A$1:$K$57</definedName>
    <definedName name="_xlnm.Print_Area" localSheetId="5">'PS Sec'!$A$1:$K$57</definedName>
    <definedName name="_xlnm.Print_Area" localSheetId="6">RS!$A$1:$K$57</definedName>
    <definedName name="_xlnm.Print_Area" localSheetId="10">RTS!$A$1:$K$57</definedName>
    <definedName name="_xlnm.Print_Area" localSheetId="11">'Special Contract'!$A$1:$K$57</definedName>
    <definedName name="_xlnm.Print_Area" localSheetId="2">'Summary of Returns'!$A$3:$I$78</definedName>
    <definedName name="_xlnm.Print_Area" localSheetId="9">'TOD Pri'!$A$1:$K$57</definedName>
    <definedName name="_xlnm.Print_Area" localSheetId="8">'TOD Sec'!$A$1:$K$57</definedName>
    <definedName name="_xlnm.Print_Titles" localSheetId="1">'Allocation Proforma'!$A:$E,'Allocation Proforma'!$2:$4</definedName>
    <definedName name="_xlnm.Print_Titles" localSheetId="3">'Billing Det'!$A:$A,'Billing Det'!$39:$40</definedName>
    <definedName name="_xlnm.Print_Titles" localSheetId="0">'Functional Assignment'!$A:$E,'Functional Assignment'!$2:$4</definedName>
    <definedName name="PRINT1" localSheetId="7">#REF!</definedName>
    <definedName name="PRINT1" localSheetId="9">#REF!</definedName>
    <definedName name="PRINT1">#REF!</definedName>
    <definedName name="PWRGENBAL" localSheetId="7">#REF!</definedName>
    <definedName name="PWRGENBAL" localSheetId="9">#REF!</definedName>
    <definedName name="PWRGENBAL">#REF!</definedName>
    <definedName name="PWRGENCASH" localSheetId="7">#REF!</definedName>
    <definedName name="PWRGENCASH" localSheetId="9">#REF!</definedName>
    <definedName name="PWRGENCASH">#REF!</definedName>
    <definedName name="QtrbyMonth" localSheetId="7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7">#REF!</definedName>
    <definedName name="REPORT" localSheetId="6">#REF!</definedName>
    <definedName name="REPORT" localSheetId="9">#REF!</definedName>
    <definedName name="REPORT">#REF!</definedName>
    <definedName name="ReportTitle1" localSheetId="7">#REF!</definedName>
    <definedName name="ReportTitle1" localSheetId="9">#REF!</definedName>
    <definedName name="ReportTitle1">#REF!</definedName>
    <definedName name="require_hide_ku_01" localSheetId="7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7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7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7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7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7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7">#REF!</definedName>
    <definedName name="RevCol01" localSheetId="9">#REF!</definedName>
    <definedName name="RevCol01">#REF!</definedName>
    <definedName name="RevCol01A" localSheetId="7">#REF!</definedName>
    <definedName name="RevCol01A" localSheetId="9">#REF!</definedName>
    <definedName name="RevCol01A">#REF!</definedName>
    <definedName name="RevCol01B" localSheetId="7">[12]RevDatabase!#REF!</definedName>
    <definedName name="RevCol01B" localSheetId="6">#REF!</definedName>
    <definedName name="RevCol01B" localSheetId="9">[12]RevDatabase!#REF!</definedName>
    <definedName name="RevCol01B">[12]RevDatabase!#REF!</definedName>
    <definedName name="RevCol02" localSheetId="7">#REF!</definedName>
    <definedName name="RevCol02" localSheetId="9">#REF!</definedName>
    <definedName name="RevCol02">#REF!</definedName>
    <definedName name="RevCol02A" localSheetId="7">#REF!</definedName>
    <definedName name="RevCol02A" localSheetId="9">#REF!</definedName>
    <definedName name="RevCol02A">#REF!</definedName>
    <definedName name="RevCol02B" localSheetId="7">[12]RevDatabase!#REF!</definedName>
    <definedName name="RevCol02B" localSheetId="6">#REF!</definedName>
    <definedName name="RevCol02B" localSheetId="9">[12]RevDatabase!#REF!</definedName>
    <definedName name="RevCol02B">[12]RevDatabase!#REF!</definedName>
    <definedName name="RevCol03" localSheetId="7">#REF!</definedName>
    <definedName name="RevCol03" localSheetId="9">#REF!</definedName>
    <definedName name="RevCol03">#REF!</definedName>
    <definedName name="RevCol04" localSheetId="7">#REF!</definedName>
    <definedName name="RevCol04" localSheetId="9">#REF!</definedName>
    <definedName name="RevCol04">#REF!</definedName>
    <definedName name="RevCol05" localSheetId="7">#REF!</definedName>
    <definedName name="RevCol05" localSheetId="9">#REF!</definedName>
    <definedName name="RevCol05">#REF!</definedName>
    <definedName name="RevCol06" localSheetId="7">#REF!</definedName>
    <definedName name="RevCol06" localSheetId="9">#REF!</definedName>
    <definedName name="RevCol06">#REF!</definedName>
    <definedName name="RevCol07" localSheetId="7">#REF!</definedName>
    <definedName name="RevCol07" localSheetId="9">#REF!</definedName>
    <definedName name="RevCol07">#REF!</definedName>
    <definedName name="RevCol08" localSheetId="7">#REF!</definedName>
    <definedName name="RevCol08" localSheetId="9">#REF!</definedName>
    <definedName name="RevCol08">#REF!</definedName>
    <definedName name="RevCol09" localSheetId="7">#REF!</definedName>
    <definedName name="RevCol09" localSheetId="9">#REF!</definedName>
    <definedName name="RevCol09">#REF!</definedName>
    <definedName name="RevCol10" localSheetId="7">#REF!</definedName>
    <definedName name="RevCol10" localSheetId="9">#REF!</definedName>
    <definedName name="RevCol10">#REF!</definedName>
    <definedName name="RevCol11" localSheetId="7">#REF!</definedName>
    <definedName name="RevCol11" localSheetId="9">#REF!</definedName>
    <definedName name="RevCol11">#REF!</definedName>
    <definedName name="RevCol12" localSheetId="7">#REF!</definedName>
    <definedName name="RevCol12" localSheetId="9">#REF!</definedName>
    <definedName name="RevCol12">#REF!</definedName>
    <definedName name="RevCol13" localSheetId="7">#REF!</definedName>
    <definedName name="RevCol13" localSheetId="9">#REF!</definedName>
    <definedName name="RevCol13">#REF!</definedName>
    <definedName name="RevCol14" localSheetId="7">#REF!</definedName>
    <definedName name="RevCol14" localSheetId="9">#REF!</definedName>
    <definedName name="RevCol14">#REF!</definedName>
    <definedName name="RevCol15" localSheetId="7">#REF!</definedName>
    <definedName name="RevCol15" localSheetId="9">#REF!</definedName>
    <definedName name="RevCol15">#REF!</definedName>
    <definedName name="RevCol16" localSheetId="7">#REF!</definedName>
    <definedName name="RevCol16" localSheetId="9">#REF!</definedName>
    <definedName name="RevCol16">#REF!</definedName>
    <definedName name="RevCol17" localSheetId="7">#REF!</definedName>
    <definedName name="RevCol17" localSheetId="9">#REF!</definedName>
    <definedName name="RevCol17">#REF!</definedName>
    <definedName name="RevCol18" localSheetId="7">#REF!</definedName>
    <definedName name="RevCol18" localSheetId="9">#REF!</definedName>
    <definedName name="RevCol18">#REF!</definedName>
    <definedName name="RevCol19" localSheetId="7">#REF!</definedName>
    <definedName name="RevCol19" localSheetId="9">#REF!</definedName>
    <definedName name="RevCol19">#REF!</definedName>
    <definedName name="RevCol20" localSheetId="7">#REF!</definedName>
    <definedName name="RevCol20" localSheetId="9">#REF!</definedName>
    <definedName name="RevCol20">#REF!</definedName>
    <definedName name="RevCol21" localSheetId="7">#REF!</definedName>
    <definedName name="RevCol21" localSheetId="9">#REF!</definedName>
    <definedName name="RevCol21">#REF!</definedName>
    <definedName name="RevCol22" localSheetId="7">#REF!</definedName>
    <definedName name="RevCol22" localSheetId="9">#REF!</definedName>
    <definedName name="RevCol22">#REF!</definedName>
    <definedName name="RevCol23" localSheetId="7">#REF!</definedName>
    <definedName name="RevCol23" localSheetId="9">#REF!</definedName>
    <definedName name="RevCol23">#REF!</definedName>
    <definedName name="RevCol24" localSheetId="7">#REF!</definedName>
    <definedName name="RevCol24" localSheetId="9">#REF!</definedName>
    <definedName name="RevCol24">#REF!</definedName>
    <definedName name="RevCol25" localSheetId="7">#REF!</definedName>
    <definedName name="RevCol25" localSheetId="9">#REF!</definedName>
    <definedName name="RevCol25">#REF!</definedName>
    <definedName name="RevCol26" localSheetId="7">#REF!</definedName>
    <definedName name="RevCol26" localSheetId="9">#REF!</definedName>
    <definedName name="RevCol26">#REF!</definedName>
    <definedName name="RevCol27" localSheetId="7">#REF!</definedName>
    <definedName name="RevCol27" localSheetId="9">#REF!</definedName>
    <definedName name="RevCol27">#REF!</definedName>
    <definedName name="RevCol28" localSheetId="7">#REF!</definedName>
    <definedName name="RevCol28" localSheetId="9">#REF!</definedName>
    <definedName name="RevCol28">#REF!</definedName>
    <definedName name="RevCol29" localSheetId="7">#REF!</definedName>
    <definedName name="RevCol29" localSheetId="9">#REF!</definedName>
    <definedName name="RevCol29">#REF!</definedName>
    <definedName name="RevCol30" localSheetId="7">#REF!</definedName>
    <definedName name="RevCol30" localSheetId="9">#REF!</definedName>
    <definedName name="RevCol30">#REF!</definedName>
    <definedName name="RevCol31" localSheetId="7">#REF!</definedName>
    <definedName name="RevCol31" localSheetId="9">#REF!</definedName>
    <definedName name="RevCol31">#REF!</definedName>
    <definedName name="RevCol32" localSheetId="7">#REF!</definedName>
    <definedName name="RevCol32" localSheetId="9">#REF!</definedName>
    <definedName name="RevCol32">#REF!</definedName>
    <definedName name="RevCol33" localSheetId="7">#REF!</definedName>
    <definedName name="RevCol33" localSheetId="9">#REF!</definedName>
    <definedName name="RevCol33">#REF!</definedName>
    <definedName name="RevCol34" localSheetId="7">#REF!</definedName>
    <definedName name="RevCol34" localSheetId="9">#REF!</definedName>
    <definedName name="RevCol34">#REF!</definedName>
    <definedName name="RevCol35" localSheetId="7">#REF!</definedName>
    <definedName name="RevCol35" localSheetId="9">#REF!</definedName>
    <definedName name="RevCol35">#REF!</definedName>
    <definedName name="RevCol36" localSheetId="7">#REF!</definedName>
    <definedName name="RevCol36" localSheetId="9">#REF!</definedName>
    <definedName name="RevCol36">#REF!</definedName>
    <definedName name="RevCol37" localSheetId="7">#REF!</definedName>
    <definedName name="RevCol37" localSheetId="9">#REF!</definedName>
    <definedName name="RevCol37">#REF!</definedName>
    <definedName name="RevColTmp" localSheetId="7">[12]RevDatabase!#REF!</definedName>
    <definedName name="RevColTmp" localSheetId="6">#REF!</definedName>
    <definedName name="RevColTmp" localSheetId="9">[12]RevDatabase!#REF!</definedName>
    <definedName name="RevColTmp">[12]RevDatabase!#REF!</definedName>
    <definedName name="RevColTmpA" localSheetId="7">[12]RevDatabase!#REF!</definedName>
    <definedName name="RevColTmpA" localSheetId="6">#REF!</definedName>
    <definedName name="RevColTmpA" localSheetId="9">[12]RevDatabase!#REF!</definedName>
    <definedName name="RevColTmpA">[12]RevDatabase!#REF!</definedName>
    <definedName name="RevColTmpB" localSheetId="7">[12]RevDatabase!#REF!</definedName>
    <definedName name="RevColTmpB" localSheetId="6">#REF!</definedName>
    <definedName name="RevColTmpB" localSheetId="9">[12]RevDatabase!#REF!</definedName>
    <definedName name="RevColTmpB">[12]RevDatabase!#REF!</definedName>
    <definedName name="revenues_hide_ku_01" localSheetId="7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7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7">#REF!</definedName>
    <definedName name="RowDetails1" localSheetId="9">#REF!</definedName>
    <definedName name="RowDetails1">#REF!</definedName>
    <definedName name="RPTCOL" localSheetId="7">#REF!</definedName>
    <definedName name="RPTCOL" localSheetId="9">#REF!</definedName>
    <definedName name="RPTCOL">#REF!</definedName>
    <definedName name="RPTROW" localSheetId="7">#REF!</definedName>
    <definedName name="RPTROW" localSheetId="9">#REF!</definedName>
    <definedName name="RPTROW">#REF!</definedName>
    <definedName name="Sales" localSheetId="7">'[4]LGE Sales'!#REF!</definedName>
    <definedName name="Sales" localSheetId="9">'[4]LGE Sales'!#REF!</definedName>
    <definedName name="Sales">'[4]LGE Sales'!#REF!</definedName>
    <definedName name="sales_hide_ku_01" localSheetId="7">'[4]LGE Sales'!#REF!</definedName>
    <definedName name="sales_hide_ku_01" localSheetId="9">'[4]LGE Sales'!#REF!</definedName>
    <definedName name="sales_hide_ku_01">'[4]LGE Sales'!#REF!</definedName>
    <definedName name="sales_ku_01" localSheetId="7">'[4]LGE Sales'!#REF!</definedName>
    <definedName name="sales_ku_01" localSheetId="9">'[4]LGE Sales'!#REF!</definedName>
    <definedName name="sales_ku_01">'[4]LGE Sales'!#REF!</definedName>
    <definedName name="sales_title_ku" localSheetId="7">'[4]LGE Sales'!#REF!</definedName>
    <definedName name="sales_title_ku" localSheetId="9">'[4]LGE Sales'!#REF!</definedName>
    <definedName name="sales_title_ku">'[4]LGE Sales'!#REF!</definedName>
    <definedName name="SCHEDZ" localSheetId="7">#REF!</definedName>
    <definedName name="SCHEDZ" localSheetId="6">#REF!</definedName>
    <definedName name="SCHEDZ" localSheetId="9">#REF!</definedName>
    <definedName name="SCHEDZ">#REF!</definedName>
    <definedName name="shoot" localSheetId="7">#REF!</definedName>
    <definedName name="shoot" localSheetId="9">#REF!</definedName>
    <definedName name="shoot">#REF!</definedName>
    <definedName name="START" localSheetId="7">#REF!</definedName>
    <definedName name="START" localSheetId="9">#REF!</definedName>
    <definedName name="START">#REF!</definedName>
    <definedName name="START2" localSheetId="7">#REF!</definedName>
    <definedName name="START2" localSheetId="9">#REF!</definedName>
    <definedName name="START2">#REF!</definedName>
    <definedName name="START3" localSheetId="7">#REF!</definedName>
    <definedName name="START3" localSheetId="9">#REF!</definedName>
    <definedName name="START3">#REF!</definedName>
    <definedName name="Support" localSheetId="7">#REF!</definedName>
    <definedName name="Support" localSheetId="6">#REF!</definedName>
    <definedName name="Support" localSheetId="9">#REF!</definedName>
    <definedName name="Support">#REF!</definedName>
    <definedName name="SUPPORT5" localSheetId="7">#REF!</definedName>
    <definedName name="SUPPORT5" localSheetId="6">#REF!</definedName>
    <definedName name="SUPPORT5" localSheetId="9">#REF!</definedName>
    <definedName name="SUPPORT5">#REF!</definedName>
    <definedName name="SUPPORT6" localSheetId="7">#REF!</definedName>
    <definedName name="SUPPORT6" localSheetId="6">#REF!</definedName>
    <definedName name="SUPPORT6" localSheetId="9">#REF!</definedName>
    <definedName name="SUPPORT6">#REF!</definedName>
    <definedName name="TAX_RATE" localSheetId="7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7">#REF!</definedName>
    <definedName name="TenyrNIAC" localSheetId="9">#REF!</definedName>
    <definedName name="TenyrNIAC">#REF!</definedName>
    <definedName name="TenyrRev" localSheetId="7">#REF!</definedName>
    <definedName name="TenyrRev" localSheetId="9">#REF!</definedName>
    <definedName name="TenyrRev">#REF!</definedName>
    <definedName name="test" localSheetId="6">RS!test</definedName>
    <definedName name="test">[0]!test</definedName>
    <definedName name="Title" localSheetId="7">#REF!</definedName>
    <definedName name="Title" localSheetId="9">#REF!</definedName>
    <definedName name="Title">#REF!</definedName>
    <definedName name="Title_Choice" localSheetId="7">#REF!</definedName>
    <definedName name="Title_Choice" localSheetId="9">#REF!</definedName>
    <definedName name="Title_Choice">#REF!</definedName>
    <definedName name="Titles" localSheetId="7">#REF!</definedName>
    <definedName name="Titles" localSheetId="9">#REF!</definedName>
    <definedName name="Titles">#REF!</definedName>
    <definedName name="Titles_KU" localSheetId="7">#REF!</definedName>
    <definedName name="Titles_KU" localSheetId="9">#REF!</definedName>
    <definedName name="Titles_KU">#REF!</definedName>
    <definedName name="ttt" localSheetId="7">#REF!</definedName>
    <definedName name="ttt" localSheetId="6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7">#REF!</definedName>
    <definedName name="Variance" localSheetId="9">#REF!</definedName>
    <definedName name="Variance">#REF!</definedName>
    <definedName name="VIEW1" localSheetId="7">#REF!</definedName>
    <definedName name="VIEW1" localSheetId="9">#REF!</definedName>
    <definedName name="VIEW1">#REF!</definedName>
    <definedName name="vol_rev_annual_ku" localSheetId="7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7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7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7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7">'[4]LGE Retail Margin'!#REF!</definedName>
    <definedName name="volrev_data" localSheetId="9">'[4]LGE Retail Margin'!#REF!</definedName>
    <definedName name="volrev_data">'[4]LGE Retail Margin'!#REF!</definedName>
    <definedName name="YTD" localSheetId="7">#REF!</definedName>
    <definedName name="YTD" localSheetId="6">#REF!</definedName>
    <definedName name="YTD" localSheetId="9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97" i="2" l="1"/>
  <c r="U997" i="2"/>
  <c r="F771" i="2" l="1"/>
  <c r="H770" i="2"/>
  <c r="Z770" i="2"/>
  <c r="Y770" i="2"/>
  <c r="X770" i="2"/>
  <c r="W770" i="2"/>
  <c r="V770" i="2"/>
  <c r="U770" i="2"/>
  <c r="T770" i="2"/>
  <c r="S770" i="2"/>
  <c r="R770" i="2"/>
  <c r="Q770" i="2"/>
  <c r="O770" i="2"/>
  <c r="N770" i="2"/>
  <c r="M770" i="2"/>
  <c r="L770" i="2"/>
  <c r="K770" i="2"/>
  <c r="J770" i="2"/>
  <c r="I770" i="2"/>
  <c r="AA770" i="2"/>
  <c r="AA707" i="2"/>
  <c r="AB707" i="2" s="1"/>
  <c r="N768" i="2"/>
  <c r="L768" i="2"/>
  <c r="Z768" i="2"/>
  <c r="Y768" i="2"/>
  <c r="X768" i="2"/>
  <c r="W768" i="2"/>
  <c r="V768" i="2"/>
  <c r="U768" i="2"/>
  <c r="T768" i="2"/>
  <c r="S768" i="2"/>
  <c r="R768" i="2"/>
  <c r="Q768" i="2"/>
  <c r="O768" i="2"/>
  <c r="M768" i="2"/>
  <c r="K768" i="2"/>
  <c r="J768" i="2"/>
  <c r="I768" i="2"/>
  <c r="H768" i="2"/>
  <c r="G768" i="2"/>
  <c r="AB770" i="2" l="1"/>
  <c r="AA768" i="2"/>
  <c r="B10" i="5" l="1"/>
  <c r="D12" i="8" l="1"/>
  <c r="C12" i="8"/>
  <c r="E12" i="7"/>
  <c r="D12" i="7"/>
  <c r="C12" i="7"/>
  <c r="G12" i="7" l="1"/>
  <c r="E12" i="8"/>
  <c r="H1052" i="2"/>
  <c r="F1009" i="2" l="1"/>
  <c r="B8" i="5" l="1"/>
  <c r="C8" i="5"/>
  <c r="D10" i="5" l="1"/>
  <c r="H919" i="2"/>
  <c r="G919" i="2" s="1"/>
  <c r="D8" i="5"/>
  <c r="A63" i="4"/>
  <c r="S919" i="2"/>
  <c r="N701" i="2"/>
  <c r="N1119" i="2"/>
  <c r="L1120" i="2"/>
  <c r="T706" i="2"/>
  <c r="V988" i="2"/>
  <c r="V964" i="2"/>
  <c r="V965" i="2" s="1"/>
  <c r="U964" i="2"/>
  <c r="T964" i="2"/>
  <c r="S964" i="2"/>
  <c r="R964" i="2"/>
  <c r="Q964" i="2"/>
  <c r="P964" i="2"/>
  <c r="O964" i="2"/>
  <c r="O965" i="2" s="1"/>
  <c r="N964" i="2"/>
  <c r="N965" i="2" s="1"/>
  <c r="J964" i="2"/>
  <c r="J965" i="2" s="1"/>
  <c r="H964" i="2"/>
  <c r="V963" i="2"/>
  <c r="U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I1105" i="2"/>
  <c r="V1108" i="2"/>
  <c r="U1108" i="2"/>
  <c r="T1108" i="2"/>
  <c r="T1082" i="2"/>
  <c r="V1032" i="2"/>
  <c r="V1011" i="2"/>
  <c r="U1004" i="2"/>
  <c r="U1011" i="2" s="1"/>
  <c r="T1061" i="2"/>
  <c r="T1068" i="2" s="1"/>
  <c r="O981" i="2"/>
  <c r="O984" i="2" s="1"/>
  <c r="N980" i="2"/>
  <c r="M980" i="2"/>
  <c r="L980" i="2"/>
  <c r="I980" i="2"/>
  <c r="P983" i="2"/>
  <c r="K981" i="2"/>
  <c r="K982" i="2" s="1"/>
  <c r="V968" i="2"/>
  <c r="U968" i="2"/>
  <c r="T968" i="2"/>
  <c r="O968" i="2"/>
  <c r="H968" i="2"/>
  <c r="J986" i="2"/>
  <c r="V994" i="2"/>
  <c r="U994" i="2"/>
  <c r="V993" i="2"/>
  <c r="U993" i="2"/>
  <c r="V992" i="2"/>
  <c r="U992" i="2"/>
  <c r="T992" i="2"/>
  <c r="S992" i="2"/>
  <c r="R992" i="2"/>
  <c r="Q992" i="2"/>
  <c r="P992" i="2"/>
  <c r="O992" i="2"/>
  <c r="V991" i="2"/>
  <c r="U991" i="2"/>
  <c r="T991" i="2"/>
  <c r="S991" i="2"/>
  <c r="R991" i="2"/>
  <c r="Q991" i="2"/>
  <c r="P991" i="2"/>
  <c r="O991" i="2"/>
  <c r="N991" i="2"/>
  <c r="M993" i="2"/>
  <c r="M992" i="2"/>
  <c r="M991" i="2"/>
  <c r="L992" i="2"/>
  <c r="L991" i="2"/>
  <c r="K994" i="2"/>
  <c r="K993" i="2"/>
  <c r="K992" i="2"/>
  <c r="K991" i="2"/>
  <c r="J992" i="2"/>
  <c r="J991" i="2"/>
  <c r="I994" i="2"/>
  <c r="I993" i="2"/>
  <c r="U1046" i="2" l="1"/>
  <c r="V1046" i="2"/>
  <c r="V1018" i="2"/>
  <c r="O982" i="2"/>
  <c r="U1018" i="2"/>
  <c r="I992" i="2"/>
  <c r="I991" i="2"/>
  <c r="H994" i="2"/>
  <c r="H993" i="2"/>
  <c r="H992" i="2"/>
  <c r="H991" i="2"/>
  <c r="F924" i="2" l="1"/>
  <c r="AA1097" i="2" l="1"/>
  <c r="AB1097" i="2" s="1"/>
  <c r="D34" i="5" l="1"/>
  <c r="T963" i="2" s="1"/>
  <c r="F698" i="2" l="1"/>
  <c r="F104" i="1"/>
  <c r="F705" i="2" l="1"/>
  <c r="F704" i="2"/>
  <c r="T1046" i="2" l="1"/>
  <c r="F327" i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F77" i="1" l="1"/>
  <c r="D14" i="7" l="1"/>
  <c r="C14" i="7"/>
  <c r="B26" i="5"/>
  <c r="P968" i="2" s="1"/>
  <c r="B32" i="5"/>
  <c r="S968" i="2" s="1"/>
  <c r="B30" i="5"/>
  <c r="R968" i="2" s="1"/>
  <c r="B28" i="5"/>
  <c r="Q968" i="2" s="1"/>
  <c r="B22" i="5"/>
  <c r="N968" i="2" s="1"/>
  <c r="C18" i="5"/>
  <c r="L964" i="2" s="1"/>
  <c r="L965" i="2" s="1"/>
  <c r="B18" i="5"/>
  <c r="L968" i="2" s="1"/>
  <c r="C20" i="5"/>
  <c r="M964" i="2" s="1"/>
  <c r="M965" i="2" s="1"/>
  <c r="B20" i="5"/>
  <c r="M968" i="2" s="1"/>
  <c r="B14" i="5"/>
  <c r="J968" i="2" s="1"/>
  <c r="C16" i="5"/>
  <c r="K964" i="2" s="1"/>
  <c r="K965" i="2" s="1"/>
  <c r="B16" i="5"/>
  <c r="K968" i="2" s="1"/>
  <c r="C12" i="5"/>
  <c r="I964" i="2" s="1"/>
  <c r="I965" i="2" s="1"/>
  <c r="B12" i="5"/>
  <c r="I968" i="2" s="1"/>
  <c r="J1104" i="2" l="1"/>
  <c r="J1105" i="2"/>
  <c r="M1105" i="2"/>
  <c r="M1104" i="2"/>
  <c r="N1104" i="2"/>
  <c r="N1105" i="2"/>
  <c r="K1105" i="2"/>
  <c r="K1104" i="2"/>
  <c r="L1104" i="2"/>
  <c r="L1105" i="2"/>
  <c r="W617" i="1"/>
  <c r="V617" i="1"/>
  <c r="T617" i="1"/>
  <c r="U617" i="1"/>
  <c r="W619" i="1"/>
  <c r="V619" i="1"/>
  <c r="U619" i="1"/>
  <c r="T619" i="1"/>
  <c r="G34" i="5" l="1"/>
  <c r="G32" i="5"/>
  <c r="G30" i="5"/>
  <c r="G28" i="5"/>
  <c r="G26" i="5"/>
  <c r="G991" i="2"/>
  <c r="Q993" i="2" l="1"/>
  <c r="Q994" i="2"/>
  <c r="R994" i="2"/>
  <c r="R993" i="2"/>
  <c r="S994" i="2"/>
  <c r="S993" i="2"/>
  <c r="P994" i="2"/>
  <c r="P993" i="2"/>
  <c r="T993" i="2"/>
  <c r="T994" i="2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 l="1"/>
  <c r="H35" i="4"/>
  <c r="S922" i="2"/>
  <c r="AA922" i="2" s="1"/>
  <c r="AB922" i="2" s="1"/>
  <c r="F937" i="2"/>
  <c r="F934" i="2" l="1"/>
  <c r="F935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1" i="31" l="1"/>
  <c r="G34" i="31"/>
  <c r="K34" i="31" s="1"/>
  <c r="L34" i="31" s="1"/>
  <c r="F33" i="31"/>
  <c r="K33" i="31" s="1"/>
  <c r="L33" i="31" s="1"/>
  <c r="E32" i="31"/>
  <c r="K32" i="31" s="1"/>
  <c r="L32" i="31" s="1"/>
  <c r="H51" i="32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801" i="2" l="1"/>
  <c r="E823" i="2"/>
  <c r="M701" i="2" l="1"/>
  <c r="L701" i="2"/>
  <c r="K701" i="2"/>
  <c r="AA701" i="2" l="1"/>
  <c r="J51" i="32"/>
  <c r="I51" i="32"/>
  <c r="J51" i="26"/>
  <c r="I51" i="26"/>
  <c r="I51" i="28"/>
  <c r="J51" i="28"/>
  <c r="J51" i="34"/>
  <c r="I51" i="34"/>
  <c r="J51" i="31"/>
  <c r="I51" i="31"/>
  <c r="D40" i="8"/>
  <c r="D38" i="8"/>
  <c r="D36" i="8"/>
  <c r="D34" i="8"/>
  <c r="C34" i="8"/>
  <c r="AA1068" i="2" l="1"/>
  <c r="AB1068" i="2" s="1"/>
  <c r="A37" i="4" l="1"/>
  <c r="A64" i="4" s="1"/>
  <c r="A38" i="4"/>
  <c r="A65" i="4" s="1"/>
  <c r="A39" i="4"/>
  <c r="A66" i="4" s="1"/>
  <c r="A40" i="4"/>
  <c r="A67" i="4" s="1"/>
  <c r="A41" i="4"/>
  <c r="A68" i="4" s="1"/>
  <c r="A42" i="4"/>
  <c r="A69" i="4" s="1"/>
  <c r="A43" i="4"/>
  <c r="A70" i="4" s="1"/>
  <c r="A44" i="4"/>
  <c r="A71" i="4" s="1"/>
  <c r="A45" i="4"/>
  <c r="A72" i="4" s="1"/>
  <c r="A46" i="4"/>
  <c r="A73" i="4" s="1"/>
  <c r="A47" i="4"/>
  <c r="A74" i="4" s="1"/>
  <c r="A48" i="4"/>
  <c r="A75" i="4" s="1"/>
  <c r="A49" i="4"/>
  <c r="A76" i="4" s="1"/>
  <c r="A50" i="4"/>
  <c r="A77" i="4" s="1"/>
  <c r="AA920" i="2" l="1"/>
  <c r="AA1046" i="2" l="1"/>
  <c r="AB1046" i="2" s="1"/>
  <c r="Z1044" i="2"/>
  <c r="Y1044" i="2"/>
  <c r="X1044" i="2"/>
  <c r="W1044" i="2"/>
  <c r="V1044" i="2"/>
  <c r="D28" i="8" l="1"/>
  <c r="AA1018" i="2" l="1"/>
  <c r="AB1018" i="2" s="1"/>
  <c r="AA706" i="2"/>
  <c r="F1030" i="2"/>
  <c r="T1116" i="2" l="1"/>
  <c r="S1116" i="2"/>
  <c r="R1116" i="2"/>
  <c r="Q1116" i="2"/>
  <c r="P1116" i="2"/>
  <c r="O1116" i="2"/>
  <c r="N1116" i="2"/>
  <c r="M1116" i="2"/>
  <c r="L1116" i="2"/>
  <c r="K1116" i="2"/>
  <c r="J1116" i="2"/>
  <c r="I1116" i="2"/>
  <c r="D37" i="32" l="1"/>
  <c r="E37" i="32" s="1"/>
  <c r="K37" i="32" s="1"/>
  <c r="L37" i="32" s="1"/>
  <c r="E28" i="8" l="1"/>
  <c r="G964" i="2" l="1"/>
  <c r="D32" i="8"/>
  <c r="E32" i="8" s="1"/>
  <c r="R965" i="2" l="1"/>
  <c r="S965" i="2"/>
  <c r="F51" i="34"/>
  <c r="P965" i="2"/>
  <c r="Q965" i="2"/>
  <c r="F51" i="27"/>
  <c r="F51" i="31"/>
  <c r="F51" i="26"/>
  <c r="F51" i="32"/>
  <c r="F51" i="28"/>
  <c r="G968" i="2"/>
  <c r="F42" i="7"/>
  <c r="E40" i="7"/>
  <c r="G40" i="7" s="1"/>
  <c r="E38" i="7"/>
  <c r="G38" i="7" s="1"/>
  <c r="E36" i="7"/>
  <c r="G36" i="7" s="1"/>
  <c r="E34" i="7"/>
  <c r="E32" i="7"/>
  <c r="E28" i="7"/>
  <c r="G28" i="7" s="1"/>
  <c r="E26" i="7"/>
  <c r="E22" i="7"/>
  <c r="G22" i="7" s="1"/>
  <c r="D34" i="7"/>
  <c r="D26" i="7"/>
  <c r="D32" i="7"/>
  <c r="M1052" i="2" l="1"/>
  <c r="T1052" i="2"/>
  <c r="T1059" i="2" s="1"/>
  <c r="T1066" i="2" s="1"/>
  <c r="P1052" i="2"/>
  <c r="U1052" i="2"/>
  <c r="U1087" i="2" s="1"/>
  <c r="V1052" i="2"/>
  <c r="E10" i="7"/>
  <c r="G10" i="7" s="1"/>
  <c r="G1052" i="2" s="1"/>
  <c r="G1087" i="2" s="1"/>
  <c r="D20" i="8"/>
  <c r="E20" i="7"/>
  <c r="G20" i="7" s="1"/>
  <c r="L1052" i="2" s="1"/>
  <c r="L1087" i="2" s="1"/>
  <c r="D24" i="8"/>
  <c r="E16" i="7"/>
  <c r="G16" i="7" s="1"/>
  <c r="D16" i="8"/>
  <c r="D26" i="8"/>
  <c r="E26" i="8" s="1"/>
  <c r="E18" i="7"/>
  <c r="G18" i="7" s="1"/>
  <c r="D18" i="8"/>
  <c r="E24" i="7"/>
  <c r="G24" i="7" s="1"/>
  <c r="N1052" i="2" s="1"/>
  <c r="D22" i="8"/>
  <c r="E30" i="7"/>
  <c r="D30" i="8"/>
  <c r="E30" i="8" s="1"/>
  <c r="D30" i="7"/>
  <c r="U1073" i="2" l="1"/>
  <c r="U1080" i="2"/>
  <c r="T1073" i="2"/>
  <c r="U1059" i="2"/>
  <c r="U1066" i="2" s="1"/>
  <c r="T1080" i="2"/>
  <c r="K1052" i="2"/>
  <c r="K1087" i="2" s="1"/>
  <c r="L1073" i="2"/>
  <c r="T1087" i="2"/>
  <c r="L1059" i="2"/>
  <c r="L1066" i="2" s="1"/>
  <c r="J1052" i="2"/>
  <c r="J1059" i="2" s="1"/>
  <c r="J1066" i="2" s="1"/>
  <c r="L1080" i="2"/>
  <c r="G1080" i="2"/>
  <c r="K1073" i="2"/>
  <c r="G1059" i="2"/>
  <c r="G1066" i="2" s="1"/>
  <c r="M1087" i="2"/>
  <c r="M1073" i="2"/>
  <c r="M1080" i="2"/>
  <c r="M1059" i="2"/>
  <c r="M1066" i="2" s="1"/>
  <c r="G1073" i="2"/>
  <c r="C34" i="7"/>
  <c r="G34" i="7" s="1"/>
  <c r="S1052" i="2" s="1"/>
  <c r="C30" i="7"/>
  <c r="G30" i="7" s="1"/>
  <c r="Q1052" i="2" s="1"/>
  <c r="AA1089" i="2"/>
  <c r="AB1089" i="2" s="1"/>
  <c r="Z1087" i="2"/>
  <c r="Y1087" i="2"/>
  <c r="X1087" i="2"/>
  <c r="W1087" i="2"/>
  <c r="V1087" i="2"/>
  <c r="AA1082" i="2"/>
  <c r="AB1082" i="2" s="1"/>
  <c r="Z1080" i="2"/>
  <c r="Y1080" i="2"/>
  <c r="X1080" i="2"/>
  <c r="W1080" i="2"/>
  <c r="V1080" i="2"/>
  <c r="AA1075" i="2"/>
  <c r="AB1075" i="2" s="1"/>
  <c r="Z1073" i="2"/>
  <c r="Y1073" i="2"/>
  <c r="X1073" i="2"/>
  <c r="W1073" i="2"/>
  <c r="V1073" i="2"/>
  <c r="AA1061" i="2"/>
  <c r="AB1061" i="2" s="1"/>
  <c r="Z1059" i="2"/>
  <c r="Y1059" i="2"/>
  <c r="X1059" i="2"/>
  <c r="W1059" i="2"/>
  <c r="V1059" i="2"/>
  <c r="F1106" i="2"/>
  <c r="AA1109" i="2"/>
  <c r="AB1109" i="2" s="1"/>
  <c r="AA1110" i="2"/>
  <c r="AB1110" i="2" s="1"/>
  <c r="AA1054" i="2"/>
  <c r="AB1054" i="2" s="1"/>
  <c r="Z1052" i="2"/>
  <c r="Z1066" i="2" s="1"/>
  <c r="Y1052" i="2"/>
  <c r="Y1066" i="2" s="1"/>
  <c r="X1052" i="2"/>
  <c r="X1066" i="2" s="1"/>
  <c r="W1052" i="2"/>
  <c r="W1066" i="2" s="1"/>
  <c r="V1066" i="2"/>
  <c r="F1037" i="2"/>
  <c r="AA1039" i="2"/>
  <c r="AB1039" i="2" s="1"/>
  <c r="Z1037" i="2"/>
  <c r="Y1037" i="2"/>
  <c r="X1037" i="2"/>
  <c r="W1037" i="2"/>
  <c r="AA1025" i="2"/>
  <c r="AB1025" i="2" s="1"/>
  <c r="Z1023" i="2"/>
  <c r="Y1023" i="2"/>
  <c r="X1023" i="2"/>
  <c r="W1023" i="2"/>
  <c r="K1059" i="2" l="1"/>
  <c r="K1066" i="2" s="1"/>
  <c r="J1073" i="2"/>
  <c r="K1080" i="2"/>
  <c r="J1080" i="2"/>
  <c r="S1059" i="2"/>
  <c r="S1066" i="2" s="1"/>
  <c r="S1073" i="2"/>
  <c r="S1087" i="2"/>
  <c r="S1080" i="2"/>
  <c r="J1087" i="2"/>
  <c r="P1087" i="2"/>
  <c r="P1073" i="2"/>
  <c r="P1059" i="2"/>
  <c r="P1066" i="2" s="1"/>
  <c r="P1080" i="2"/>
  <c r="F1044" i="2"/>
  <c r="F1002" i="2"/>
  <c r="D14" i="8" l="1"/>
  <c r="E14" i="7"/>
  <c r="G14" i="7" s="1"/>
  <c r="I1052" i="2" s="1"/>
  <c r="G993" i="2"/>
  <c r="I1080" i="2" l="1"/>
  <c r="I1059" i="2"/>
  <c r="I1066" i="2" s="1"/>
  <c r="I1087" i="2"/>
  <c r="I1073" i="2"/>
  <c r="H1087" i="2"/>
  <c r="H1059" i="2"/>
  <c r="H1080" i="2"/>
  <c r="H1073" i="2"/>
  <c r="AA997" i="2"/>
  <c r="AB997" i="2" s="1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AB996" i="2"/>
  <c r="AB995" i="2"/>
  <c r="H1066" i="2" l="1"/>
  <c r="F165" i="1" l="1"/>
  <c r="E848" i="2" l="1"/>
  <c r="H632" i="1" l="1"/>
  <c r="G994" i="2" l="1"/>
  <c r="C26" i="7"/>
  <c r="G26" i="7" s="1"/>
  <c r="O1052" i="2" s="1"/>
  <c r="O1080" i="2" l="1"/>
  <c r="O1059" i="2"/>
  <c r="O1066" i="2" s="1"/>
  <c r="O1073" i="2"/>
  <c r="O1087" i="2"/>
  <c r="N1087" i="2"/>
  <c r="N1080" i="2"/>
  <c r="N1073" i="2"/>
  <c r="N1059" i="2"/>
  <c r="E51" i="24"/>
  <c r="G51" i="24"/>
  <c r="H51" i="24"/>
  <c r="F51" i="24"/>
  <c r="H965" i="2"/>
  <c r="AA991" i="2"/>
  <c r="AB991" i="2" s="1"/>
  <c r="F465" i="1"/>
  <c r="N1066" i="2" l="1"/>
  <c r="F108" i="1"/>
  <c r="F48" i="1"/>
  <c r="F35" i="1"/>
  <c r="F29" i="1"/>
  <c r="F50" i="1" l="1"/>
  <c r="F117" i="1" l="1"/>
  <c r="N1009" i="2" l="1"/>
  <c r="N1016" i="2" s="1"/>
  <c r="E890" i="2"/>
  <c r="A35" i="4"/>
  <c r="A62" i="4" s="1"/>
  <c r="AA752" i="2"/>
  <c r="AB752" i="2" s="1"/>
  <c r="V618" i="1"/>
  <c r="U618" i="1"/>
  <c r="F1121" i="2"/>
  <c r="F768" i="2" s="1"/>
  <c r="S969" i="2"/>
  <c r="S980" i="2" s="1"/>
  <c r="E40" i="8"/>
  <c r="Q969" i="2"/>
  <c r="Q980" i="2" s="1"/>
  <c r="Q981" i="2" s="1"/>
  <c r="E24" i="8"/>
  <c r="E22" i="8"/>
  <c r="O1002" i="2"/>
  <c r="L969" i="2"/>
  <c r="I969" i="2"/>
  <c r="G969" i="2"/>
  <c r="T1002" i="2"/>
  <c r="N1002" i="2"/>
  <c r="L1002" i="2"/>
  <c r="T1009" i="2"/>
  <c r="T1016" i="2" s="1"/>
  <c r="I1009" i="2"/>
  <c r="I1016" i="2" s="1"/>
  <c r="H1009" i="2"/>
  <c r="H1016" i="2" s="1"/>
  <c r="G1002" i="2"/>
  <c r="G1009" i="2"/>
  <c r="G1016" i="2" s="1"/>
  <c r="G992" i="2"/>
  <c r="J1002" i="2"/>
  <c r="J1009" i="2"/>
  <c r="J1016" i="2" s="1"/>
  <c r="V909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D37" i="31"/>
  <c r="E37" i="31" s="1"/>
  <c r="K37" i="31" s="1"/>
  <c r="L37" i="31" s="1"/>
  <c r="V1030" i="2"/>
  <c r="W965" i="2"/>
  <c r="W1030" i="2" s="1"/>
  <c r="M1002" i="2"/>
  <c r="M1009" i="2"/>
  <c r="M1016" i="2" s="1"/>
  <c r="C32" i="7"/>
  <c r="G32" i="7" s="1"/>
  <c r="R1052" i="2" s="1"/>
  <c r="F131" i="1"/>
  <c r="U1002" i="2"/>
  <c r="S1002" i="2"/>
  <c r="R1002" i="2"/>
  <c r="Q1002" i="2"/>
  <c r="P1002" i="2"/>
  <c r="U1009" i="2"/>
  <c r="U1016" i="2" s="1"/>
  <c r="S1009" i="2"/>
  <c r="S1016" i="2" s="1"/>
  <c r="R1009" i="2"/>
  <c r="R1016" i="2" s="1"/>
  <c r="Q1009" i="2"/>
  <c r="Q1016" i="2" s="1"/>
  <c r="P1009" i="2"/>
  <c r="P1016" i="2" s="1"/>
  <c r="G45" i="7"/>
  <c r="E20" i="8"/>
  <c r="E18" i="8"/>
  <c r="D10" i="8"/>
  <c r="E10" i="8" s="1"/>
  <c r="E45" i="8"/>
  <c r="F767" i="2"/>
  <c r="I632" i="1"/>
  <c r="J632" i="1"/>
  <c r="F643" i="1"/>
  <c r="W618" i="1"/>
  <c r="AF617" i="1"/>
  <c r="AG617" i="1" s="1"/>
  <c r="O1009" i="2"/>
  <c r="O1016" i="2" s="1"/>
  <c r="E2" i="2"/>
  <c r="F2" i="2" s="1"/>
  <c r="G2" i="2" s="1"/>
  <c r="F762" i="2"/>
  <c r="F763" i="2"/>
  <c r="F776" i="2"/>
  <c r="F857" i="2" s="1"/>
  <c r="AA846" i="2"/>
  <c r="AB846" i="2" s="1"/>
  <c r="Z903" i="2"/>
  <c r="U965" i="2"/>
  <c r="V969" i="2"/>
  <c r="W969" i="2"/>
  <c r="W970" i="2" s="1"/>
  <c r="W973" i="2" s="1"/>
  <c r="X969" i="2"/>
  <c r="X970" i="2" s="1"/>
  <c r="X971" i="2" s="1"/>
  <c r="X973" i="2" s="1"/>
  <c r="Y969" i="2"/>
  <c r="Y970" i="2" s="1"/>
  <c r="Y971" i="2" s="1"/>
  <c r="Y973" i="2" s="1"/>
  <c r="Z969" i="2"/>
  <c r="Z970" i="2" s="1"/>
  <c r="Z971" i="2" s="1"/>
  <c r="Z973" i="2" s="1"/>
  <c r="X976" i="2"/>
  <c r="Y976" i="2"/>
  <c r="Z976" i="2"/>
  <c r="W981" i="2"/>
  <c r="W982" i="2" s="1"/>
  <c r="X981" i="2"/>
  <c r="X982" i="2" s="1"/>
  <c r="X984" i="2" s="1"/>
  <c r="Y981" i="2"/>
  <c r="Y982" i="2" s="1"/>
  <c r="Y984" i="2" s="1"/>
  <c r="Z981" i="2"/>
  <c r="Z982" i="2" s="1"/>
  <c r="Z984" i="2" s="1"/>
  <c r="W987" i="2"/>
  <c r="X987" i="2"/>
  <c r="Y987" i="2"/>
  <c r="Z987" i="2"/>
  <c r="V1002" i="2"/>
  <c r="V1016" i="2" s="1"/>
  <c r="W1002" i="2"/>
  <c r="W1016" i="2" s="1"/>
  <c r="X1002" i="2"/>
  <c r="X1016" i="2" s="1"/>
  <c r="Y1002" i="2"/>
  <c r="Y1016" i="2" s="1"/>
  <c r="Z1002" i="2"/>
  <c r="Z1016" i="2" s="1"/>
  <c r="AA1004" i="2"/>
  <c r="AB1004" i="2" s="1"/>
  <c r="V1009" i="2"/>
  <c r="W1009" i="2"/>
  <c r="X1009" i="2"/>
  <c r="Y1009" i="2"/>
  <c r="Z1009" i="2"/>
  <c r="AA1011" i="2"/>
  <c r="AB1011" i="2" s="1"/>
  <c r="X1030" i="2"/>
  <c r="Y1030" i="2"/>
  <c r="Z1030" i="2"/>
  <c r="AA1032" i="2"/>
  <c r="AB1032" i="2" s="1"/>
  <c r="H1116" i="2"/>
  <c r="U1116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9" i="5"/>
  <c r="G39" i="5"/>
  <c r="F15" i="1"/>
  <c r="B39" i="5"/>
  <c r="M969" i="2"/>
  <c r="T618" i="1"/>
  <c r="H969" i="2"/>
  <c r="E36" i="8"/>
  <c r="R969" i="2"/>
  <c r="R980" i="2" s="1"/>
  <c r="U969" i="2"/>
  <c r="U980" i="2" s="1"/>
  <c r="H1002" i="2"/>
  <c r="E38" i="8"/>
  <c r="G1116" i="2"/>
  <c r="T969" i="2"/>
  <c r="T980" i="2" s="1"/>
  <c r="T987" i="2" s="1"/>
  <c r="G963" i="2"/>
  <c r="L1009" i="2"/>
  <c r="L1016" i="2" s="1"/>
  <c r="I1002" i="2"/>
  <c r="G1105" i="2" l="1"/>
  <c r="G1104" i="2"/>
  <c r="AA1104" i="2" s="1"/>
  <c r="AB1104" i="2" s="1"/>
  <c r="H980" i="2"/>
  <c r="G980" i="2" s="1"/>
  <c r="G984" i="2" s="1"/>
  <c r="H1105" i="2"/>
  <c r="H1104" i="2"/>
  <c r="F769" i="2"/>
  <c r="AB768" i="2"/>
  <c r="R981" i="2"/>
  <c r="R984" i="2"/>
  <c r="V970" i="2"/>
  <c r="V971" i="2" s="1"/>
  <c r="V980" i="2"/>
  <c r="R1080" i="2"/>
  <c r="R1059" i="2"/>
  <c r="R1066" i="2" s="1"/>
  <c r="R1073" i="2"/>
  <c r="R1087" i="2"/>
  <c r="G921" i="2"/>
  <c r="H970" i="2"/>
  <c r="H974" i="2" s="1"/>
  <c r="S987" i="2"/>
  <c r="M970" i="2"/>
  <c r="M973" i="2" s="1"/>
  <c r="L970" i="2"/>
  <c r="L971" i="2" s="1"/>
  <c r="I987" i="2"/>
  <c r="I988" i="2" s="1"/>
  <c r="Q1087" i="2"/>
  <c r="Q1059" i="2"/>
  <c r="Q1080" i="2"/>
  <c r="AA1080" i="2" s="1"/>
  <c r="Q1073" i="2"/>
  <c r="AA1052" i="2"/>
  <c r="F1023" i="2"/>
  <c r="F1016" i="2"/>
  <c r="F96" i="1"/>
  <c r="R1030" i="2"/>
  <c r="R1037" i="2" s="1"/>
  <c r="R1044" i="2" s="1"/>
  <c r="R1023" i="2"/>
  <c r="M1030" i="2"/>
  <c r="M1037" i="2" s="1"/>
  <c r="M1044" i="2" s="1"/>
  <c r="M1023" i="2"/>
  <c r="H1030" i="2"/>
  <c r="H1037" i="2" s="1"/>
  <c r="H1044" i="2" s="1"/>
  <c r="H1023" i="2"/>
  <c r="O1030" i="2"/>
  <c r="O1037" i="2" s="1"/>
  <c r="O1044" i="2" s="1"/>
  <c r="O1023" i="2"/>
  <c r="S1030" i="2"/>
  <c r="S1037" i="2" s="1"/>
  <c r="S1044" i="2" s="1"/>
  <c r="S1023" i="2"/>
  <c r="I1030" i="2"/>
  <c r="I1037" i="2" s="1"/>
  <c r="I1044" i="2" s="1"/>
  <c r="I1023" i="2"/>
  <c r="Q1030" i="2"/>
  <c r="Q1037" i="2" s="1"/>
  <c r="Q1044" i="2" s="1"/>
  <c r="Q1023" i="2"/>
  <c r="J1030" i="2"/>
  <c r="J1037" i="2" s="1"/>
  <c r="J1044" i="2" s="1"/>
  <c r="J1023" i="2"/>
  <c r="L1030" i="2"/>
  <c r="L1037" i="2" s="1"/>
  <c r="L1044" i="2" s="1"/>
  <c r="L1023" i="2"/>
  <c r="P1030" i="2"/>
  <c r="P1037" i="2" s="1"/>
  <c r="P1044" i="2" s="1"/>
  <c r="P1023" i="2"/>
  <c r="U1030" i="2"/>
  <c r="U1037" i="2" s="1"/>
  <c r="U1044" i="2" s="1"/>
  <c r="U1023" i="2"/>
  <c r="G1030" i="2"/>
  <c r="G1037" i="2" s="1"/>
  <c r="G1044" i="2" s="1"/>
  <c r="G1023" i="2"/>
  <c r="T1030" i="2"/>
  <c r="T1037" i="2" s="1"/>
  <c r="T1044" i="2" s="1"/>
  <c r="T1023" i="2"/>
  <c r="N1030" i="2"/>
  <c r="N1037" i="2" s="1"/>
  <c r="N1044" i="2" s="1"/>
  <c r="N1023" i="2"/>
  <c r="F425" i="1"/>
  <c r="T965" i="2"/>
  <c r="P969" i="2"/>
  <c r="P980" i="2" s="1"/>
  <c r="K969" i="2"/>
  <c r="O969" i="2"/>
  <c r="G959" i="2"/>
  <c r="W976" i="2"/>
  <c r="W974" i="2"/>
  <c r="W975" i="2" s="1"/>
  <c r="L981" i="2"/>
  <c r="L984" i="2" s="1"/>
  <c r="W984" i="2"/>
  <c r="W985" i="2" s="1"/>
  <c r="W986" i="2" s="1"/>
  <c r="F1119" i="2"/>
  <c r="W971" i="2"/>
  <c r="F608" i="1"/>
  <c r="G276" i="1"/>
  <c r="G278" i="1" s="1"/>
  <c r="G308" i="1" s="1"/>
  <c r="G703" i="2"/>
  <c r="AA821" i="2"/>
  <c r="AB821" i="2" s="1"/>
  <c r="G702" i="2"/>
  <c r="H2" i="2"/>
  <c r="G965" i="2"/>
  <c r="G51" i="14"/>
  <c r="AF632" i="1"/>
  <c r="AG632" i="1" s="1"/>
  <c r="AA994" i="2"/>
  <c r="AB994" i="2" s="1"/>
  <c r="I970" i="2"/>
  <c r="I971" i="2" s="1"/>
  <c r="AA992" i="2"/>
  <c r="AB992" i="2" s="1"/>
  <c r="S981" i="2"/>
  <c r="S982" i="2" s="1"/>
  <c r="E39" i="5"/>
  <c r="R970" i="2"/>
  <c r="R971" i="2" s="1"/>
  <c r="R974" i="2" s="1"/>
  <c r="R975" i="2" s="1"/>
  <c r="E51" i="14"/>
  <c r="S970" i="2"/>
  <c r="S971" i="2" s="1"/>
  <c r="AA964" i="2"/>
  <c r="G970" i="2"/>
  <c r="G971" i="2" s="1"/>
  <c r="G960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9" i="2"/>
  <c r="F404" i="1"/>
  <c r="F888" i="2"/>
  <c r="T970" i="2"/>
  <c r="T971" i="2" s="1"/>
  <c r="I981" i="2"/>
  <c r="I982" i="2" s="1"/>
  <c r="F188" i="1"/>
  <c r="F167" i="1"/>
  <c r="Q970" i="2"/>
  <c r="D39" i="5"/>
  <c r="F383" i="1"/>
  <c r="F276" i="1"/>
  <c r="F278" i="1" s="1"/>
  <c r="E34" i="8"/>
  <c r="AF626" i="1"/>
  <c r="AG626" i="1" s="1"/>
  <c r="AF618" i="1"/>
  <c r="AG618" i="1" s="1"/>
  <c r="AF619" i="1"/>
  <c r="AG619" i="1" s="1"/>
  <c r="G486" i="1"/>
  <c r="G488" i="1" s="1"/>
  <c r="G490" i="1" s="1"/>
  <c r="F209" i="1"/>
  <c r="N969" i="2"/>
  <c r="K1002" i="2"/>
  <c r="AA1002" i="2" s="1"/>
  <c r="AB1002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9" i="5"/>
  <c r="F964" i="2" s="1"/>
  <c r="E14" i="8"/>
  <c r="E16" i="8"/>
  <c r="AA993" i="2"/>
  <c r="AB993" i="2" s="1"/>
  <c r="U987" i="2"/>
  <c r="U981" i="2"/>
  <c r="U982" i="2" s="1"/>
  <c r="G981" i="2"/>
  <c r="G982" i="2" s="1"/>
  <c r="J51" i="14"/>
  <c r="U970" i="2"/>
  <c r="I51" i="14" l="1"/>
  <c r="V973" i="2"/>
  <c r="V974" i="2" s="1"/>
  <c r="AA1073" i="2"/>
  <c r="AA1087" i="2"/>
  <c r="L973" i="2"/>
  <c r="V981" i="2"/>
  <c r="V987" i="2"/>
  <c r="Q974" i="2"/>
  <c r="Q1095" i="2" s="1"/>
  <c r="L974" i="2"/>
  <c r="L1095" i="2" s="1"/>
  <c r="R985" i="2"/>
  <c r="R986" i="2" s="1"/>
  <c r="R988" i="2"/>
  <c r="R982" i="2"/>
  <c r="R987" i="2"/>
  <c r="H973" i="2"/>
  <c r="H971" i="2"/>
  <c r="H960" i="2" s="1"/>
  <c r="V976" i="2"/>
  <c r="M971" i="2"/>
  <c r="M974" i="2"/>
  <c r="H976" i="2"/>
  <c r="H977" i="2" s="1"/>
  <c r="H1095" i="2"/>
  <c r="L976" i="2"/>
  <c r="P984" i="2"/>
  <c r="K970" i="2"/>
  <c r="K971" i="2" s="1"/>
  <c r="F963" i="2"/>
  <c r="F697" i="2"/>
  <c r="Q1066" i="2"/>
  <c r="AA1066" i="2" s="1"/>
  <c r="AA1059" i="2"/>
  <c r="H703" i="2"/>
  <c r="H921" i="2"/>
  <c r="F98" i="1"/>
  <c r="F110" i="1" s="1"/>
  <c r="F141" i="1" s="1"/>
  <c r="K1023" i="2"/>
  <c r="AA1023" i="2" s="1"/>
  <c r="AB1023" i="2" s="1"/>
  <c r="K1016" i="2"/>
  <c r="Q984" i="2"/>
  <c r="P981" i="2"/>
  <c r="AB964" i="2"/>
  <c r="O970" i="2"/>
  <c r="O971" i="2" s="1"/>
  <c r="R973" i="2"/>
  <c r="I974" i="2"/>
  <c r="I973" i="2"/>
  <c r="I975" i="2" s="1"/>
  <c r="U971" i="2"/>
  <c r="U973" i="2"/>
  <c r="U975" i="2" s="1"/>
  <c r="U974" i="2"/>
  <c r="U976" i="2" s="1"/>
  <c r="U977" i="2" s="1"/>
  <c r="Q971" i="2"/>
  <c r="Q973" i="2"/>
  <c r="T973" i="2"/>
  <c r="T975" i="2" s="1"/>
  <c r="T974" i="2"/>
  <c r="S974" i="2"/>
  <c r="S973" i="2"/>
  <c r="AA1105" i="2"/>
  <c r="AB1105" i="2" s="1"/>
  <c r="L985" i="2"/>
  <c r="L986" i="2" s="1"/>
  <c r="AA1009" i="2"/>
  <c r="AB1009" i="2" s="1"/>
  <c r="K1030" i="2"/>
  <c r="K1037" i="2" s="1"/>
  <c r="K1044" i="2" s="1"/>
  <c r="AA1044" i="2" s="1"/>
  <c r="AB1044" i="2" s="1"/>
  <c r="J51" i="24"/>
  <c r="I51" i="24"/>
  <c r="K987" i="2"/>
  <c r="K988" i="2" s="1"/>
  <c r="P970" i="2"/>
  <c r="P972" i="2" s="1"/>
  <c r="AA972" i="2" s="1"/>
  <c r="AB972" i="2" s="1"/>
  <c r="H987" i="2"/>
  <c r="H988" i="2" s="1"/>
  <c r="L982" i="2"/>
  <c r="L987" i="2"/>
  <c r="H959" i="2"/>
  <c r="I2" i="2"/>
  <c r="H702" i="2"/>
  <c r="F427" i="1"/>
  <c r="F490" i="1" s="1"/>
  <c r="F540" i="1" s="1"/>
  <c r="F542" i="1" s="1"/>
  <c r="H442" i="1"/>
  <c r="H480" i="1"/>
  <c r="S984" i="2"/>
  <c r="S985" i="2" s="1"/>
  <c r="G974" i="2"/>
  <c r="G1095" i="2" s="1"/>
  <c r="F33" i="24"/>
  <c r="H953" i="2"/>
  <c r="G973" i="2"/>
  <c r="H981" i="2"/>
  <c r="H982" i="2" s="1"/>
  <c r="G953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2" i="7"/>
  <c r="E42" i="8"/>
  <c r="F12" i="8" s="1"/>
  <c r="H957" i="2" s="1"/>
  <c r="H640" i="1"/>
  <c r="H124" i="1" s="1"/>
  <c r="H267" i="1"/>
  <c r="I985" i="2"/>
  <c r="I986" i="2" s="1"/>
  <c r="I984" i="2"/>
  <c r="M981" i="2"/>
  <c r="M987" i="2"/>
  <c r="T981" i="2"/>
  <c r="T982" i="2" s="1"/>
  <c r="H233" i="1"/>
  <c r="H441" i="1"/>
  <c r="H575" i="1"/>
  <c r="AA963" i="2"/>
  <c r="AA965" i="2"/>
  <c r="J969" i="2"/>
  <c r="AA968" i="2"/>
  <c r="AB968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2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70" i="2"/>
  <c r="N971" i="2" s="1"/>
  <c r="AA1116" i="2"/>
  <c r="AB1116" i="2" s="1"/>
  <c r="H102" i="1"/>
  <c r="H447" i="1"/>
  <c r="H584" i="1"/>
  <c r="H592" i="1"/>
  <c r="E42" i="7"/>
  <c r="G985" i="2"/>
  <c r="U984" i="2"/>
  <c r="H975" i="2"/>
  <c r="H961" i="2"/>
  <c r="K974" i="2" l="1"/>
  <c r="K973" i="2"/>
  <c r="Q975" i="2"/>
  <c r="Q976" i="2"/>
  <c r="Q977" i="2" s="1"/>
  <c r="H956" i="2"/>
  <c r="T976" i="2"/>
  <c r="T977" i="2" s="1"/>
  <c r="T1095" i="2"/>
  <c r="M1095" i="2"/>
  <c r="M976" i="2"/>
  <c r="M977" i="2" s="1"/>
  <c r="M988" i="2" s="1"/>
  <c r="V982" i="2"/>
  <c r="V984" i="2"/>
  <c r="V985" i="2" s="1"/>
  <c r="F1052" i="2"/>
  <c r="F1073" i="2" s="1"/>
  <c r="AB1073" i="2" s="1"/>
  <c r="H12" i="7"/>
  <c r="H958" i="2" s="1"/>
  <c r="S976" i="2"/>
  <c r="S977" i="2" s="1"/>
  <c r="S988" i="2" s="1"/>
  <c r="S1095" i="2"/>
  <c r="R976" i="2"/>
  <c r="R977" i="2" s="1"/>
  <c r="R1095" i="2"/>
  <c r="H697" i="2"/>
  <c r="K976" i="2"/>
  <c r="K977" i="2" s="1"/>
  <c r="K1095" i="2"/>
  <c r="I976" i="2"/>
  <c r="I1095" i="2"/>
  <c r="I921" i="2"/>
  <c r="H751" i="2"/>
  <c r="G751" i="2"/>
  <c r="J51" i="27"/>
  <c r="I51" i="27"/>
  <c r="M55" i="24"/>
  <c r="M56" i="24" s="1"/>
  <c r="M59" i="24" s="1"/>
  <c r="L56" i="24"/>
  <c r="L59" i="24" s="1"/>
  <c r="AA1016" i="2"/>
  <c r="AB1016" i="2" s="1"/>
  <c r="O973" i="2"/>
  <c r="O974" i="2" s="1"/>
  <c r="P974" i="2"/>
  <c r="P1095" i="2" s="1"/>
  <c r="P973" i="2"/>
  <c r="P988" i="2"/>
  <c r="P987" i="2"/>
  <c r="P985" i="2"/>
  <c r="P986" i="2" s="1"/>
  <c r="P982" i="2"/>
  <c r="Q987" i="2"/>
  <c r="Q985" i="2"/>
  <c r="Q986" i="2" s="1"/>
  <c r="Q988" i="2"/>
  <c r="Q982" i="2"/>
  <c r="N973" i="2"/>
  <c r="G961" i="2"/>
  <c r="G976" i="2"/>
  <c r="G977" i="2" s="1"/>
  <c r="P971" i="2"/>
  <c r="F16" i="8"/>
  <c r="J957" i="2" s="1"/>
  <c r="F26" i="8"/>
  <c r="O957" i="2" s="1"/>
  <c r="F32" i="8"/>
  <c r="R957" i="2" s="1"/>
  <c r="F30" i="8"/>
  <c r="Q957" i="2" s="1"/>
  <c r="F28" i="8"/>
  <c r="P957" i="2" s="1"/>
  <c r="H36" i="7"/>
  <c r="T958" i="2" s="1"/>
  <c r="H38" i="7"/>
  <c r="U958" i="2" s="1"/>
  <c r="H20" i="7"/>
  <c r="L958" i="2" s="1"/>
  <c r="H34" i="7"/>
  <c r="S958" i="2" s="1"/>
  <c r="AA1037" i="2"/>
  <c r="AB1037" i="2" s="1"/>
  <c r="I584" i="1"/>
  <c r="I250" i="1"/>
  <c r="K33" i="24"/>
  <c r="L33" i="24" s="1"/>
  <c r="I959" i="2"/>
  <c r="I703" i="2"/>
  <c r="I702" i="2"/>
  <c r="J2" i="2"/>
  <c r="I953" i="2"/>
  <c r="I751" i="2"/>
  <c r="I960" i="2"/>
  <c r="I961" i="2"/>
  <c r="F516" i="1"/>
  <c r="F308" i="1"/>
  <c r="H50" i="1"/>
  <c r="I653" i="1"/>
  <c r="H14" i="7"/>
  <c r="I958" i="2" s="1"/>
  <c r="H28" i="7"/>
  <c r="P958" i="2" s="1"/>
  <c r="G975" i="2"/>
  <c r="H16" i="7"/>
  <c r="J958" i="2" s="1"/>
  <c r="H40" i="7"/>
  <c r="V958" i="2" s="1"/>
  <c r="F33" i="14"/>
  <c r="H30" i="7"/>
  <c r="Q958" i="2" s="1"/>
  <c r="H24" i="7"/>
  <c r="N958" i="2" s="1"/>
  <c r="H985" i="2"/>
  <c r="H986" i="2" s="1"/>
  <c r="H984" i="2"/>
  <c r="H26" i="7"/>
  <c r="O958" i="2" s="1"/>
  <c r="F20" i="8"/>
  <c r="L957" i="2" s="1"/>
  <c r="H10" i="7"/>
  <c r="H22" i="7"/>
  <c r="M958" i="2" s="1"/>
  <c r="H32" i="7"/>
  <c r="R958" i="2" s="1"/>
  <c r="H18" i="7"/>
  <c r="K958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4" i="8"/>
  <c r="F22" i="8"/>
  <c r="M957" i="2" s="1"/>
  <c r="F34" i="8"/>
  <c r="S957" i="2" s="1"/>
  <c r="I268" i="1"/>
  <c r="I455" i="1"/>
  <c r="I643" i="1"/>
  <c r="F18" i="8"/>
  <c r="K957" i="2" s="1"/>
  <c r="I457" i="1"/>
  <c r="I265" i="1"/>
  <c r="F10" i="8"/>
  <c r="I249" i="1"/>
  <c r="I475" i="1"/>
  <c r="F40" i="8"/>
  <c r="V957" i="2" s="1"/>
  <c r="F36" i="8"/>
  <c r="T957" i="2" s="1"/>
  <c r="F24" i="8"/>
  <c r="N957" i="2" s="1"/>
  <c r="I266" i="1"/>
  <c r="I270" i="1"/>
  <c r="F38" i="8"/>
  <c r="U957" i="2" s="1"/>
  <c r="T988" i="2"/>
  <c r="T984" i="2"/>
  <c r="M982" i="2"/>
  <c r="M985" i="2"/>
  <c r="M984" i="2"/>
  <c r="I633" i="1"/>
  <c r="I375" i="1" s="1"/>
  <c r="I381" i="1" s="1"/>
  <c r="G697" i="2"/>
  <c r="F709" i="2"/>
  <c r="I697" i="2"/>
  <c r="I458" i="1"/>
  <c r="N974" i="2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5" i="2"/>
  <c r="AC965" i="2"/>
  <c r="I306" i="1"/>
  <c r="I48" i="1"/>
  <c r="H450" i="1"/>
  <c r="N987" i="2"/>
  <c r="N981" i="2"/>
  <c r="N982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70" i="2"/>
  <c r="J973" i="2" s="1"/>
  <c r="AA969" i="2"/>
  <c r="AB969" i="2" s="1"/>
  <c r="AC963" i="2"/>
  <c r="AB963" i="2"/>
  <c r="I480" i="1"/>
  <c r="I461" i="1"/>
  <c r="U985" i="2"/>
  <c r="U986" i="2"/>
  <c r="G986" i="2"/>
  <c r="G987" i="2"/>
  <c r="G988" i="2" s="1"/>
  <c r="F1080" i="2" l="1"/>
  <c r="AB1080" i="2" s="1"/>
  <c r="F1059" i="2"/>
  <c r="F1087" i="2"/>
  <c r="AB1087" i="2" s="1"/>
  <c r="AB1052" i="2"/>
  <c r="T986" i="2"/>
  <c r="T985" i="2"/>
  <c r="I956" i="2"/>
  <c r="I977" i="2"/>
  <c r="I957" i="2"/>
  <c r="H774" i="2"/>
  <c r="O976" i="2"/>
  <c r="O1095" i="2"/>
  <c r="N1095" i="2"/>
  <c r="J921" i="2"/>
  <c r="K985" i="2"/>
  <c r="K984" i="2"/>
  <c r="AB1059" i="2"/>
  <c r="F1066" i="2"/>
  <c r="AB1066" i="2" s="1"/>
  <c r="P976" i="2"/>
  <c r="P977" i="2" s="1"/>
  <c r="P975" i="2"/>
  <c r="AA975" i="2" s="1"/>
  <c r="AB975" i="2" s="1"/>
  <c r="O987" i="2"/>
  <c r="O985" i="2"/>
  <c r="H105" i="1"/>
  <c r="H77" i="1"/>
  <c r="J697" i="2"/>
  <c r="K2" i="2"/>
  <c r="K961" i="2" s="1"/>
  <c r="K33" i="14"/>
  <c r="L33" i="14" s="1"/>
  <c r="J702" i="2"/>
  <c r="J751" i="2"/>
  <c r="J953" i="2"/>
  <c r="J703" i="2"/>
  <c r="J959" i="2"/>
  <c r="G956" i="2"/>
  <c r="K960" i="2"/>
  <c r="I573" i="1"/>
  <c r="I50" i="1"/>
  <c r="J574" i="1"/>
  <c r="H42" i="7"/>
  <c r="G958" i="2"/>
  <c r="AA958" i="2" s="1"/>
  <c r="AB958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2" i="8"/>
  <c r="G957" i="2"/>
  <c r="AA957" i="2" s="1"/>
  <c r="AB957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I659" i="1"/>
  <c r="I159" i="1"/>
  <c r="I165" i="1" s="1"/>
  <c r="H636" i="1"/>
  <c r="H453" i="1" s="1"/>
  <c r="F748" i="2"/>
  <c r="F754" i="2" s="1"/>
  <c r="F734" i="2"/>
  <c r="I774" i="2"/>
  <c r="G774" i="2"/>
  <c r="J643" i="1"/>
  <c r="H474" i="1"/>
  <c r="AA1030" i="2"/>
  <c r="AB1030" i="2" s="1"/>
  <c r="J974" i="2"/>
  <c r="J1095" i="2" s="1"/>
  <c r="J971" i="2"/>
  <c r="AA970" i="2"/>
  <c r="AB970" i="2" s="1"/>
  <c r="N984" i="2"/>
  <c r="N985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7" i="2"/>
  <c r="J981" i="2"/>
  <c r="AA980" i="2"/>
  <c r="AB980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AA1095" i="2" l="1"/>
  <c r="AB1095" i="2" s="1"/>
  <c r="K956" i="2"/>
  <c r="K959" i="2"/>
  <c r="K697" i="2"/>
  <c r="K774" i="2" s="1"/>
  <c r="K953" i="2"/>
  <c r="K921" i="2"/>
  <c r="K751" i="2"/>
  <c r="K702" i="2"/>
  <c r="J774" i="2"/>
  <c r="AA987" i="2"/>
  <c r="AB987" i="2" s="1"/>
  <c r="AA986" i="2"/>
  <c r="AB986" i="2" s="1"/>
  <c r="H79" i="1"/>
  <c r="H96" i="1" s="1"/>
  <c r="J961" i="2"/>
  <c r="J976" i="2"/>
  <c r="I105" i="1"/>
  <c r="I77" i="1"/>
  <c r="K703" i="2"/>
  <c r="L2" i="2"/>
  <c r="J668" i="1"/>
  <c r="J50" i="1"/>
  <c r="J77" i="1" s="1"/>
  <c r="K653" i="1"/>
  <c r="K479" i="1"/>
  <c r="AA974" i="2"/>
  <c r="AB974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3" i="2"/>
  <c r="F795" i="2"/>
  <c r="F810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60" i="2"/>
  <c r="AA971" i="2"/>
  <c r="AB971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2" i="2"/>
  <c r="AA982" i="2" s="1"/>
  <c r="AB982" i="2" s="1"/>
  <c r="J984" i="2"/>
  <c r="AA984" i="2" s="1"/>
  <c r="AB984" i="2" s="1"/>
  <c r="J985" i="2"/>
  <c r="AA985" i="2" s="1"/>
  <c r="AB985" i="2" s="1"/>
  <c r="AA981" i="2"/>
  <c r="AB981" i="2" s="1"/>
  <c r="J396" i="1"/>
  <c r="AA973" i="2"/>
  <c r="AB973" i="2" s="1"/>
  <c r="K574" i="1"/>
  <c r="K584" i="1"/>
  <c r="K232" i="1"/>
  <c r="K443" i="1"/>
  <c r="K499" i="1"/>
  <c r="K455" i="1"/>
  <c r="H139" i="1"/>
  <c r="H108" i="1"/>
  <c r="U988" i="2"/>
  <c r="L921" i="2" l="1"/>
  <c r="I79" i="1"/>
  <c r="I96" i="1" s="1"/>
  <c r="AA977" i="2"/>
  <c r="AB977" i="2" s="1"/>
  <c r="J13" i="1"/>
  <c r="J105" i="1"/>
  <c r="L956" i="2"/>
  <c r="L960" i="2"/>
  <c r="L953" i="2"/>
  <c r="L751" i="2"/>
  <c r="L703" i="2"/>
  <c r="L702" i="2"/>
  <c r="L959" i="2"/>
  <c r="M2" i="2"/>
  <c r="L697" i="2"/>
  <c r="L961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6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6" i="2"/>
  <c r="AA976" i="2"/>
  <c r="AB976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8" i="2"/>
  <c r="AB988" i="2" s="1"/>
  <c r="M921" i="2" l="1"/>
  <c r="L774" i="2"/>
  <c r="K105" i="1"/>
  <c r="K77" i="1"/>
  <c r="K79" i="1" s="1"/>
  <c r="M959" i="2"/>
  <c r="M697" i="2"/>
  <c r="M703" i="2"/>
  <c r="M961" i="2"/>
  <c r="N2" i="2"/>
  <c r="M953" i="2"/>
  <c r="M751" i="2"/>
  <c r="M956" i="2"/>
  <c r="M702" i="2"/>
  <c r="M960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21" i="2" l="1"/>
  <c r="M774" i="2"/>
  <c r="L105" i="1"/>
  <c r="L77" i="1"/>
  <c r="L79" i="1" s="1"/>
  <c r="N956" i="2"/>
  <c r="N953" i="2"/>
  <c r="N697" i="2"/>
  <c r="O2" i="2"/>
  <c r="N959" i="2"/>
  <c r="N961" i="2"/>
  <c r="N960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3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21" i="2" l="1"/>
  <c r="N774" i="2"/>
  <c r="M105" i="1"/>
  <c r="M77" i="1"/>
  <c r="M79" i="1" s="1"/>
  <c r="M96" i="1" s="1"/>
  <c r="O961" i="2"/>
  <c r="O956" i="2"/>
  <c r="O953" i="2"/>
  <c r="O697" i="2"/>
  <c r="O703" i="2"/>
  <c r="O751" i="2"/>
  <c r="O702" i="2"/>
  <c r="O959" i="2"/>
  <c r="P2" i="2"/>
  <c r="O960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5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21" i="2" l="1"/>
  <c r="O774" i="2"/>
  <c r="AA1045" i="2"/>
  <c r="AB1045" i="2" s="1"/>
  <c r="F1047" i="2"/>
  <c r="P1047" i="2" s="1"/>
  <c r="P1048" i="2" s="1"/>
  <c r="N105" i="1"/>
  <c r="N77" i="1"/>
  <c r="N137" i="1"/>
  <c r="N139" i="1" s="1"/>
  <c r="F11" i="2"/>
  <c r="P697" i="2"/>
  <c r="P960" i="2"/>
  <c r="P703" i="2"/>
  <c r="P959" i="2"/>
  <c r="P956" i="2"/>
  <c r="P751" i="2"/>
  <c r="P953" i="2"/>
  <c r="P702" i="2"/>
  <c r="P961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8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10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4" i="2" l="1"/>
  <c r="Q1047" i="2"/>
  <c r="Q1048" i="2" s="1"/>
  <c r="Q921" i="2"/>
  <c r="N79" i="1"/>
  <c r="N96" i="1" s="1"/>
  <c r="F1048" i="2"/>
  <c r="G1047" i="2"/>
  <c r="G1048" i="2" s="1"/>
  <c r="H1047" i="2"/>
  <c r="H1048" i="2" s="1"/>
  <c r="I1047" i="2"/>
  <c r="I1048" i="2" s="1"/>
  <c r="J1047" i="2"/>
  <c r="J1048" i="2" s="1"/>
  <c r="K1047" i="2"/>
  <c r="K1048" i="2" s="1"/>
  <c r="L1047" i="2"/>
  <c r="L1048" i="2" s="1"/>
  <c r="M1047" i="2"/>
  <c r="M1048" i="2" s="1"/>
  <c r="N1047" i="2"/>
  <c r="N1048" i="2" s="1"/>
  <c r="O1047" i="2"/>
  <c r="O1048" i="2" s="1"/>
  <c r="P415" i="2"/>
  <c r="O105" i="1"/>
  <c r="O77" i="1"/>
  <c r="F1040" i="2"/>
  <c r="AA1038" i="2"/>
  <c r="AB1038" i="2" s="1"/>
  <c r="P357" i="2"/>
  <c r="Q703" i="2"/>
  <c r="R2" i="2"/>
  <c r="Q751" i="2"/>
  <c r="Q959" i="2"/>
  <c r="Q953" i="2"/>
  <c r="Q299" i="2" s="1"/>
  <c r="Q702" i="2"/>
  <c r="Q961" i="2"/>
  <c r="Q960" i="2"/>
  <c r="Q956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4" i="2" l="1"/>
  <c r="R1047" i="2"/>
  <c r="R1048" i="2" s="1"/>
  <c r="R921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41" i="2"/>
  <c r="O1040" i="2"/>
  <c r="O1041" i="2" s="1"/>
  <c r="O1049" i="2" s="1"/>
  <c r="P1040" i="2"/>
  <c r="P1041" i="2" s="1"/>
  <c r="P1049" i="2" s="1"/>
  <c r="M1040" i="2"/>
  <c r="M1041" i="2" s="1"/>
  <c r="M1049" i="2" s="1"/>
  <c r="H1040" i="2"/>
  <c r="H1041" i="2" s="1"/>
  <c r="H1049" i="2" s="1"/>
  <c r="G1040" i="2"/>
  <c r="Q1040" i="2"/>
  <c r="Q1041" i="2" s="1"/>
  <c r="Q1049" i="2" s="1"/>
  <c r="N1040" i="2"/>
  <c r="N1041" i="2" s="1"/>
  <c r="N1049" i="2" s="1"/>
  <c r="J1040" i="2"/>
  <c r="J1041" i="2" s="1"/>
  <c r="J1049" i="2" s="1"/>
  <c r="L1040" i="2"/>
  <c r="L1041" i="2" s="1"/>
  <c r="L1049" i="2" s="1"/>
  <c r="R1040" i="2"/>
  <c r="R1041" i="2" s="1"/>
  <c r="I1040" i="2"/>
  <c r="I1041" i="2" s="1"/>
  <c r="I1049" i="2" s="1"/>
  <c r="K1040" i="2"/>
  <c r="K1041" i="2" s="1"/>
  <c r="K1049" i="2" s="1"/>
  <c r="Q12" i="2"/>
  <c r="P60" i="1"/>
  <c r="P667" i="1" s="1"/>
  <c r="P105" i="1"/>
  <c r="Q357" i="2"/>
  <c r="Q415" i="2"/>
  <c r="R961" i="2"/>
  <c r="R751" i="2"/>
  <c r="R960" i="2"/>
  <c r="S2" i="2"/>
  <c r="R697" i="2"/>
  <c r="R959" i="2"/>
  <c r="R956" i="2"/>
  <c r="R953" i="2"/>
  <c r="R13" i="2" s="1"/>
  <c r="R703" i="2"/>
  <c r="R702" i="2"/>
  <c r="Q13" i="2"/>
  <c r="F15" i="2"/>
  <c r="F1005" i="2" s="1"/>
  <c r="F1006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3" i="2"/>
  <c r="AB1003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P586" i="1" l="1"/>
  <c r="P588" i="1" s="1"/>
  <c r="F364" i="2" s="1"/>
  <c r="R774" i="2"/>
  <c r="R1049" i="2"/>
  <c r="S921" i="2"/>
  <c r="S1040" i="2"/>
  <c r="S1041" i="2" s="1"/>
  <c r="S1047" i="2"/>
  <c r="S1048" i="2" s="1"/>
  <c r="P594" i="1"/>
  <c r="P596" i="1" s="1"/>
  <c r="F422" i="2" s="1"/>
  <c r="P536" i="1"/>
  <c r="P328" i="1"/>
  <c r="P329" i="1"/>
  <c r="P535" i="1"/>
  <c r="P577" i="1"/>
  <c r="Q105" i="1"/>
  <c r="Q77" i="1"/>
  <c r="G1041" i="2"/>
  <c r="G1049" i="2" s="1"/>
  <c r="R14" i="2"/>
  <c r="R415" i="2"/>
  <c r="R358" i="2"/>
  <c r="R414" i="2"/>
  <c r="R300" i="2"/>
  <c r="R299" i="2"/>
  <c r="R357" i="2"/>
  <c r="R12" i="2"/>
  <c r="R356" i="2"/>
  <c r="S953" i="2"/>
  <c r="S72" i="2" s="1"/>
  <c r="S702" i="2"/>
  <c r="S956" i="2"/>
  <c r="S960" i="2"/>
  <c r="S703" i="2"/>
  <c r="S751" i="2"/>
  <c r="T2" i="2"/>
  <c r="T769" i="2" s="1"/>
  <c r="S961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31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4" i="2" s="1"/>
  <c r="R396" i="1"/>
  <c r="R393" i="1"/>
  <c r="I1005" i="2"/>
  <c r="I1006" i="2" s="1"/>
  <c r="M1005" i="2"/>
  <c r="M1006" i="2" s="1"/>
  <c r="O1005" i="2"/>
  <c r="O1006" i="2" s="1"/>
  <c r="S1005" i="2"/>
  <c r="S1006" i="2" s="1"/>
  <c r="R1005" i="2"/>
  <c r="R1006" i="2" s="1"/>
  <c r="G1005" i="2"/>
  <c r="J1005" i="2"/>
  <c r="J1006" i="2" s="1"/>
  <c r="H1005" i="2"/>
  <c r="H1006" i="2" s="1"/>
  <c r="L1005" i="2"/>
  <c r="L1006" i="2" s="1"/>
  <c r="N1005" i="2"/>
  <c r="N1006" i="2" s="1"/>
  <c r="Q1005" i="2"/>
  <c r="Q1006" i="2" s="1"/>
  <c r="P1005" i="2"/>
  <c r="P1006" i="2" s="1"/>
  <c r="K1005" i="2"/>
  <c r="K1006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1005" i="2" l="1"/>
  <c r="T1006" i="2" s="1"/>
  <c r="T1007" i="2" s="1"/>
  <c r="S774" i="2"/>
  <c r="T923" i="2"/>
  <c r="T921" i="2"/>
  <c r="P580" i="1"/>
  <c r="F307" i="2" s="1"/>
  <c r="Q79" i="1"/>
  <c r="Q96" i="1" s="1"/>
  <c r="S1049" i="2"/>
  <c r="T1040" i="2"/>
  <c r="T1041" i="2" s="1"/>
  <c r="T1047" i="2"/>
  <c r="T1048" i="2" s="1"/>
  <c r="S73" i="2"/>
  <c r="S588" i="2"/>
  <c r="S530" i="2"/>
  <c r="S416" i="2"/>
  <c r="S645" i="2"/>
  <c r="S301" i="2"/>
  <c r="S529" i="2"/>
  <c r="S473" i="2"/>
  <c r="S472" i="2"/>
  <c r="S644" i="2"/>
  <c r="AA1024" i="2"/>
  <c r="AB1024" i="2" s="1"/>
  <c r="F1026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961" i="2"/>
  <c r="T960" i="2"/>
  <c r="U2" i="2"/>
  <c r="U769" i="2" s="1"/>
  <c r="T703" i="2"/>
  <c r="T953" i="2"/>
  <c r="T471" i="2" s="1"/>
  <c r="T697" i="2"/>
  <c r="T774" i="2" s="1"/>
  <c r="T956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458" i="1"/>
  <c r="P1007" i="2"/>
  <c r="R1007" i="2"/>
  <c r="T445" i="1"/>
  <c r="T444" i="1"/>
  <c r="J1007" i="2"/>
  <c r="P278" i="1"/>
  <c r="Q1007" i="2"/>
  <c r="S1007" i="2"/>
  <c r="T239" i="1"/>
  <c r="T232" i="1"/>
  <c r="S660" i="1"/>
  <c r="N1007" i="2"/>
  <c r="O1007" i="2"/>
  <c r="T575" i="1"/>
  <c r="T480" i="1"/>
  <c r="T135" i="1"/>
  <c r="L1007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7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6" i="2"/>
  <c r="K1007" i="2"/>
  <c r="H1007" i="2"/>
  <c r="I1007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3" i="2" l="1"/>
  <c r="U921" i="2"/>
  <c r="F30" i="34"/>
  <c r="F30" i="27"/>
  <c r="F30" i="31"/>
  <c r="F30" i="26"/>
  <c r="F30" i="28"/>
  <c r="F30" i="32"/>
  <c r="T1049" i="2"/>
  <c r="U1040" i="2"/>
  <c r="U1041" i="2" s="1"/>
  <c r="U1047" i="2"/>
  <c r="U1048" i="2" s="1"/>
  <c r="T71" i="2"/>
  <c r="G1007" i="2"/>
  <c r="F1027" i="2"/>
  <c r="J1026" i="2"/>
  <c r="J1027" i="2" s="1"/>
  <c r="T1026" i="2"/>
  <c r="T1027" i="2" s="1"/>
  <c r="S1026" i="2"/>
  <c r="S1027" i="2" s="1"/>
  <c r="O1026" i="2"/>
  <c r="O1027" i="2" s="1"/>
  <c r="K1026" i="2"/>
  <c r="K1027" i="2" s="1"/>
  <c r="M1026" i="2"/>
  <c r="M1027" i="2" s="1"/>
  <c r="U1026" i="2"/>
  <c r="U1027" i="2" s="1"/>
  <c r="H1026" i="2"/>
  <c r="H1027" i="2" s="1"/>
  <c r="G1026" i="2"/>
  <c r="Q1026" i="2"/>
  <c r="Q1027" i="2" s="1"/>
  <c r="P1026" i="2"/>
  <c r="P1027" i="2" s="1"/>
  <c r="L1026" i="2"/>
  <c r="L1027" i="2" s="1"/>
  <c r="R1026" i="2"/>
  <c r="R1027" i="2" s="1"/>
  <c r="I1026" i="2"/>
  <c r="I1027" i="2" s="1"/>
  <c r="N1026" i="2"/>
  <c r="N1027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6" i="2"/>
  <c r="U703" i="2"/>
  <c r="U961" i="2"/>
  <c r="U702" i="2"/>
  <c r="U960" i="2"/>
  <c r="U697" i="2"/>
  <c r="U774" i="2" s="1"/>
  <c r="U1005" i="2"/>
  <c r="U1006" i="2" s="1"/>
  <c r="U953" i="2"/>
  <c r="U242" i="2" s="1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31" i="2"/>
  <c r="AB1031" i="2" s="1"/>
  <c r="F1033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3" i="2"/>
  <c r="V921" i="2"/>
  <c r="U1049" i="2"/>
  <c r="V1040" i="2"/>
  <c r="V1041" i="2" s="1"/>
  <c r="V1047" i="2"/>
  <c r="V1048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6" i="2"/>
  <c r="V1027" i="2" s="1"/>
  <c r="U1007" i="2"/>
  <c r="G1027" i="2"/>
  <c r="U128" i="2"/>
  <c r="U185" i="2"/>
  <c r="U19" i="2"/>
  <c r="V953" i="2"/>
  <c r="V697" i="2"/>
  <c r="V774" i="2" s="1"/>
  <c r="V959" i="2"/>
  <c r="V960" i="2"/>
  <c r="V961" i="2"/>
  <c r="V751" i="2"/>
  <c r="V1005" i="2"/>
  <c r="V1006" i="2" s="1"/>
  <c r="V956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3" i="2"/>
  <c r="K1033" i="2"/>
  <c r="G1033" i="2"/>
  <c r="M1033" i="2"/>
  <c r="T1033" i="2"/>
  <c r="S1033" i="2"/>
  <c r="F1034" i="2"/>
  <c r="N1033" i="2"/>
  <c r="L1033" i="2"/>
  <c r="Q1033" i="2"/>
  <c r="V1033" i="2"/>
  <c r="R1033" i="2"/>
  <c r="U1033" i="2"/>
  <c r="W1033" i="2"/>
  <c r="I1033" i="2"/>
  <c r="O1033" i="2"/>
  <c r="P1033" i="2"/>
  <c r="J1033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7" i="2" l="1"/>
  <c r="W1048" i="2" s="1"/>
  <c r="W921" i="2"/>
  <c r="W923" i="2"/>
  <c r="V1049" i="2"/>
  <c r="U105" i="1"/>
  <c r="U77" i="1"/>
  <c r="W1040" i="2"/>
  <c r="W1026" i="2"/>
  <c r="V1007" i="2"/>
  <c r="J1034" i="2"/>
  <c r="J1042" i="2" s="1"/>
  <c r="I1034" i="2"/>
  <c r="I1042" i="2" s="1"/>
  <c r="V1034" i="2"/>
  <c r="V1042" i="2" s="1"/>
  <c r="S1034" i="2"/>
  <c r="S1042" i="2" s="1"/>
  <c r="Q1034" i="2"/>
  <c r="Q1042" i="2" s="1"/>
  <c r="P1034" i="2"/>
  <c r="P1042" i="2" s="1"/>
  <c r="U1034" i="2"/>
  <c r="U1042" i="2" s="1"/>
  <c r="L1034" i="2"/>
  <c r="L1042" i="2" s="1"/>
  <c r="T1034" i="2"/>
  <c r="T1042" i="2" s="1"/>
  <c r="H1034" i="2"/>
  <c r="H1042" i="2" s="1"/>
  <c r="W1034" i="2"/>
  <c r="K1034" i="2"/>
  <c r="K1042" i="2" s="1"/>
  <c r="O1034" i="2"/>
  <c r="O1042" i="2" s="1"/>
  <c r="R1034" i="2"/>
  <c r="R1042" i="2" s="1"/>
  <c r="N1034" i="2"/>
  <c r="N1042" i="2" s="1"/>
  <c r="M1034" i="2"/>
  <c r="M1042" i="2" s="1"/>
  <c r="V19" i="2"/>
  <c r="V421" i="2"/>
  <c r="V363" i="2"/>
  <c r="V306" i="2"/>
  <c r="W703" i="2"/>
  <c r="W697" i="2"/>
  <c r="W774" i="2" s="1"/>
  <c r="W956" i="2"/>
  <c r="W751" i="2"/>
  <c r="W961" i="2"/>
  <c r="W426" i="2"/>
  <c r="W959" i="2"/>
  <c r="W960" i="2"/>
  <c r="X2" i="2"/>
  <c r="W368" i="2"/>
  <c r="W702" i="2"/>
  <c r="W953" i="2"/>
  <c r="W244" i="2" s="1"/>
  <c r="W1005" i="2"/>
  <c r="W1006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7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4" i="2"/>
  <c r="G1042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7" i="2" l="1"/>
  <c r="X1048" i="2" s="1"/>
  <c r="X923" i="2"/>
  <c r="X921" i="2"/>
  <c r="AA1017" i="2"/>
  <c r="AB1017" i="2" s="1"/>
  <c r="F1019" i="2"/>
  <c r="X1040" i="2"/>
  <c r="X1041" i="2" s="1"/>
  <c r="X1026" i="2"/>
  <c r="X1027" i="2" s="1"/>
  <c r="W1027" i="2"/>
  <c r="W1041" i="2"/>
  <c r="W1007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9" i="2"/>
  <c r="X371" i="2"/>
  <c r="X961" i="2"/>
  <c r="X703" i="2"/>
  <c r="X429" i="2"/>
  <c r="X960" i="2"/>
  <c r="Y2" i="2"/>
  <c r="Y362" i="2" s="1"/>
  <c r="X1033" i="2"/>
  <c r="X953" i="2"/>
  <c r="X187" i="2" s="1"/>
  <c r="X1005" i="2"/>
  <c r="X1006" i="2" s="1"/>
  <c r="X426" i="2"/>
  <c r="X751" i="2"/>
  <c r="X368" i="2"/>
  <c r="X697" i="2"/>
  <c r="X774" i="2" s="1"/>
  <c r="X956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4" i="2" s="1"/>
  <c r="N769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4" i="2" s="1"/>
  <c r="R769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4" i="2" s="1"/>
  <c r="Q769" i="2" s="1"/>
  <c r="V104" i="1"/>
  <c r="V60" i="1"/>
  <c r="V586" i="1" s="1"/>
  <c r="V588" i="1" s="1"/>
  <c r="F377" i="2" s="1"/>
  <c r="Q649" i="2"/>
  <c r="V11" i="1"/>
  <c r="X270" i="1"/>
  <c r="W662" i="1"/>
  <c r="L9" i="2"/>
  <c r="L1114" i="2" s="1"/>
  <c r="L769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4" i="2" s="1"/>
  <c r="H769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4" i="2" s="1"/>
  <c r="K769" i="2" s="1"/>
  <c r="K353" i="2"/>
  <c r="K583" i="2"/>
  <c r="K18" i="2"/>
  <c r="K362" i="2"/>
  <c r="P77" i="2"/>
  <c r="P9" i="2"/>
  <c r="P1114" i="2" s="1"/>
  <c r="P769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4" i="2" s="1"/>
  <c r="I769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4" i="2" s="1"/>
  <c r="O769" i="2" s="1"/>
  <c r="O477" i="2"/>
  <c r="O525" i="2"/>
  <c r="O411" i="2"/>
  <c r="O534" i="2"/>
  <c r="O420" i="2"/>
  <c r="O640" i="2"/>
  <c r="O592" i="2"/>
  <c r="S305" i="2"/>
  <c r="S649" i="2"/>
  <c r="S525" i="2"/>
  <c r="S9" i="2"/>
  <c r="S1114" i="2" s="1"/>
  <c r="S769" i="2" s="1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4" i="2" s="1"/>
  <c r="J769" i="2" s="1"/>
  <c r="J649" i="2"/>
  <c r="J592" i="2"/>
  <c r="M525" i="2"/>
  <c r="M305" i="2"/>
  <c r="M468" i="2"/>
  <c r="M477" i="2"/>
  <c r="M583" i="2"/>
  <c r="M640" i="2"/>
  <c r="M77" i="2"/>
  <c r="M9" i="2"/>
  <c r="M1114" i="2" s="1"/>
  <c r="M769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Y317" i="2" l="1"/>
  <c r="W584" i="2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9" i="2"/>
  <c r="Y923" i="2"/>
  <c r="Y921" i="2"/>
  <c r="F1020" i="2"/>
  <c r="W1019" i="2"/>
  <c r="W1020" i="2" s="1"/>
  <c r="X1019" i="2"/>
  <c r="X1020" i="2" s="1"/>
  <c r="Y1019" i="2"/>
  <c r="Y1020" i="2" s="1"/>
  <c r="V1019" i="2"/>
  <c r="V1020" i="2" s="1"/>
  <c r="G1019" i="2"/>
  <c r="J1019" i="2"/>
  <c r="J1020" i="2" s="1"/>
  <c r="R1019" i="2"/>
  <c r="R1020" i="2" s="1"/>
  <c r="N1019" i="2"/>
  <c r="N1020" i="2" s="1"/>
  <c r="S1019" i="2"/>
  <c r="S1020" i="2" s="1"/>
  <c r="O1019" i="2"/>
  <c r="O1020" i="2" s="1"/>
  <c r="Q1019" i="2"/>
  <c r="Q1020" i="2" s="1"/>
  <c r="H1019" i="2"/>
  <c r="H1020" i="2" s="1"/>
  <c r="P1019" i="2"/>
  <c r="P1020" i="2" s="1"/>
  <c r="I1019" i="2"/>
  <c r="I1020" i="2" s="1"/>
  <c r="U1019" i="2"/>
  <c r="U1020" i="2" s="1"/>
  <c r="L1019" i="2"/>
  <c r="L1020" i="2" s="1"/>
  <c r="T1019" i="2"/>
  <c r="T1020" i="2" s="1"/>
  <c r="M1019" i="2"/>
  <c r="M1020" i="2" s="1"/>
  <c r="K1019" i="2"/>
  <c r="K1020" i="2" s="1"/>
  <c r="Y534" i="2"/>
  <c r="Y1047" i="2"/>
  <c r="Y1048" i="2" s="1"/>
  <c r="W1042" i="2"/>
  <c r="W468" i="2" s="1"/>
  <c r="W1049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40" i="2"/>
  <c r="Y1026" i="2"/>
  <c r="Y1027" i="2" s="1"/>
  <c r="X1007" i="2"/>
  <c r="X478" i="2" s="1"/>
  <c r="G469" i="2"/>
  <c r="G641" i="2"/>
  <c r="G526" i="2"/>
  <c r="G412" i="2"/>
  <c r="G354" i="2"/>
  <c r="G10" i="2"/>
  <c r="G584" i="2"/>
  <c r="X1034" i="2"/>
  <c r="X1042" i="2" s="1"/>
  <c r="X535" i="2"/>
  <c r="X650" i="2"/>
  <c r="W60" i="1"/>
  <c r="W536" i="1" s="1"/>
  <c r="W105" i="1"/>
  <c r="Y374" i="2"/>
  <c r="Y1033" i="2"/>
  <c r="Y703" i="2"/>
  <c r="Y314" i="2"/>
  <c r="Y953" i="2"/>
  <c r="Y186" i="2" s="1"/>
  <c r="Y960" i="2"/>
  <c r="Y1005" i="2"/>
  <c r="Y1006" i="2" s="1"/>
  <c r="Y751" i="2"/>
  <c r="Y371" i="2"/>
  <c r="Y432" i="2"/>
  <c r="Y959" i="2"/>
  <c r="Y697" i="2"/>
  <c r="Y774" i="2" s="1"/>
  <c r="Y426" i="2"/>
  <c r="Y24" i="2"/>
  <c r="Y311" i="2"/>
  <c r="Y961" i="2"/>
  <c r="Y956" i="2"/>
  <c r="Z2" i="2"/>
  <c r="Y429" i="2"/>
  <c r="Y702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4" i="2" s="1"/>
  <c r="G769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7" i="2"/>
  <c r="Z1048" i="2" s="1"/>
  <c r="AA1048" i="2" s="1"/>
  <c r="AB1048" i="2" s="1"/>
  <c r="Z921" i="2"/>
  <c r="AA921" i="2" s="1"/>
  <c r="AB921" i="2" s="1"/>
  <c r="Z923" i="2"/>
  <c r="W667" i="1"/>
  <c r="Z1019" i="2"/>
  <c r="Z1020" i="2" s="1"/>
  <c r="Y243" i="2"/>
  <c r="W329" i="1"/>
  <c r="W577" i="1"/>
  <c r="W594" i="1"/>
  <c r="W596" i="1" s="1"/>
  <c r="F436" i="2" s="1"/>
  <c r="F437" i="2" s="1"/>
  <c r="W328" i="1"/>
  <c r="W535" i="1"/>
  <c r="Y130" i="2"/>
  <c r="G1020" i="2"/>
  <c r="X105" i="1"/>
  <c r="X77" i="1"/>
  <c r="X79" i="1" s="1"/>
  <c r="X96" i="1" s="1"/>
  <c r="F31" i="2"/>
  <c r="H31" i="2" s="1"/>
  <c r="Z1040" i="2"/>
  <c r="Z1041" i="2" s="1"/>
  <c r="Z1026" i="2"/>
  <c r="Z1027" i="2" s="1"/>
  <c r="AA1027" i="2" s="1"/>
  <c r="AB1027" i="2" s="1"/>
  <c r="Y1041" i="2"/>
  <c r="Y1049" i="2" s="1"/>
  <c r="Y1007" i="2"/>
  <c r="V239" i="2"/>
  <c r="O1035" i="2"/>
  <c r="O1028" i="2"/>
  <c r="H1035" i="2"/>
  <c r="H1028" i="2"/>
  <c r="Q1035" i="2"/>
  <c r="Q1028" i="2"/>
  <c r="N1035" i="2"/>
  <c r="N1028" i="2"/>
  <c r="P1035" i="2"/>
  <c r="P1028" i="2"/>
  <c r="T1035" i="2"/>
  <c r="T1028" i="2"/>
  <c r="J1035" i="2"/>
  <c r="J1028" i="2"/>
  <c r="U1035" i="2"/>
  <c r="U1028" i="2"/>
  <c r="M1035" i="2"/>
  <c r="M1028" i="2"/>
  <c r="R1035" i="2"/>
  <c r="R1028" i="2"/>
  <c r="K1035" i="2"/>
  <c r="K1028" i="2"/>
  <c r="S1035" i="2"/>
  <c r="S1028" i="2"/>
  <c r="I1035" i="2"/>
  <c r="I1028" i="2"/>
  <c r="W1035" i="2"/>
  <c r="W297" i="2" s="1"/>
  <c r="W1028" i="2"/>
  <c r="L1035" i="2"/>
  <c r="L1028" i="2"/>
  <c r="V1035" i="2"/>
  <c r="V297" i="2" s="1"/>
  <c r="V20" i="2"/>
  <c r="V21" i="2" s="1"/>
  <c r="V698" i="2" s="1"/>
  <c r="Y1034" i="2"/>
  <c r="X1035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6" i="2"/>
  <c r="AA956" i="2" s="1"/>
  <c r="AB956" i="2" s="1"/>
  <c r="Z1033" i="2"/>
  <c r="Z375" i="2"/>
  <c r="AA375" i="2" s="1"/>
  <c r="AB375" i="2" s="1"/>
  <c r="Z702" i="2"/>
  <c r="AA702" i="2" s="1"/>
  <c r="AB702" i="2" s="1"/>
  <c r="Z1005" i="2"/>
  <c r="Z86" i="2"/>
  <c r="AA86" i="2" s="1"/>
  <c r="AB86" i="2" s="1"/>
  <c r="Z655" i="2"/>
  <c r="AA655" i="2" s="1"/>
  <c r="AB655" i="2" s="1"/>
  <c r="Z601" i="2"/>
  <c r="AA601" i="2" s="1"/>
  <c r="AB601" i="2" s="1"/>
  <c r="Z960" i="2"/>
  <c r="AA960" i="2" s="1"/>
  <c r="AB960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61" i="2"/>
  <c r="AA961" i="2" s="1"/>
  <c r="AB961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9" i="2"/>
  <c r="AA959" i="2" s="1"/>
  <c r="AB959" i="2" s="1"/>
  <c r="Z953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9" i="2"/>
  <c r="AB1019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7" i="2"/>
  <c r="AB1047" i="2" s="1"/>
  <c r="AA1020" i="2"/>
  <c r="AB1020" i="2" s="1"/>
  <c r="S436" i="2"/>
  <c r="S437" i="2" s="1"/>
  <c r="V436" i="2"/>
  <c r="V437" i="2" s="1"/>
  <c r="G436" i="2"/>
  <c r="G437" i="2" s="1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9" i="2"/>
  <c r="AA1049" i="2" s="1"/>
  <c r="AB1049" i="2" s="1"/>
  <c r="Y105" i="1"/>
  <c r="Y77" i="1"/>
  <c r="Y79" i="1" s="1"/>
  <c r="Y96" i="1" s="1"/>
  <c r="V298" i="2"/>
  <c r="Z379" i="2"/>
  <c r="Y1042" i="2"/>
  <c r="F32" i="2"/>
  <c r="X32" i="2" s="1"/>
  <c r="AA1026" i="2"/>
  <c r="AB1026" i="2" s="1"/>
  <c r="AA1040" i="2"/>
  <c r="AB1040" i="2" s="1"/>
  <c r="AA1041" i="2"/>
  <c r="AB1041" i="2" s="1"/>
  <c r="Z1028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5" i="2"/>
  <c r="G1028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5" i="2"/>
  <c r="Y298" i="2" s="1"/>
  <c r="Z1034" i="2"/>
  <c r="Z1042" i="2" s="1"/>
  <c r="AA1033" i="2"/>
  <c r="AB1033" i="2" s="1"/>
  <c r="Z774" i="2"/>
  <c r="AA774" i="2" s="1"/>
  <c r="AB774" i="2" s="1"/>
  <c r="AA697" i="2"/>
  <c r="AB697" i="2" s="1"/>
  <c r="Z1006" i="2"/>
  <c r="AA1005" i="2"/>
  <c r="AB1005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3" i="2"/>
  <c r="AB953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4" i="2"/>
  <c r="V769" i="2" s="1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l="1"/>
  <c r="AB379" i="2" s="1"/>
  <c r="N245" i="2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2" i="2"/>
  <c r="AB1042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4" i="2"/>
  <c r="X769" i="2" s="1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4" i="2" s="1"/>
  <c r="Y769" i="2" s="1"/>
  <c r="Y584" i="2"/>
  <c r="Y297" i="2"/>
  <c r="Y469" i="2"/>
  <c r="Y354" i="2"/>
  <c r="Y641" i="2"/>
  <c r="Y412" i="2"/>
  <c r="Y526" i="2"/>
  <c r="Y239" i="2"/>
  <c r="Y296" i="2"/>
  <c r="Y411" i="2"/>
  <c r="Y468" i="2"/>
  <c r="Y525" i="2"/>
  <c r="Y583" i="2"/>
  <c r="Y640" i="2"/>
  <c r="Y353" i="2"/>
  <c r="Y9" i="2"/>
  <c r="Z62" i="1"/>
  <c r="Z105" i="1"/>
  <c r="Z1007" i="2"/>
  <c r="AA1006" i="2"/>
  <c r="AB1006" i="2" s="1"/>
  <c r="Z1035" i="2"/>
  <c r="AA1034" i="2"/>
  <c r="AB1034" i="2" s="1"/>
  <c r="K847" i="2"/>
  <c r="H847" i="2"/>
  <c r="O847" i="2"/>
  <c r="I847" i="2"/>
  <c r="V847" i="2"/>
  <c r="M847" i="2"/>
  <c r="S847" i="2"/>
  <c r="U847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71" i="2"/>
  <c r="S771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71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71" i="2"/>
  <c r="D31" i="34" s="1"/>
  <c r="K771" i="2"/>
  <c r="D31" i="32" s="1"/>
  <c r="N117" i="1"/>
  <c r="W1114" i="2"/>
  <c r="W769" i="2" s="1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71" i="2"/>
  <c r="O771" i="2"/>
  <c r="M771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Y474" i="2" l="1"/>
  <c r="H146" i="2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7" i="2"/>
  <c r="Y531" i="2"/>
  <c r="Y359" i="2"/>
  <c r="Q34" i="2"/>
  <c r="I34" i="2"/>
  <c r="N34" i="2"/>
  <c r="R34" i="2"/>
  <c r="W34" i="2"/>
  <c r="L34" i="2"/>
  <c r="L35" i="2" s="1"/>
  <c r="X34" i="2"/>
  <c r="S34" i="2"/>
  <c r="K34" i="2"/>
  <c r="H34" i="2"/>
  <c r="T34" i="2"/>
  <c r="U34" i="2"/>
  <c r="O34" i="2"/>
  <c r="O35" i="2" s="1"/>
  <c r="V34" i="2"/>
  <c r="Y34" i="2"/>
  <c r="X771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5" i="2"/>
  <c r="AB1035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7" i="2"/>
  <c r="AB1007" i="2" s="1"/>
  <c r="P847" i="2"/>
  <c r="T847" i="2"/>
  <c r="R847" i="2"/>
  <c r="J847" i="2"/>
  <c r="N847" i="2"/>
  <c r="W847" i="2"/>
  <c r="Y847" i="2"/>
  <c r="L847" i="2"/>
  <c r="Q847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71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71" i="2"/>
  <c r="X95" i="1"/>
  <c r="X98" i="1" s="1"/>
  <c r="F38" i="2" s="1"/>
  <c r="X655" i="1"/>
  <c r="X81" i="1"/>
  <c r="X114" i="1"/>
  <c r="X129" i="1"/>
  <c r="X126" i="1"/>
  <c r="X115" i="1"/>
  <c r="X127" i="1"/>
  <c r="X128" i="1"/>
  <c r="T771" i="2"/>
  <c r="G417" i="2"/>
  <c r="G589" i="2"/>
  <c r="G847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71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71" i="2"/>
  <c r="D31" i="26" s="1"/>
  <c r="AA440" i="2"/>
  <c r="AB440" i="2" s="1"/>
  <c r="AA382" i="2"/>
  <c r="AB382" i="2" s="1"/>
  <c r="T123" i="1"/>
  <c r="T141" i="1" s="1"/>
  <c r="F147" i="2" s="1"/>
  <c r="R771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71" i="2"/>
  <c r="D31" i="28" s="1"/>
  <c r="W771" i="2"/>
  <c r="N141" i="1"/>
  <c r="N771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K35" i="2" l="1"/>
  <c r="Y445" i="2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10" i="2"/>
  <c r="AB1010" i="2" s="1"/>
  <c r="F1012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4" i="2"/>
  <c r="Z769" i="2" s="1"/>
  <c r="AA769" i="2" s="1"/>
  <c r="AB769" i="2" s="1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71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2" i="2"/>
  <c r="N1013" i="2" s="1"/>
  <c r="N1021" i="2" s="1"/>
  <c r="Q1012" i="2"/>
  <c r="Q1013" i="2" s="1"/>
  <c r="Q1021" i="2" s="1"/>
  <c r="H1012" i="2"/>
  <c r="H1013" i="2" s="1"/>
  <c r="H1021" i="2" s="1"/>
  <c r="O1012" i="2"/>
  <c r="O1013" i="2" s="1"/>
  <c r="O1021" i="2" s="1"/>
  <c r="X1012" i="2"/>
  <c r="X1013" i="2" s="1"/>
  <c r="G1012" i="2"/>
  <c r="L1012" i="2"/>
  <c r="L1013" i="2" s="1"/>
  <c r="L1021" i="2" s="1"/>
  <c r="W1012" i="2"/>
  <c r="W1013" i="2" s="1"/>
  <c r="W1021" i="2" s="1"/>
  <c r="I1012" i="2"/>
  <c r="I1013" i="2" s="1"/>
  <c r="I1021" i="2" s="1"/>
  <c r="S1012" i="2"/>
  <c r="S1013" i="2" s="1"/>
  <c r="S1021" i="2" s="1"/>
  <c r="Z1012" i="2"/>
  <c r="Z1013" i="2" s="1"/>
  <c r="Z1021" i="2" s="1"/>
  <c r="K1012" i="2"/>
  <c r="K1013" i="2" s="1"/>
  <c r="K1021" i="2" s="1"/>
  <c r="R1012" i="2"/>
  <c r="R1013" i="2" s="1"/>
  <c r="R1021" i="2" s="1"/>
  <c r="Y1012" i="2"/>
  <c r="Y1013" i="2" s="1"/>
  <c r="M1012" i="2"/>
  <c r="M1013" i="2" s="1"/>
  <c r="M1021" i="2" s="1"/>
  <c r="U1012" i="2"/>
  <c r="U1013" i="2" s="1"/>
  <c r="U1021" i="2" s="1"/>
  <c r="J1012" i="2"/>
  <c r="J1013" i="2" s="1"/>
  <c r="J1021" i="2" s="1"/>
  <c r="T1012" i="2"/>
  <c r="T1013" i="2" s="1"/>
  <c r="T1021" i="2" s="1"/>
  <c r="F1013" i="2"/>
  <c r="P1012" i="2"/>
  <c r="P1013" i="2" s="1"/>
  <c r="P1021" i="2" s="1"/>
  <c r="V1012" i="2"/>
  <c r="V1013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71" i="2"/>
  <c r="AA771" i="2" s="1"/>
  <c r="AB771" i="2" s="1"/>
  <c r="AB920" i="2"/>
  <c r="Z847" i="2"/>
  <c r="AA847" i="2" s="1"/>
  <c r="AB847" i="2" s="1"/>
  <c r="AA1114" i="2"/>
  <c r="AB1114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X102" i="2" l="1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8" i="2"/>
  <c r="Y183" i="2" s="1"/>
  <c r="Y1021" i="2"/>
  <c r="V1028" i="2"/>
  <c r="V184" i="2" s="1"/>
  <c r="V1021" i="2"/>
  <c r="X1028" i="2"/>
  <c r="X1021" i="2"/>
  <c r="S1014" i="2"/>
  <c r="K1014" i="2"/>
  <c r="H1014" i="2"/>
  <c r="Q1014" i="2"/>
  <c r="T1014" i="2"/>
  <c r="V1014" i="2"/>
  <c r="P1014" i="2"/>
  <c r="R1014" i="2"/>
  <c r="L1014" i="2"/>
  <c r="I1014" i="2"/>
  <c r="X1014" i="2"/>
  <c r="O1014" i="2"/>
  <c r="N1014" i="2"/>
  <c r="J1014" i="2"/>
  <c r="U1014" i="2"/>
  <c r="M1014" i="2"/>
  <c r="Y1014" i="2"/>
  <c r="W1014" i="2"/>
  <c r="Z1014" i="2"/>
  <c r="AA1012" i="2"/>
  <c r="AB1012" i="2" s="1"/>
  <c r="G1013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81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3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AA983" i="2" s="1"/>
  <c r="AB983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102" i="2" l="1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8" i="2"/>
  <c r="AB1028" i="2" s="1"/>
  <c r="Y184" i="2"/>
  <c r="X240" i="2"/>
  <c r="V182" i="2"/>
  <c r="X184" i="2"/>
  <c r="V241" i="2"/>
  <c r="X182" i="2"/>
  <c r="X241" i="2"/>
  <c r="V183" i="2"/>
  <c r="X183" i="2"/>
  <c r="AA1013" i="2"/>
  <c r="AB1013" i="2" s="1"/>
  <c r="G1021" i="2"/>
  <c r="AA1021" i="2" s="1"/>
  <c r="AB1021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4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3" i="2"/>
  <c r="AA1081" i="2"/>
  <c r="AB1081" i="2" s="1"/>
  <c r="AA1053" i="2"/>
  <c r="AB1053" i="2" s="1"/>
  <c r="F1055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60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4" i="2"/>
  <c r="AB1014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5" i="2"/>
  <c r="Q1056" i="2" s="1"/>
  <c r="T1055" i="2"/>
  <c r="T1056" i="2" s="1"/>
  <c r="J1055" i="2"/>
  <c r="J1056" i="2" s="1"/>
  <c r="K1055" i="2"/>
  <c r="K1056" i="2" s="1"/>
  <c r="R1055" i="2"/>
  <c r="R1056" i="2" s="1"/>
  <c r="H1055" i="2"/>
  <c r="H1056" i="2" s="1"/>
  <c r="V1055" i="2"/>
  <c r="V1056" i="2" s="1"/>
  <c r="M1055" i="2"/>
  <c r="M1056" i="2" s="1"/>
  <c r="P1055" i="2"/>
  <c r="P1056" i="2" s="1"/>
  <c r="W1055" i="2"/>
  <c r="W1056" i="2" s="1"/>
  <c r="G1055" i="2"/>
  <c r="N1055" i="2"/>
  <c r="N1056" i="2" s="1"/>
  <c r="X1055" i="2"/>
  <c r="X1056" i="2" s="1"/>
  <c r="Y1055" i="2"/>
  <c r="Y1056" i="2" s="1"/>
  <c r="I1055" i="2"/>
  <c r="I1056" i="2" s="1"/>
  <c r="L1055" i="2"/>
  <c r="L1056" i="2" s="1"/>
  <c r="S1055" i="2"/>
  <c r="S1056" i="2" s="1"/>
  <c r="Z1055" i="2"/>
  <c r="Z1056" i="2" s="1"/>
  <c r="U1055" i="2"/>
  <c r="U1056" i="2" s="1"/>
  <c r="O1055" i="2"/>
  <c r="O1056" i="2" s="1"/>
  <c r="Y1083" i="2"/>
  <c r="Y1084" i="2" s="1"/>
  <c r="U1083" i="2"/>
  <c r="U1084" i="2" s="1"/>
  <c r="Q1083" i="2"/>
  <c r="Q1084" i="2" s="1"/>
  <c r="M1083" i="2"/>
  <c r="M1084" i="2" s="1"/>
  <c r="I1083" i="2"/>
  <c r="I1084" i="2" s="1"/>
  <c r="G1083" i="2"/>
  <c r="Z1083" i="2"/>
  <c r="Z1084" i="2" s="1"/>
  <c r="N1083" i="2"/>
  <c r="N1084" i="2" s="1"/>
  <c r="X1083" i="2"/>
  <c r="X1084" i="2" s="1"/>
  <c r="T1083" i="2"/>
  <c r="T1084" i="2" s="1"/>
  <c r="P1083" i="2"/>
  <c r="P1084" i="2" s="1"/>
  <c r="L1083" i="2"/>
  <c r="L1084" i="2" s="1"/>
  <c r="H1083" i="2"/>
  <c r="H1084" i="2" s="1"/>
  <c r="K1083" i="2"/>
  <c r="K1084" i="2" s="1"/>
  <c r="R1083" i="2"/>
  <c r="R1084" i="2" s="1"/>
  <c r="W1083" i="2"/>
  <c r="W1084" i="2" s="1"/>
  <c r="S1083" i="2"/>
  <c r="S1084" i="2" s="1"/>
  <c r="O1083" i="2"/>
  <c r="O1084" i="2" s="1"/>
  <c r="V1083" i="2"/>
  <c r="V1084" i="2" s="1"/>
  <c r="J1083" i="2"/>
  <c r="J1084" i="2" s="1"/>
  <c r="F1084" i="2"/>
  <c r="AA1060" i="2"/>
  <c r="AB1060" i="2" s="1"/>
  <c r="F1062" i="2"/>
  <c r="F1056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8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2" i="2"/>
  <c r="Q1063" i="2" s="1"/>
  <c r="J1062" i="2"/>
  <c r="J1063" i="2" s="1"/>
  <c r="L1062" i="2"/>
  <c r="L1063" i="2" s="1"/>
  <c r="W1062" i="2"/>
  <c r="W1063" i="2" s="1"/>
  <c r="G1062" i="2"/>
  <c r="M1062" i="2"/>
  <c r="M1063" i="2" s="1"/>
  <c r="X1062" i="2"/>
  <c r="X1063" i="2" s="1"/>
  <c r="H1062" i="2"/>
  <c r="H1063" i="2" s="1"/>
  <c r="S1062" i="2"/>
  <c r="S1063" i="2" s="1"/>
  <c r="R1062" i="2"/>
  <c r="R1063" i="2" s="1"/>
  <c r="K1062" i="2"/>
  <c r="K1063" i="2" s="1"/>
  <c r="Y1062" i="2"/>
  <c r="Y1063" i="2" s="1"/>
  <c r="I1062" i="2"/>
  <c r="I1063" i="2" s="1"/>
  <c r="T1062" i="2"/>
  <c r="T1063" i="2" s="1"/>
  <c r="Z1062" i="2"/>
  <c r="Z1063" i="2" s="1"/>
  <c r="O1062" i="2"/>
  <c r="O1063" i="2" s="1"/>
  <c r="U1062" i="2"/>
  <c r="U1063" i="2" s="1"/>
  <c r="V1062" i="2"/>
  <c r="V1063" i="2" s="1"/>
  <c r="P1062" i="2"/>
  <c r="P1063" i="2" s="1"/>
  <c r="N1062" i="2"/>
  <c r="N1063" i="2" s="1"/>
  <c r="R333" i="2"/>
  <c r="P333" i="2"/>
  <c r="Z333" i="2"/>
  <c r="Q333" i="2"/>
  <c r="AA1055" i="2"/>
  <c r="AB1055" i="2" s="1"/>
  <c r="G1056" i="2"/>
  <c r="AA1056" i="2" s="1"/>
  <c r="AB1056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3" i="2"/>
  <c r="AB1083" i="2" s="1"/>
  <c r="G1084" i="2"/>
  <c r="F52" i="2"/>
  <c r="S52" i="2" s="1"/>
  <c r="F1063" i="2"/>
  <c r="T1057" i="2"/>
  <c r="T46" i="2" s="1"/>
  <c r="P1057" i="2"/>
  <c r="P46" i="2" s="1"/>
  <c r="J1057" i="2"/>
  <c r="J46" i="2" s="1"/>
  <c r="N1057" i="2"/>
  <c r="N46" i="2" s="1"/>
  <c r="L1057" i="2"/>
  <c r="L46" i="2" s="1"/>
  <c r="H1057" i="2"/>
  <c r="H46" i="2" s="1"/>
  <c r="O1057" i="2"/>
  <c r="O46" i="2" s="1"/>
  <c r="M1057" i="2"/>
  <c r="M46" i="2" s="1"/>
  <c r="R1057" i="2"/>
  <c r="R46" i="2" s="1"/>
  <c r="S1057" i="2"/>
  <c r="S46" i="2" s="1"/>
  <c r="I1057" i="2"/>
  <c r="I46" i="2" s="1"/>
  <c r="Q1057" i="2"/>
  <c r="Q46" i="2" s="1"/>
  <c r="K1057" i="2"/>
  <c r="K46" i="2" s="1"/>
  <c r="U1057" i="2"/>
  <c r="U46" i="2" s="1"/>
  <c r="V1057" i="2"/>
  <c r="V46" i="2" s="1"/>
  <c r="W1057" i="2"/>
  <c r="W46" i="2" s="1"/>
  <c r="X1057" i="2"/>
  <c r="X46" i="2" s="1"/>
  <c r="Y1057" i="2"/>
  <c r="Y46" i="2" s="1"/>
  <c r="Z1057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7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3" i="2"/>
  <c r="AA1063" i="2" s="1"/>
  <c r="AB1063" i="2" s="1"/>
  <c r="AA1062" i="2"/>
  <c r="AB1062" i="2" s="1"/>
  <c r="AA1084" i="2"/>
  <c r="AB1084" i="2" s="1"/>
  <c r="G333" i="2"/>
  <c r="F1074" i="2"/>
  <c r="N1064" i="2"/>
  <c r="N105" i="2" s="1"/>
  <c r="P1064" i="2"/>
  <c r="P105" i="2" s="1"/>
  <c r="R1064" i="2"/>
  <c r="R105" i="2" s="1"/>
  <c r="J1064" i="2"/>
  <c r="J105" i="2" s="1"/>
  <c r="Q1064" i="2"/>
  <c r="Q105" i="2" s="1"/>
  <c r="O1064" i="2"/>
  <c r="O105" i="2" s="1"/>
  <c r="X1064" i="2"/>
  <c r="X105" i="2" s="1"/>
  <c r="Z1064" i="2"/>
  <c r="Z105" i="2" s="1"/>
  <c r="L1064" i="2"/>
  <c r="L105" i="2" s="1"/>
  <c r="Y1064" i="2"/>
  <c r="Y105" i="2" s="1"/>
  <c r="W1064" i="2"/>
  <c r="W105" i="2" s="1"/>
  <c r="M1064" i="2"/>
  <c r="M105" i="2" s="1"/>
  <c r="K1064" i="2"/>
  <c r="K105" i="2" s="1"/>
  <c r="T1064" i="2"/>
  <c r="T105" i="2" s="1"/>
  <c r="V1064" i="2"/>
  <c r="V105" i="2" s="1"/>
  <c r="H1064" i="2"/>
  <c r="H105" i="2" s="1"/>
  <c r="U1064" i="2"/>
  <c r="U105" i="2" s="1"/>
  <c r="S1064" i="2"/>
  <c r="S105" i="2" s="1"/>
  <c r="I1064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7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7" i="2" l="1"/>
  <c r="AB1067" i="2" s="1"/>
  <c r="F1069" i="2"/>
  <c r="AA1057" i="2"/>
  <c r="AB1057" i="2" s="1"/>
  <c r="AA52" i="2"/>
  <c r="AB52" i="2" s="1"/>
  <c r="G1064" i="2"/>
  <c r="G105" i="2" s="1"/>
  <c r="AA105" i="2" s="1"/>
  <c r="AB105" i="2" s="1"/>
  <c r="AC610" i="1"/>
  <c r="AA333" i="2"/>
  <c r="AB333" i="2" s="1"/>
  <c r="I29" i="14"/>
  <c r="K29" i="14" s="1"/>
  <c r="F1076" i="2"/>
  <c r="AA1074" i="2"/>
  <c r="AB1074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9" i="2" l="1"/>
  <c r="X1070" i="2" s="1"/>
  <c r="Y1069" i="2"/>
  <c r="Y1070" i="2" s="1"/>
  <c r="W1069" i="2"/>
  <c r="W1070" i="2" s="1"/>
  <c r="Z1069" i="2"/>
  <c r="Z1070" i="2" s="1"/>
  <c r="F1070" i="2"/>
  <c r="V1069" i="2"/>
  <c r="V1070" i="2" s="1"/>
  <c r="S1069" i="2"/>
  <c r="S1070" i="2" s="1"/>
  <c r="Q1069" i="2"/>
  <c r="Q1070" i="2" s="1"/>
  <c r="P1069" i="2"/>
  <c r="P1070" i="2" s="1"/>
  <c r="I1069" i="2"/>
  <c r="I1070" i="2" s="1"/>
  <c r="T1069" i="2"/>
  <c r="T1070" i="2" s="1"/>
  <c r="M1069" i="2"/>
  <c r="M1070" i="2" s="1"/>
  <c r="J1069" i="2"/>
  <c r="J1070" i="2" s="1"/>
  <c r="N1069" i="2"/>
  <c r="N1070" i="2" s="1"/>
  <c r="U1069" i="2"/>
  <c r="U1070" i="2" s="1"/>
  <c r="R1069" i="2"/>
  <c r="R1070" i="2" s="1"/>
  <c r="O1069" i="2"/>
  <c r="O1070" i="2" s="1"/>
  <c r="H1069" i="2"/>
  <c r="H1070" i="2" s="1"/>
  <c r="L1069" i="2"/>
  <c r="L1070" i="2" s="1"/>
  <c r="G1069" i="2"/>
  <c r="K1069" i="2"/>
  <c r="K1070" i="2" s="1"/>
  <c r="AA1064" i="2"/>
  <c r="AB1064" i="2" s="1"/>
  <c r="M1076" i="2"/>
  <c r="M1077" i="2" s="1"/>
  <c r="N1076" i="2"/>
  <c r="N1077" i="2" s="1"/>
  <c r="G1076" i="2"/>
  <c r="Y1076" i="2"/>
  <c r="Y1077" i="2" s="1"/>
  <c r="V1076" i="2"/>
  <c r="V1077" i="2" s="1"/>
  <c r="S1076" i="2"/>
  <c r="S1077" i="2" s="1"/>
  <c r="K1076" i="2"/>
  <c r="K1077" i="2" s="1"/>
  <c r="J1076" i="2"/>
  <c r="J1077" i="2" s="1"/>
  <c r="X1076" i="2"/>
  <c r="X1077" i="2" s="1"/>
  <c r="U1076" i="2"/>
  <c r="U1077" i="2" s="1"/>
  <c r="R1076" i="2"/>
  <c r="R1077" i="2" s="1"/>
  <c r="Z1076" i="2"/>
  <c r="Z1077" i="2" s="1"/>
  <c r="I1076" i="2"/>
  <c r="I1077" i="2" s="1"/>
  <c r="H1076" i="2"/>
  <c r="H1077" i="2" s="1"/>
  <c r="T1076" i="2"/>
  <c r="T1077" i="2" s="1"/>
  <c r="Q1076" i="2"/>
  <c r="Q1077" i="2" s="1"/>
  <c r="L1076" i="2"/>
  <c r="L1077" i="2" s="1"/>
  <c r="W1076" i="2"/>
  <c r="W1077" i="2" s="1"/>
  <c r="O1076" i="2"/>
  <c r="O1077" i="2" s="1"/>
  <c r="P1076" i="2"/>
  <c r="P1077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7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6" i="2" l="1"/>
  <c r="L29" i="27"/>
  <c r="D29" i="34"/>
  <c r="L29" i="34" s="1"/>
  <c r="G1070" i="2"/>
  <c r="AA1070" i="2" s="1"/>
  <c r="AB1070" i="2" s="1"/>
  <c r="AA1069" i="2"/>
  <c r="AB1069" i="2" s="1"/>
  <c r="P1071" i="2"/>
  <c r="P162" i="2" s="1"/>
  <c r="S1071" i="2"/>
  <c r="S162" i="2" s="1"/>
  <c r="Z1071" i="2"/>
  <c r="Z162" i="2" s="1"/>
  <c r="J1071" i="2"/>
  <c r="J162" i="2" s="1"/>
  <c r="I14" i="26" s="1"/>
  <c r="M1071" i="2"/>
  <c r="M162" i="2" s="1"/>
  <c r="I14" i="31" s="1"/>
  <c r="L1071" i="2"/>
  <c r="L162" i="2" s="1"/>
  <c r="I14" i="28" s="1"/>
  <c r="O1071" i="2"/>
  <c r="O162" i="2" s="1"/>
  <c r="V1071" i="2"/>
  <c r="V162" i="2" s="1"/>
  <c r="Y1071" i="2"/>
  <c r="Y162" i="2" s="1"/>
  <c r="I1071" i="2"/>
  <c r="I162" i="2" s="1"/>
  <c r="I14" i="34" s="1"/>
  <c r="X1071" i="2"/>
  <c r="X162" i="2" s="1"/>
  <c r="H1071" i="2"/>
  <c r="H162" i="2" s="1"/>
  <c r="I14" i="24" s="1"/>
  <c r="K1071" i="2"/>
  <c r="K162" i="2" s="1"/>
  <c r="I14" i="32" s="1"/>
  <c r="R1071" i="2"/>
  <c r="R162" i="2" s="1"/>
  <c r="U1071" i="2"/>
  <c r="U162" i="2" s="1"/>
  <c r="T1071" i="2"/>
  <c r="T162" i="2" s="1"/>
  <c r="W1071" i="2"/>
  <c r="W162" i="2" s="1"/>
  <c r="N1071" i="2"/>
  <c r="N162" i="2" s="1"/>
  <c r="I14" i="27" s="1"/>
  <c r="Q1071" i="2"/>
  <c r="Q162" i="2" s="1"/>
  <c r="G1077" i="2"/>
  <c r="AA1077" i="2" s="1"/>
  <c r="AB1077" i="2" s="1"/>
  <c r="AA1076" i="2"/>
  <c r="AB1076" i="2" s="1"/>
  <c r="AA60" i="2"/>
  <c r="AB60" i="2" s="1"/>
  <c r="AA58" i="2"/>
  <c r="AB58" i="2" s="1"/>
  <c r="T1078" i="2"/>
  <c r="T219" i="2" s="1"/>
  <c r="U1078" i="2"/>
  <c r="U219" i="2" s="1"/>
  <c r="N1078" i="2"/>
  <c r="N219" i="2" s="1"/>
  <c r="P1078" i="2"/>
  <c r="P219" i="2" s="1"/>
  <c r="R1078" i="2"/>
  <c r="R219" i="2" s="1"/>
  <c r="J1078" i="2"/>
  <c r="J219" i="2" s="1"/>
  <c r="Q1078" i="2"/>
  <c r="Q219" i="2" s="1"/>
  <c r="O1078" i="2"/>
  <c r="O219" i="2" s="1"/>
  <c r="X1078" i="2"/>
  <c r="X219" i="2" s="1"/>
  <c r="Z1078" i="2"/>
  <c r="Z219" i="2" s="1"/>
  <c r="L1078" i="2"/>
  <c r="L219" i="2" s="1"/>
  <c r="Y1078" i="2"/>
  <c r="Y219" i="2" s="1"/>
  <c r="M1078" i="2"/>
  <c r="M219" i="2" s="1"/>
  <c r="V1078" i="2"/>
  <c r="V219" i="2" s="1"/>
  <c r="S1078" i="2"/>
  <c r="S219" i="2" s="1"/>
  <c r="W1078" i="2"/>
  <c r="W219" i="2" s="1"/>
  <c r="K1078" i="2"/>
  <c r="K219" i="2" s="1"/>
  <c r="H1078" i="2"/>
  <c r="H219" i="2" s="1"/>
  <c r="I1078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6" i="2" l="1"/>
  <c r="AB1096" i="2" s="1"/>
  <c r="F1098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71" i="2"/>
  <c r="G162" i="2" s="1"/>
  <c r="G1078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8" i="2" l="1"/>
  <c r="Y1099" i="2" s="1"/>
  <c r="F1099" i="2"/>
  <c r="G1098" i="2"/>
  <c r="G1099" i="2" s="1"/>
  <c r="H1098" i="2"/>
  <c r="H1099" i="2" s="1"/>
  <c r="I1098" i="2"/>
  <c r="I1099" i="2" s="1"/>
  <c r="J1098" i="2"/>
  <c r="J1099" i="2" s="1"/>
  <c r="J1100" i="2" s="1"/>
  <c r="J228" i="2" s="1"/>
  <c r="J28" i="26" s="1"/>
  <c r="K28" i="26" s="1"/>
  <c r="K1098" i="2"/>
  <c r="K1099" i="2" s="1"/>
  <c r="L1098" i="2"/>
  <c r="L1099" i="2" s="1"/>
  <c r="M1098" i="2"/>
  <c r="M1099" i="2" s="1"/>
  <c r="N1098" i="2"/>
  <c r="N1099" i="2" s="1"/>
  <c r="O1098" i="2"/>
  <c r="O1099" i="2" s="1"/>
  <c r="P1098" i="2"/>
  <c r="P1099" i="2" s="1"/>
  <c r="Q1098" i="2"/>
  <c r="Q1099" i="2" s="1"/>
  <c r="R1098" i="2"/>
  <c r="R1099" i="2" s="1"/>
  <c r="R1100" i="2" s="1"/>
  <c r="R228" i="2" s="1"/>
  <c r="S1098" i="2"/>
  <c r="S1099" i="2" s="1"/>
  <c r="T1098" i="2"/>
  <c r="T1099" i="2" s="1"/>
  <c r="U1098" i="2"/>
  <c r="U1099" i="2" s="1"/>
  <c r="V1098" i="2"/>
  <c r="V1099" i="2" s="1"/>
  <c r="V1100" i="2" s="1"/>
  <c r="V228" i="2" s="1"/>
  <c r="W1098" i="2"/>
  <c r="W1099" i="2" s="1"/>
  <c r="X1098" i="2"/>
  <c r="X1099" i="2" s="1"/>
  <c r="Z1098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71" i="2"/>
  <c r="AB1071" i="2" s="1"/>
  <c r="AA162" i="2"/>
  <c r="AB162" i="2" s="1"/>
  <c r="I14" i="14"/>
  <c r="I28" i="14"/>
  <c r="AA1078" i="2"/>
  <c r="AB1078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9" i="2"/>
  <c r="J738" i="2"/>
  <c r="D22" i="26" s="1"/>
  <c r="N738" i="2"/>
  <c r="D22" i="27" s="1"/>
  <c r="N799" i="2"/>
  <c r="K799" i="2"/>
  <c r="K738" i="2"/>
  <c r="D22" i="32" s="1"/>
  <c r="V738" i="2"/>
  <c r="V799" i="2"/>
  <c r="W799" i="2"/>
  <c r="W738" i="2"/>
  <c r="P799" i="2"/>
  <c r="P738" i="2"/>
  <c r="M738" i="2"/>
  <c r="D22" i="31" s="1"/>
  <c r="M799" i="2"/>
  <c r="X799" i="2"/>
  <c r="X738" i="2"/>
  <c r="R799" i="2"/>
  <c r="R738" i="2"/>
  <c r="I738" i="2"/>
  <c r="D22" i="34" s="1"/>
  <c r="I799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9" i="2"/>
  <c r="AA689" i="2"/>
  <c r="AB689" i="2" s="1"/>
  <c r="U691" i="2"/>
  <c r="AA691" i="2" s="1"/>
  <c r="AB691" i="2" s="1"/>
  <c r="H799" i="2"/>
  <c r="H738" i="2"/>
  <c r="D22" i="24" s="1"/>
  <c r="Q799" i="2"/>
  <c r="Q738" i="2"/>
  <c r="Y738" i="2"/>
  <c r="Y801" i="2" s="1"/>
  <c r="Y799" i="2"/>
  <c r="S799" i="2"/>
  <c r="S738" i="2"/>
  <c r="O799" i="2"/>
  <c r="O738" i="2"/>
  <c r="Z738" i="2"/>
  <c r="Z799" i="2"/>
  <c r="T738" i="2"/>
  <c r="T799" i="2"/>
  <c r="L799" i="2"/>
  <c r="L738" i="2"/>
  <c r="D22" i="28" s="1"/>
  <c r="G799" i="2"/>
  <c r="G738" i="2"/>
  <c r="U1100" i="2" l="1"/>
  <c r="U228" i="2" s="1"/>
  <c r="Q1100" i="2"/>
  <c r="Q228" i="2" s="1"/>
  <c r="M1100" i="2"/>
  <c r="M228" i="2" s="1"/>
  <c r="J28" i="31" s="1"/>
  <c r="K28" i="31" s="1"/>
  <c r="Y1100" i="2"/>
  <c r="Y228" i="2" s="1"/>
  <c r="X1100" i="2"/>
  <c r="X228" i="2" s="1"/>
  <c r="T1100" i="2"/>
  <c r="T228" i="2" s="1"/>
  <c r="H1100" i="2"/>
  <c r="H228" i="2" s="1"/>
  <c r="J28" i="24" s="1"/>
  <c r="K28" i="24" s="1"/>
  <c r="W1100" i="2"/>
  <c r="W228" i="2" s="1"/>
  <c r="S1100" i="2"/>
  <c r="S228" i="2" s="1"/>
  <c r="O1100" i="2"/>
  <c r="O228" i="2" s="1"/>
  <c r="K1100" i="2"/>
  <c r="K228" i="2" s="1"/>
  <c r="J28" i="32" s="1"/>
  <c r="K28" i="32" s="1"/>
  <c r="AA1098" i="2"/>
  <c r="AB1098" i="2" s="1"/>
  <c r="Z1099" i="2"/>
  <c r="AA1099" i="2" s="1"/>
  <c r="AB1099" i="2" s="1"/>
  <c r="G1100" i="2"/>
  <c r="I1100" i="2"/>
  <c r="I228" i="2" s="1"/>
  <c r="J28" i="34" s="1"/>
  <c r="K28" i="34" s="1"/>
  <c r="L1100" i="2"/>
  <c r="L228" i="2" s="1"/>
  <c r="J28" i="28" s="1"/>
  <c r="K28" i="28" s="1"/>
  <c r="N1100" i="2"/>
  <c r="N228" i="2" s="1"/>
  <c r="J28" i="27" s="1"/>
  <c r="K28" i="27" s="1"/>
  <c r="P1100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801" i="2"/>
  <c r="AA634" i="2"/>
  <c r="AB634" i="2" s="1"/>
  <c r="AA119" i="2"/>
  <c r="AB119" i="2" s="1"/>
  <c r="Z801" i="2"/>
  <c r="S801" i="2"/>
  <c r="D22" i="14"/>
  <c r="U738" i="2"/>
  <c r="U801" i="2" s="1"/>
  <c r="U799" i="2"/>
  <c r="AA799" i="2" s="1"/>
  <c r="AB799" i="2" s="1"/>
  <c r="AF331" i="1"/>
  <c r="AG331" i="1" s="1"/>
  <c r="AE333" i="1"/>
  <c r="AF538" i="1"/>
  <c r="AG538" i="1" s="1"/>
  <c r="AE540" i="1"/>
  <c r="R801" i="2"/>
  <c r="X801" i="2"/>
  <c r="W801" i="2"/>
  <c r="O801" i="2"/>
  <c r="L801" i="2"/>
  <c r="M801" i="2"/>
  <c r="J801" i="2"/>
  <c r="P801" i="2"/>
  <c r="N801" i="2"/>
  <c r="Q801" i="2"/>
  <c r="G801" i="2"/>
  <c r="H801" i="2"/>
  <c r="K801" i="2"/>
  <c r="I801" i="2"/>
  <c r="AA720" i="2"/>
  <c r="AA766" i="2" s="1"/>
  <c r="AB766" i="2" s="1"/>
  <c r="I31" i="14"/>
  <c r="U719" i="2"/>
  <c r="U765" i="2"/>
  <c r="AA765" i="2" s="1"/>
  <c r="AB765" i="2" s="1"/>
  <c r="V801" i="2"/>
  <c r="H31" i="14" l="1"/>
  <c r="Z1100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801" i="2"/>
  <c r="AB801" i="2" s="1"/>
  <c r="AA719" i="2"/>
  <c r="AB719" i="2" s="1"/>
  <c r="AA1100" i="2" l="1"/>
  <c r="AB1100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90" i="2" l="1"/>
  <c r="AA1088" i="2"/>
  <c r="AB1088" i="2" s="1"/>
  <c r="F758" i="2"/>
  <c r="F797" i="2" s="1"/>
  <c r="F712" i="2"/>
  <c r="F725" i="2" s="1"/>
  <c r="F1115" i="2"/>
  <c r="J233" i="2"/>
  <c r="K233" i="2"/>
  <c r="Q233" i="2"/>
  <c r="V758" i="2"/>
  <c r="V1115" i="2"/>
  <c r="V712" i="2"/>
  <c r="R233" i="2"/>
  <c r="G233" i="2"/>
  <c r="X1115" i="2"/>
  <c r="X712" i="2"/>
  <c r="X758" i="2"/>
  <c r="S233" i="2"/>
  <c r="O712" i="2"/>
  <c r="O1115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5" i="2" s="1"/>
  <c r="N233" i="2"/>
  <c r="H233" i="2"/>
  <c r="Y1115" i="2"/>
  <c r="Y758" i="2"/>
  <c r="Y712" i="2"/>
  <c r="T233" i="2"/>
  <c r="T1115" i="2" s="1"/>
  <c r="M233" i="2"/>
  <c r="Z758" i="2"/>
  <c r="Z712" i="2"/>
  <c r="Z1115" i="2"/>
  <c r="W712" i="2"/>
  <c r="W758" i="2"/>
  <c r="W1115" i="2"/>
  <c r="P233" i="2"/>
  <c r="L233" i="2"/>
  <c r="U788" i="2" l="1"/>
  <c r="Y788" i="2"/>
  <c r="T788" i="2"/>
  <c r="V788" i="2"/>
  <c r="Z788" i="2"/>
  <c r="O788" i="2"/>
  <c r="W788" i="2"/>
  <c r="X788" i="2"/>
  <c r="X1090" i="2"/>
  <c r="X1091" i="2" s="1"/>
  <c r="T1090" i="2"/>
  <c r="T1091" i="2" s="1"/>
  <c r="P1090" i="2"/>
  <c r="P1091" i="2" s="1"/>
  <c r="L1090" i="2"/>
  <c r="L1091" i="2" s="1"/>
  <c r="H1090" i="2"/>
  <c r="H1091" i="2" s="1"/>
  <c r="N1090" i="2"/>
  <c r="N1091" i="2" s="1"/>
  <c r="U1090" i="2"/>
  <c r="U1091" i="2" s="1"/>
  <c r="I1090" i="2"/>
  <c r="I1091" i="2" s="1"/>
  <c r="W1090" i="2"/>
  <c r="W1091" i="2" s="1"/>
  <c r="S1090" i="2"/>
  <c r="S1091" i="2" s="1"/>
  <c r="O1090" i="2"/>
  <c r="O1091" i="2" s="1"/>
  <c r="K1090" i="2"/>
  <c r="K1091" i="2" s="1"/>
  <c r="G1090" i="2"/>
  <c r="R1090" i="2"/>
  <c r="R1091" i="2" s="1"/>
  <c r="J1090" i="2"/>
  <c r="J1091" i="2" s="1"/>
  <c r="M1090" i="2"/>
  <c r="M1091" i="2" s="1"/>
  <c r="Z1090" i="2"/>
  <c r="Z1091" i="2" s="1"/>
  <c r="V1090" i="2"/>
  <c r="V1091" i="2" s="1"/>
  <c r="Y1090" i="2"/>
  <c r="Y1091" i="2" s="1"/>
  <c r="Q1090" i="2"/>
  <c r="Q1091" i="2" s="1"/>
  <c r="F1091" i="2"/>
  <c r="AA290" i="2"/>
  <c r="AB290" i="2" s="1"/>
  <c r="M712" i="2"/>
  <c r="M1115" i="2"/>
  <c r="M788" i="2" s="1"/>
  <c r="M758" i="2"/>
  <c r="T712" i="2"/>
  <c r="T758" i="2"/>
  <c r="H758" i="2"/>
  <c r="H1115" i="2"/>
  <c r="H788" i="2" s="1"/>
  <c r="H712" i="2"/>
  <c r="U758" i="2"/>
  <c r="U712" i="2"/>
  <c r="AF117" i="1"/>
  <c r="AG117" i="1" s="1"/>
  <c r="AE141" i="1"/>
  <c r="S1115" i="2"/>
  <c r="S788" i="2" s="1"/>
  <c r="S712" i="2"/>
  <c r="S758" i="2"/>
  <c r="G712" i="2"/>
  <c r="G758" i="2"/>
  <c r="G1115" i="2"/>
  <c r="G788" i="2" s="1"/>
  <c r="AA233" i="2"/>
  <c r="K712" i="2"/>
  <c r="K1115" i="2"/>
  <c r="K788" i="2" s="1"/>
  <c r="K758" i="2"/>
  <c r="J758" i="2"/>
  <c r="J712" i="2"/>
  <c r="J1115" i="2"/>
  <c r="J788" i="2" s="1"/>
  <c r="F736" i="2"/>
  <c r="F740" i="2" s="1"/>
  <c r="P1115" i="2"/>
  <c r="P788" i="2" s="1"/>
  <c r="P712" i="2"/>
  <c r="P758" i="2"/>
  <c r="L1115" i="2"/>
  <c r="L788" i="2" s="1"/>
  <c r="L712" i="2"/>
  <c r="L758" i="2"/>
  <c r="N1115" i="2"/>
  <c r="N712" i="2"/>
  <c r="N758" i="2"/>
  <c r="I712" i="2"/>
  <c r="I1115" i="2"/>
  <c r="I788" i="2" s="1"/>
  <c r="I758" i="2"/>
  <c r="R712" i="2"/>
  <c r="R758" i="2"/>
  <c r="R1115" i="2"/>
  <c r="R788" i="2" s="1"/>
  <c r="Q758" i="2"/>
  <c r="Q712" i="2"/>
  <c r="Q1115" i="2"/>
  <c r="Q788" i="2" s="1"/>
  <c r="F778" i="2"/>
  <c r="F855" i="2" s="1"/>
  <c r="F803" i="2"/>
  <c r="D28" i="34" l="1"/>
  <c r="L28" i="34" s="1"/>
  <c r="D28" i="28"/>
  <c r="L28" i="28" s="1"/>
  <c r="D28" i="27"/>
  <c r="L28" i="27" s="1"/>
  <c r="D28" i="26"/>
  <c r="L28" i="26" s="1"/>
  <c r="D28" i="31"/>
  <c r="L28" i="31" s="1"/>
  <c r="D28" i="32"/>
  <c r="L28" i="32" s="1"/>
  <c r="D28" i="14"/>
  <c r="L28" i="14" s="1"/>
  <c r="D28" i="24"/>
  <c r="L28" i="24" s="1"/>
  <c r="N788" i="2"/>
  <c r="AA788" i="2" s="1"/>
  <c r="AB788" i="2" s="1"/>
  <c r="Q505" i="2"/>
  <c r="V505" i="2"/>
  <c r="V519" i="2" s="1"/>
  <c r="V718" i="2" s="1"/>
  <c r="V764" i="2" s="1"/>
  <c r="V797" i="2" s="1"/>
  <c r="Y505" i="2"/>
  <c r="Y519" i="2" s="1"/>
  <c r="Y718" i="2" s="1"/>
  <c r="Y764" i="2" s="1"/>
  <c r="Y797" i="2" s="1"/>
  <c r="M505" i="2"/>
  <c r="K505" i="2"/>
  <c r="I505" i="2"/>
  <c r="L505" i="2"/>
  <c r="J505" i="2"/>
  <c r="O505" i="2"/>
  <c r="U505" i="2"/>
  <c r="U519" i="2" s="1"/>
  <c r="U718" i="2" s="1"/>
  <c r="U764" i="2" s="1"/>
  <c r="U797" i="2" s="1"/>
  <c r="P505" i="2"/>
  <c r="R505" i="2"/>
  <c r="S505" i="2"/>
  <c r="N505" i="2"/>
  <c r="T505" i="2"/>
  <c r="Z505" i="2"/>
  <c r="Z519" i="2" s="1"/>
  <c r="Z718" i="2" s="1"/>
  <c r="Z764" i="2" s="1"/>
  <c r="Z797" i="2" s="1"/>
  <c r="W505" i="2"/>
  <c r="W519" i="2" s="1"/>
  <c r="W718" i="2" s="1"/>
  <c r="W764" i="2" s="1"/>
  <c r="W797" i="2" s="1"/>
  <c r="H505" i="2"/>
  <c r="X505" i="2"/>
  <c r="X519" i="2" s="1"/>
  <c r="X718" i="2" s="1"/>
  <c r="X764" i="2" s="1"/>
  <c r="X797" i="2" s="1"/>
  <c r="Q1085" i="2"/>
  <c r="Q1092" i="2"/>
  <c r="M1085" i="2"/>
  <c r="M1092" i="2"/>
  <c r="K1085" i="2"/>
  <c r="K1092" i="2"/>
  <c r="I1085" i="2"/>
  <c r="I1092" i="2"/>
  <c r="L1085" i="2"/>
  <c r="L1092" i="2"/>
  <c r="Y1092" i="2"/>
  <c r="Y1085" i="2"/>
  <c r="J1092" i="2"/>
  <c r="J1085" i="2"/>
  <c r="O1085" i="2"/>
  <c r="O1092" i="2"/>
  <c r="U1092" i="2"/>
  <c r="U1085" i="2"/>
  <c r="P1092" i="2"/>
  <c r="P1085" i="2"/>
  <c r="V1092" i="2"/>
  <c r="V1085" i="2"/>
  <c r="R1085" i="2"/>
  <c r="R1092" i="2"/>
  <c r="S1092" i="2"/>
  <c r="S1085" i="2"/>
  <c r="N1092" i="2"/>
  <c r="N1085" i="2"/>
  <c r="T1085" i="2"/>
  <c r="T1092" i="2"/>
  <c r="Z1085" i="2"/>
  <c r="Z1092" i="2"/>
  <c r="W1092" i="2"/>
  <c r="W1085" i="2"/>
  <c r="H1092" i="2"/>
  <c r="H1085" i="2"/>
  <c r="X1085" i="2"/>
  <c r="X1092" i="2"/>
  <c r="AA1090" i="2"/>
  <c r="AB1090" i="2" s="1"/>
  <c r="G1091" i="2"/>
  <c r="G505" i="2" s="1"/>
  <c r="F727" i="2"/>
  <c r="AA1115" i="2"/>
  <c r="AB1115" i="2" s="1"/>
  <c r="AA712" i="2"/>
  <c r="AB712" i="2" s="1"/>
  <c r="F819" i="2"/>
  <c r="F780" i="2"/>
  <c r="AA758" i="2"/>
  <c r="AB758" i="2" s="1"/>
  <c r="AB233" i="2"/>
  <c r="F174" i="2"/>
  <c r="AF141" i="1"/>
  <c r="AG141" i="1" s="1"/>
  <c r="R519" i="2" l="1"/>
  <c r="R718" i="2" s="1"/>
  <c r="R764" i="2" s="1"/>
  <c r="R797" i="2" s="1"/>
  <c r="H519" i="2"/>
  <c r="H718" i="2" s="1"/>
  <c r="H764" i="2" s="1"/>
  <c r="H797" i="2" s="1"/>
  <c r="I30" i="27"/>
  <c r="K30" i="27" s="1"/>
  <c r="I30" i="34"/>
  <c r="K30" i="34" s="1"/>
  <c r="S519" i="2"/>
  <c r="S718" i="2" s="1"/>
  <c r="S764" i="2" s="1"/>
  <c r="S797" i="2" s="1"/>
  <c r="O519" i="2"/>
  <c r="O718" i="2" s="1"/>
  <c r="O736" i="2" s="1"/>
  <c r="Q519" i="2"/>
  <c r="Q718" i="2" s="1"/>
  <c r="Q764" i="2" s="1"/>
  <c r="Q797" i="2" s="1"/>
  <c r="U736" i="2"/>
  <c r="V736" i="2"/>
  <c r="K519" i="2"/>
  <c r="K718" i="2" s="1"/>
  <c r="K764" i="2" s="1"/>
  <c r="I30" i="32"/>
  <c r="K30" i="32" s="1"/>
  <c r="J519" i="2"/>
  <c r="J718" i="2" s="1"/>
  <c r="J764" i="2" s="1"/>
  <c r="I30" i="26"/>
  <c r="K30" i="26" s="1"/>
  <c r="M519" i="2"/>
  <c r="M718" i="2" s="1"/>
  <c r="M764" i="2" s="1"/>
  <c r="I30" i="31"/>
  <c r="K30" i="31" s="1"/>
  <c r="L519" i="2"/>
  <c r="L718" i="2" s="1"/>
  <c r="L764" i="2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91" i="2"/>
  <c r="AB1091" i="2" s="1"/>
  <c r="G1092" i="2"/>
  <c r="AA1092" i="2" s="1"/>
  <c r="AB1092" i="2" s="1"/>
  <c r="G1085" i="2"/>
  <c r="AA1085" i="2" s="1"/>
  <c r="AB1085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7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5" i="2"/>
  <c r="F931" i="2"/>
  <c r="D30" i="28" l="1"/>
  <c r="L30" i="28" s="1"/>
  <c r="L797" i="2"/>
  <c r="D30" i="31"/>
  <c r="L30" i="31" s="1"/>
  <c r="M797" i="2"/>
  <c r="D30" i="32"/>
  <c r="L30" i="32" s="1"/>
  <c r="K797" i="2"/>
  <c r="D30" i="26"/>
  <c r="L30" i="26" s="1"/>
  <c r="J797" i="2"/>
  <c r="O764" i="2"/>
  <c r="O797" i="2" s="1"/>
  <c r="R736" i="2"/>
  <c r="S736" i="2"/>
  <c r="Q736" i="2"/>
  <c r="H736" i="2"/>
  <c r="J736" i="2"/>
  <c r="K736" i="2"/>
  <c r="M736" i="2"/>
  <c r="O1108" i="2"/>
  <c r="O705" i="2" s="1"/>
  <c r="O923" i="2"/>
  <c r="L736" i="2"/>
  <c r="I764" i="2"/>
  <c r="I736" i="2"/>
  <c r="D30" i="24"/>
  <c r="L30" i="24" s="1"/>
  <c r="X729" i="2"/>
  <c r="X787" i="2" s="1"/>
  <c r="X789" i="2" s="1"/>
  <c r="X830" i="2" s="1"/>
  <c r="W729" i="2"/>
  <c r="W787" i="2" s="1"/>
  <c r="W789" i="2" s="1"/>
  <c r="W830" i="2" s="1"/>
  <c r="V729" i="2"/>
  <c r="V787" i="2" s="1"/>
  <c r="V789" i="2" s="1"/>
  <c r="Z729" i="2"/>
  <c r="Z787" i="2" s="1"/>
  <c r="Z789" i="2" s="1"/>
  <c r="Z830" i="2" s="1"/>
  <c r="Y729" i="2"/>
  <c r="Y787" i="2" s="1"/>
  <c r="Y789" i="2" s="1"/>
  <c r="Y866" i="2" s="1"/>
  <c r="P764" i="2"/>
  <c r="P797" i="2" s="1"/>
  <c r="P736" i="2"/>
  <c r="N764" i="2"/>
  <c r="N736" i="2"/>
  <c r="T764" i="2"/>
  <c r="T797" i="2" s="1"/>
  <c r="T736" i="2"/>
  <c r="G718" i="2"/>
  <c r="AA519" i="2"/>
  <c r="AB519" i="2" s="1"/>
  <c r="F729" i="2"/>
  <c r="F787" i="2" s="1"/>
  <c r="F789" i="2" s="1"/>
  <c r="V704" i="2"/>
  <c r="V705" i="2"/>
  <c r="V1106" i="2"/>
  <c r="W1106" i="2"/>
  <c r="W705" i="2"/>
  <c r="W704" i="2"/>
  <c r="Y705" i="2"/>
  <c r="Y1106" i="2"/>
  <c r="Y704" i="2"/>
  <c r="Z1106" i="2"/>
  <c r="X705" i="2"/>
  <c r="X1106" i="2"/>
  <c r="Z704" i="2"/>
  <c r="Z705" i="2"/>
  <c r="X704" i="2"/>
  <c r="O704" i="2"/>
  <c r="O1106" i="2"/>
  <c r="J176" i="2"/>
  <c r="H176" i="2"/>
  <c r="H1107" i="2" s="1"/>
  <c r="Q176" i="2"/>
  <c r="Q1107" i="2" s="1"/>
  <c r="S176" i="2"/>
  <c r="S1107" i="2" s="1"/>
  <c r="M176" i="2"/>
  <c r="P176" i="2"/>
  <c r="P1107" i="2" s="1"/>
  <c r="R176" i="2"/>
  <c r="R1107" i="2" s="1"/>
  <c r="I176" i="2"/>
  <c r="D14" i="34" s="1"/>
  <c r="AA174" i="2"/>
  <c r="AB174" i="2" s="1"/>
  <c r="U176" i="2"/>
  <c r="N176" i="2"/>
  <c r="K176" i="2"/>
  <c r="O729" i="2"/>
  <c r="F18" i="4" s="1"/>
  <c r="G176" i="2"/>
  <c r="G1107" i="2" s="1"/>
  <c r="T176" i="2"/>
  <c r="L176" i="2"/>
  <c r="D30" i="34" l="1"/>
  <c r="L30" i="34" s="1"/>
  <c r="I797" i="2"/>
  <c r="D30" i="27"/>
  <c r="N797" i="2"/>
  <c r="V866" i="2"/>
  <c r="V897" i="2" s="1"/>
  <c r="F50" i="4"/>
  <c r="S1108" i="2"/>
  <c r="S705" i="2" s="1"/>
  <c r="S923" i="2"/>
  <c r="W866" i="2"/>
  <c r="W897" i="2" s="1"/>
  <c r="X866" i="2"/>
  <c r="X944" i="2" s="1"/>
  <c r="Y830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7" i="2"/>
  <c r="N1108" i="2" s="1"/>
  <c r="N705" i="2" s="1"/>
  <c r="D14" i="27"/>
  <c r="P1108" i="2"/>
  <c r="P705" i="2" s="1"/>
  <c r="P923" i="2"/>
  <c r="Q1108" i="2"/>
  <c r="Q705" i="2" s="1"/>
  <c r="Q923" i="2"/>
  <c r="G1108" i="2"/>
  <c r="G705" i="2" s="1"/>
  <c r="G923" i="2"/>
  <c r="R1108" i="2"/>
  <c r="R705" i="2" s="1"/>
  <c r="R923" i="2"/>
  <c r="H1108" i="2"/>
  <c r="H705" i="2" s="1"/>
  <c r="H923" i="2"/>
  <c r="J1107" i="2"/>
  <c r="J704" i="2" s="1"/>
  <c r="D14" i="26"/>
  <c r="K1107" i="2"/>
  <c r="K704" i="2" s="1"/>
  <c r="D14" i="32"/>
  <c r="I1107" i="2"/>
  <c r="I704" i="2" s="1"/>
  <c r="M1107" i="2"/>
  <c r="M704" i="2" s="1"/>
  <c r="D14" i="31"/>
  <c r="L1107" i="2"/>
  <c r="L704" i="2" s="1"/>
  <c r="D14" i="28"/>
  <c r="L30" i="27"/>
  <c r="Y944" i="2"/>
  <c r="Y897" i="2"/>
  <c r="V830" i="2"/>
  <c r="Z866" i="2"/>
  <c r="U704" i="2"/>
  <c r="S1106" i="2"/>
  <c r="D14" i="24"/>
  <c r="G764" i="2"/>
  <c r="G797" i="2" s="1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7" i="2"/>
  <c r="O789" i="2" s="1"/>
  <c r="F43" i="4" s="1"/>
  <c r="V944" i="2"/>
  <c r="F77" i="4" s="1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6" i="2"/>
  <c r="F830" i="2"/>
  <c r="F791" i="2"/>
  <c r="K1106" i="2"/>
  <c r="U705" i="2"/>
  <c r="P704" i="2"/>
  <c r="H704" i="2"/>
  <c r="Q704" i="2"/>
  <c r="L1106" i="2"/>
  <c r="J1106" i="2"/>
  <c r="T1106" i="2"/>
  <c r="R1106" i="2"/>
  <c r="T729" i="2"/>
  <c r="F23" i="4" s="1"/>
  <c r="I729" i="2"/>
  <c r="F12" i="4" s="1"/>
  <c r="R729" i="2"/>
  <c r="F21" i="4" s="1"/>
  <c r="P729" i="2"/>
  <c r="F19" i="4" s="1"/>
  <c r="M729" i="2"/>
  <c r="S729" i="2"/>
  <c r="F22" i="4" s="1"/>
  <c r="U1106" i="2"/>
  <c r="H1106" i="2"/>
  <c r="P1106" i="2"/>
  <c r="Q1106" i="2"/>
  <c r="G1106" i="2"/>
  <c r="G704" i="2"/>
  <c r="T704" i="2"/>
  <c r="N1106" i="2"/>
  <c r="R704" i="2"/>
  <c r="S704" i="2"/>
  <c r="W944" i="2" l="1"/>
  <c r="D46" i="14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7" i="2"/>
  <c r="N923" i="2"/>
  <c r="K22" i="34"/>
  <c r="L22" i="34" s="1"/>
  <c r="K15" i="34"/>
  <c r="E16" i="34"/>
  <c r="M1108" i="2"/>
  <c r="M705" i="2" s="1"/>
  <c r="E46" i="31" s="1"/>
  <c r="M923" i="2"/>
  <c r="K1108" i="2"/>
  <c r="K705" i="2" s="1"/>
  <c r="K709" i="2" s="1"/>
  <c r="C14" i="4" s="1"/>
  <c r="K923" i="2"/>
  <c r="L1108" i="2"/>
  <c r="L705" i="2" s="1"/>
  <c r="D46" i="28" s="1"/>
  <c r="D47" i="28" s="1"/>
  <c r="L923" i="2"/>
  <c r="I1108" i="2"/>
  <c r="I705" i="2" s="1"/>
  <c r="I923" i="2"/>
  <c r="J1108" i="2"/>
  <c r="J705" i="2" s="1"/>
  <c r="D46" i="26" s="1"/>
  <c r="D47" i="26" s="1"/>
  <c r="J923" i="2"/>
  <c r="AA1107" i="2"/>
  <c r="AB1107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4" i="2"/>
  <c r="Z897" i="2"/>
  <c r="M787" i="2"/>
  <c r="M789" i="2" s="1"/>
  <c r="F41" i="4" s="1"/>
  <c r="F16" i="4"/>
  <c r="L787" i="2"/>
  <c r="L789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6" i="2"/>
  <c r="AB1106" i="2" s="1"/>
  <c r="T709" i="2"/>
  <c r="C23" i="4" s="1"/>
  <c r="V775" i="2"/>
  <c r="Y775" i="2"/>
  <c r="Z775" i="2"/>
  <c r="X748" i="2"/>
  <c r="X754" i="2" s="1"/>
  <c r="X810" i="2" s="1"/>
  <c r="V748" i="2"/>
  <c r="V754" i="2" s="1"/>
  <c r="W775" i="2"/>
  <c r="X775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7" i="2"/>
  <c r="S789" i="2" s="1"/>
  <c r="F47" i="4" s="1"/>
  <c r="R787" i="2"/>
  <c r="R789" i="2" s="1"/>
  <c r="F46" i="4" s="1"/>
  <c r="Q709" i="2"/>
  <c r="C20" i="4" s="1"/>
  <c r="P709" i="2"/>
  <c r="C19" i="4" s="1"/>
  <c r="F813" i="2"/>
  <c r="J787" i="2"/>
  <c r="J789" i="2" s="1"/>
  <c r="F38" i="4" s="1"/>
  <c r="F11" i="4"/>
  <c r="H787" i="2"/>
  <c r="H789" i="2" s="1"/>
  <c r="F36" i="4" s="1"/>
  <c r="N787" i="2"/>
  <c r="N789" i="2" s="1"/>
  <c r="F42" i="4" s="1"/>
  <c r="O866" i="2"/>
  <c r="O830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7" i="2"/>
  <c r="P789" i="2" s="1"/>
  <c r="F44" i="4" s="1"/>
  <c r="I787" i="2"/>
  <c r="I789" i="2" s="1"/>
  <c r="F37" i="4" s="1"/>
  <c r="T787" i="2"/>
  <c r="T789" i="2" s="1"/>
  <c r="F48" i="4" s="1"/>
  <c r="H709" i="2"/>
  <c r="F944" i="2"/>
  <c r="F897" i="2"/>
  <c r="W721" i="2"/>
  <c r="W725" i="2" s="1"/>
  <c r="W767" i="2"/>
  <c r="O734" i="2"/>
  <c r="O740" i="2" s="1"/>
  <c r="O775" i="2" s="1"/>
  <c r="O748" i="2"/>
  <c r="O754" i="2" s="1"/>
  <c r="C43" i="4" s="1"/>
  <c r="Q787" i="2"/>
  <c r="Q789" i="2" s="1"/>
  <c r="F45" i="4" s="1"/>
  <c r="U787" i="2"/>
  <c r="U789" i="2" s="1"/>
  <c r="F49" i="4" s="1"/>
  <c r="F24" i="4"/>
  <c r="K787" i="2"/>
  <c r="K789" i="2" s="1"/>
  <c r="F39" i="4" s="1"/>
  <c r="G787" i="2"/>
  <c r="F10" i="4"/>
  <c r="AA729" i="2"/>
  <c r="AB729" i="2" s="1"/>
  <c r="V810" i="2" l="1"/>
  <c r="C50" i="4"/>
  <c r="K37" i="24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8" i="2"/>
  <c r="AB1108" i="2" s="1"/>
  <c r="H46" i="26"/>
  <c r="H47" i="26" s="1"/>
  <c r="AA923" i="2"/>
  <c r="AB923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6" i="2"/>
  <c r="L944" i="2" s="1"/>
  <c r="F67" i="4" s="1"/>
  <c r="L830" i="2"/>
  <c r="R748" i="2"/>
  <c r="R754" i="2" s="1"/>
  <c r="C46" i="4" s="1"/>
  <c r="M830" i="2"/>
  <c r="M866" i="2"/>
  <c r="M897" i="2" s="1"/>
  <c r="S734" i="2"/>
  <c r="S740" i="2" s="1"/>
  <c r="S775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5" i="2"/>
  <c r="X843" i="2"/>
  <c r="X916" i="2" s="1"/>
  <c r="V795" i="2"/>
  <c r="V843" i="2"/>
  <c r="Z843" i="2"/>
  <c r="Z810" i="2"/>
  <c r="W795" i="2"/>
  <c r="W810" i="2"/>
  <c r="Y843" i="2"/>
  <c r="Y810" i="2"/>
  <c r="Y795" i="2"/>
  <c r="Z795" i="2"/>
  <c r="W843" i="2"/>
  <c r="X778" i="2"/>
  <c r="X819" i="2" s="1"/>
  <c r="S748" i="2"/>
  <c r="S754" i="2" s="1"/>
  <c r="C47" i="4" s="1"/>
  <c r="Y778" i="2"/>
  <c r="Y819" i="2" s="1"/>
  <c r="X776" i="2"/>
  <c r="Y776" i="2"/>
  <c r="V776" i="2"/>
  <c r="W778" i="2"/>
  <c r="W819" i="2" s="1"/>
  <c r="W776" i="2"/>
  <c r="Z776" i="2"/>
  <c r="K830" i="2"/>
  <c r="K866" i="2"/>
  <c r="O795" i="2"/>
  <c r="O843" i="2"/>
  <c r="O810" i="2"/>
  <c r="T830" i="2"/>
  <c r="T866" i="2"/>
  <c r="I830" i="2"/>
  <c r="I866" i="2"/>
  <c r="G789" i="2"/>
  <c r="AA787" i="2"/>
  <c r="AB787" i="2" s="1"/>
  <c r="U866" i="2"/>
  <c r="U830" i="2"/>
  <c r="Q830" i="2"/>
  <c r="Q866" i="2"/>
  <c r="O721" i="2"/>
  <c r="O725" i="2" s="1"/>
  <c r="D18" i="4" s="1"/>
  <c r="O767" i="2"/>
  <c r="W855" i="2"/>
  <c r="W727" i="2"/>
  <c r="P830" i="2"/>
  <c r="P866" i="2"/>
  <c r="Z855" i="2"/>
  <c r="Z727" i="2"/>
  <c r="Y855" i="2"/>
  <c r="Y727" i="2"/>
  <c r="U734" i="2"/>
  <c r="U740" i="2" s="1"/>
  <c r="U775" i="2" s="1"/>
  <c r="U748" i="2"/>
  <c r="U754" i="2" s="1"/>
  <c r="C49" i="4" s="1"/>
  <c r="K46" i="14"/>
  <c r="O944" i="2"/>
  <c r="F70" i="4" s="1"/>
  <c r="O897" i="2"/>
  <c r="N830" i="2"/>
  <c r="N866" i="2"/>
  <c r="J830" i="2"/>
  <c r="J866" i="2"/>
  <c r="F835" i="2"/>
  <c r="F837" i="2" s="1"/>
  <c r="F823" i="2"/>
  <c r="F825" i="2" s="1"/>
  <c r="F815" i="2"/>
  <c r="K748" i="2"/>
  <c r="K754" i="2" s="1"/>
  <c r="C39" i="4" s="1"/>
  <c r="K734" i="2"/>
  <c r="K740" i="2" s="1"/>
  <c r="K775" i="2" s="1"/>
  <c r="X855" i="2"/>
  <c r="X727" i="2"/>
  <c r="F25" i="4"/>
  <c r="V778" i="2"/>
  <c r="D50" i="4" s="1"/>
  <c r="C11" i="4"/>
  <c r="H734" i="2"/>
  <c r="H740" i="2" s="1"/>
  <c r="H775" i="2" s="1"/>
  <c r="H748" i="2"/>
  <c r="H754" i="2" s="1"/>
  <c r="C36" i="4" s="1"/>
  <c r="G748" i="2"/>
  <c r="C10" i="4"/>
  <c r="G734" i="2"/>
  <c r="K22" i="14"/>
  <c r="L22" i="14" s="1"/>
  <c r="K15" i="14"/>
  <c r="E16" i="14"/>
  <c r="H830" i="2"/>
  <c r="H866" i="2"/>
  <c r="P748" i="2"/>
  <c r="P754" i="2" s="1"/>
  <c r="C44" i="4" s="1"/>
  <c r="P734" i="2"/>
  <c r="P740" i="2" s="1"/>
  <c r="P775" i="2" s="1"/>
  <c r="Q748" i="2"/>
  <c r="Q754" i="2" s="1"/>
  <c r="C45" i="4" s="1"/>
  <c r="Q734" i="2"/>
  <c r="Q740" i="2" s="1"/>
  <c r="Q775" i="2" s="1"/>
  <c r="R830" i="2"/>
  <c r="R866" i="2"/>
  <c r="S866" i="2"/>
  <c r="S830" i="2"/>
  <c r="V855" i="2"/>
  <c r="V727" i="2"/>
  <c r="Z778" i="2"/>
  <c r="R843" i="2" l="1"/>
  <c r="R916" i="2" s="1"/>
  <c r="N734" i="2"/>
  <c r="N740" i="2" s="1"/>
  <c r="N775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8" i="2" s="1"/>
  <c r="D47" i="4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5" i="2" s="1"/>
  <c r="K47" i="31"/>
  <c r="L47" i="31" s="1"/>
  <c r="L734" i="2"/>
  <c r="L740" i="2" s="1"/>
  <c r="L775" i="2" s="1"/>
  <c r="M734" i="2"/>
  <c r="M740" i="2" s="1"/>
  <c r="M775" i="2" s="1"/>
  <c r="M748" i="2"/>
  <c r="M754" i="2" s="1"/>
  <c r="C41" i="4" s="1"/>
  <c r="R795" i="2"/>
  <c r="AA709" i="2"/>
  <c r="AB709" i="2" s="1"/>
  <c r="R775" i="2"/>
  <c r="R776" i="2" s="1"/>
  <c r="I748" i="2"/>
  <c r="I754" i="2" s="1"/>
  <c r="C37" i="4" s="1"/>
  <c r="L897" i="2"/>
  <c r="L15" i="24"/>
  <c r="K47" i="32"/>
  <c r="L47" i="32" s="1"/>
  <c r="K46" i="32"/>
  <c r="L46" i="32" s="1"/>
  <c r="I734" i="2"/>
  <c r="I740" i="2" s="1"/>
  <c r="I775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10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7" i="2"/>
  <c r="V888" i="2" s="1"/>
  <c r="Z857" i="2"/>
  <c r="Z888" i="2" s="1"/>
  <c r="W857" i="2"/>
  <c r="M944" i="2"/>
  <c r="F68" i="4" s="1"/>
  <c r="T843" i="2"/>
  <c r="T916" i="2" s="1"/>
  <c r="T810" i="2"/>
  <c r="L46" i="14"/>
  <c r="L47" i="14"/>
  <c r="T795" i="2"/>
  <c r="T721" i="2"/>
  <c r="T725" i="2" s="1"/>
  <c r="T775" i="2"/>
  <c r="T767" i="2"/>
  <c r="X803" i="2"/>
  <c r="Y916" i="2"/>
  <c r="V916" i="2"/>
  <c r="Z916" i="2"/>
  <c r="Y803" i="2"/>
  <c r="W916" i="2"/>
  <c r="Y857" i="2"/>
  <c r="Y780" i="2"/>
  <c r="S795" i="2"/>
  <c r="W780" i="2"/>
  <c r="S810" i="2"/>
  <c r="S843" i="2"/>
  <c r="X780" i="2"/>
  <c r="O776" i="2"/>
  <c r="F828" i="2"/>
  <c r="F832" i="2" s="1"/>
  <c r="X857" i="2"/>
  <c r="X888" i="2" s="1"/>
  <c r="W803" i="2"/>
  <c r="Z803" i="2"/>
  <c r="V803" i="2"/>
  <c r="G754" i="2"/>
  <c r="H810" i="2"/>
  <c r="H795" i="2"/>
  <c r="H843" i="2"/>
  <c r="H767" i="2"/>
  <c r="H721" i="2"/>
  <c r="H725" i="2" s="1"/>
  <c r="V819" i="2"/>
  <c r="V780" i="2"/>
  <c r="X931" i="2"/>
  <c r="K767" i="2"/>
  <c r="K721" i="2"/>
  <c r="K725" i="2" s="1"/>
  <c r="D14" i="4" s="1"/>
  <c r="U810" i="2"/>
  <c r="U795" i="2"/>
  <c r="U843" i="2"/>
  <c r="E18" i="4"/>
  <c r="G18" i="4" s="1"/>
  <c r="R727" i="2"/>
  <c r="Z931" i="2"/>
  <c r="C25" i="4"/>
  <c r="W931" i="2"/>
  <c r="I897" i="2"/>
  <c r="I944" i="2"/>
  <c r="F64" i="4" s="1"/>
  <c r="T944" i="2"/>
  <c r="F75" i="4" s="1"/>
  <c r="T897" i="2"/>
  <c r="Z819" i="2"/>
  <c r="Z780" i="2"/>
  <c r="V931" i="2"/>
  <c r="S944" i="2"/>
  <c r="F74" i="4" s="1"/>
  <c r="S897" i="2"/>
  <c r="R944" i="2"/>
  <c r="F73" i="4" s="1"/>
  <c r="R897" i="2"/>
  <c r="Q767" i="2"/>
  <c r="Q721" i="2"/>
  <c r="Q725" i="2" s="1"/>
  <c r="D20" i="4" s="1"/>
  <c r="Q810" i="2"/>
  <c r="Q843" i="2"/>
  <c r="Q795" i="2"/>
  <c r="P721" i="2"/>
  <c r="P725" i="2" s="1"/>
  <c r="D19" i="4" s="1"/>
  <c r="E19" i="4" s="1"/>
  <c r="G19" i="4" s="1"/>
  <c r="P767" i="2"/>
  <c r="P843" i="2"/>
  <c r="P810" i="2"/>
  <c r="P795" i="2"/>
  <c r="H897" i="2"/>
  <c r="H944" i="2"/>
  <c r="F63" i="4" s="1"/>
  <c r="L15" i="14"/>
  <c r="K16" i="14"/>
  <c r="L16" i="14" s="1"/>
  <c r="N721" i="2"/>
  <c r="N725" i="2" s="1"/>
  <c r="D17" i="4" s="1"/>
  <c r="G740" i="2"/>
  <c r="G775" i="2" s="1"/>
  <c r="K810" i="2"/>
  <c r="K795" i="2"/>
  <c r="K843" i="2"/>
  <c r="J897" i="2"/>
  <c r="J944" i="2"/>
  <c r="F65" i="4" s="1"/>
  <c r="N944" i="2"/>
  <c r="F69" i="4" s="1"/>
  <c r="N897" i="2"/>
  <c r="U767" i="2"/>
  <c r="U721" i="2"/>
  <c r="U725" i="2" s="1"/>
  <c r="Y931" i="2"/>
  <c r="P944" i="2"/>
  <c r="F71" i="4" s="1"/>
  <c r="P897" i="2"/>
  <c r="O778" i="2"/>
  <c r="D43" i="4" s="1"/>
  <c r="O727" i="2"/>
  <c r="Q944" i="2"/>
  <c r="F72" i="4" s="1"/>
  <c r="Q897" i="2"/>
  <c r="U897" i="2"/>
  <c r="U944" i="2"/>
  <c r="F76" i="4" s="1"/>
  <c r="F35" i="4"/>
  <c r="F51" i="4" s="1"/>
  <c r="G830" i="2"/>
  <c r="AA830" i="2" s="1"/>
  <c r="AB830" i="2" s="1"/>
  <c r="G866" i="2"/>
  <c r="AA789" i="2"/>
  <c r="AB789" i="2" s="1"/>
  <c r="O916" i="2"/>
  <c r="K944" i="2"/>
  <c r="F66" i="4" s="1"/>
  <c r="K897" i="2"/>
  <c r="S776" i="2"/>
  <c r="N810" i="2" l="1"/>
  <c r="Y791" i="2"/>
  <c r="Y785" i="2"/>
  <c r="Y813" i="2" s="1"/>
  <c r="W791" i="2"/>
  <c r="W785" i="2"/>
  <c r="W813" i="2" s="1"/>
  <c r="Z791" i="2"/>
  <c r="Z785" i="2"/>
  <c r="Z813" i="2" s="1"/>
  <c r="X791" i="2"/>
  <c r="X785" i="2"/>
  <c r="X813" i="2" s="1"/>
  <c r="V791" i="2"/>
  <c r="V785" i="2"/>
  <c r="V813" i="2" s="1"/>
  <c r="N767" i="2"/>
  <c r="N778" i="2" s="1"/>
  <c r="D42" i="4" s="1"/>
  <c r="N843" i="2"/>
  <c r="N916" i="2" s="1"/>
  <c r="N795" i="2"/>
  <c r="I795" i="2"/>
  <c r="J795" i="2"/>
  <c r="S727" i="2"/>
  <c r="M721" i="2"/>
  <c r="M725" i="2" s="1"/>
  <c r="D16" i="4" s="1"/>
  <c r="E16" i="4" s="1"/>
  <c r="G16" i="4" s="1"/>
  <c r="M767" i="2"/>
  <c r="M778" i="2" s="1"/>
  <c r="D41" i="4" s="1"/>
  <c r="J843" i="2"/>
  <c r="J916" i="2" s="1"/>
  <c r="J767" i="2"/>
  <c r="J778" i="2" s="1"/>
  <c r="D38" i="4" s="1"/>
  <c r="J810" i="2"/>
  <c r="I843" i="2"/>
  <c r="I916" i="2" s="1"/>
  <c r="M843" i="2"/>
  <c r="M916" i="2" s="1"/>
  <c r="J721" i="2"/>
  <c r="J725" i="2" s="1"/>
  <c r="D13" i="4" s="1"/>
  <c r="E13" i="4" s="1"/>
  <c r="G13" i="4" s="1"/>
  <c r="I810" i="2"/>
  <c r="M810" i="2"/>
  <c r="M795" i="2"/>
  <c r="I721" i="2"/>
  <c r="I725" i="2" s="1"/>
  <c r="D12" i="4" s="1"/>
  <c r="E12" i="4" s="1"/>
  <c r="G12" i="4" s="1"/>
  <c r="L810" i="2"/>
  <c r="L843" i="2"/>
  <c r="L916" i="2" s="1"/>
  <c r="L795" i="2"/>
  <c r="R778" i="2"/>
  <c r="L767" i="2"/>
  <c r="L778" i="2" s="1"/>
  <c r="D40" i="4" s="1"/>
  <c r="L721" i="2"/>
  <c r="L725" i="2" s="1"/>
  <c r="D15" i="4" s="1"/>
  <c r="E15" i="4" s="1"/>
  <c r="G15" i="4" s="1"/>
  <c r="AA748" i="2"/>
  <c r="AB748" i="2" s="1"/>
  <c r="W888" i="2"/>
  <c r="I767" i="2"/>
  <c r="I778" i="2" s="1"/>
  <c r="D37" i="4" s="1"/>
  <c r="AA734" i="2"/>
  <c r="AB734" i="2" s="1"/>
  <c r="O855" i="2"/>
  <c r="O931" i="2" s="1"/>
  <c r="S855" i="2"/>
  <c r="S931" i="2" s="1"/>
  <c r="D23" i="4"/>
  <c r="E23" i="4" s="1"/>
  <c r="G23" i="4" s="1"/>
  <c r="E20" i="4"/>
  <c r="G20" i="4" s="1"/>
  <c r="T727" i="2"/>
  <c r="T776" i="2"/>
  <c r="T778" i="2"/>
  <c r="AA775" i="2"/>
  <c r="AB775" i="2" s="1"/>
  <c r="Y888" i="2"/>
  <c r="S916" i="2"/>
  <c r="O803" i="2"/>
  <c r="O857" i="2"/>
  <c r="O888" i="2" s="1"/>
  <c r="M776" i="2"/>
  <c r="P776" i="2"/>
  <c r="Q776" i="2"/>
  <c r="R857" i="2"/>
  <c r="R803" i="2"/>
  <c r="O819" i="2"/>
  <c r="O780" i="2"/>
  <c r="U776" i="2"/>
  <c r="U778" i="2"/>
  <c r="D49" i="4" s="1"/>
  <c r="AA740" i="2"/>
  <c r="AB740" i="2" s="1"/>
  <c r="G721" i="2"/>
  <c r="G725" i="2" s="1"/>
  <c r="G767" i="2"/>
  <c r="E14" i="4"/>
  <c r="G14" i="4" s="1"/>
  <c r="N727" i="2"/>
  <c r="J776" i="2"/>
  <c r="P916" i="2"/>
  <c r="P778" i="2"/>
  <c r="D44" i="4" s="1"/>
  <c r="E44" i="4" s="1"/>
  <c r="G44" i="4" s="1"/>
  <c r="P727" i="2"/>
  <c r="E17" i="4"/>
  <c r="G17" i="4" s="1"/>
  <c r="Q727" i="2"/>
  <c r="K727" i="2"/>
  <c r="S819" i="2"/>
  <c r="S780" i="2"/>
  <c r="D11" i="4"/>
  <c r="E11" i="4" s="1"/>
  <c r="G11" i="4" s="1"/>
  <c r="H727" i="2"/>
  <c r="H916" i="2"/>
  <c r="S857" i="2"/>
  <c r="S803" i="2"/>
  <c r="G944" i="2"/>
  <c r="G897" i="2"/>
  <c r="AA897" i="2" s="1"/>
  <c r="AA866" i="2"/>
  <c r="I776" i="2"/>
  <c r="D24" i="4"/>
  <c r="E24" i="4" s="1"/>
  <c r="G24" i="4" s="1"/>
  <c r="U727" i="2"/>
  <c r="K916" i="2"/>
  <c r="N776" i="2"/>
  <c r="Q916" i="2"/>
  <c r="Q778" i="2"/>
  <c r="D45" i="4" s="1"/>
  <c r="U916" i="2"/>
  <c r="K778" i="2"/>
  <c r="D39" i="4" s="1"/>
  <c r="K776" i="2"/>
  <c r="L776" i="2"/>
  <c r="H778" i="2"/>
  <c r="G795" i="2"/>
  <c r="G843" i="2"/>
  <c r="C35" i="4"/>
  <c r="C51" i="4" s="1"/>
  <c r="G810" i="2"/>
  <c r="AA754" i="2"/>
  <c r="H776" i="2"/>
  <c r="V823" i="2" l="1"/>
  <c r="V825" i="2" s="1"/>
  <c r="V835" i="2"/>
  <c r="V837" i="2" s="1"/>
  <c r="V815" i="2"/>
  <c r="Z835" i="2"/>
  <c r="Z837" i="2" s="1"/>
  <c r="Z823" i="2"/>
  <c r="Z825" i="2" s="1"/>
  <c r="Z815" i="2"/>
  <c r="Y823" i="2"/>
  <c r="Y825" i="2" s="1"/>
  <c r="Y835" i="2"/>
  <c r="Y837" i="2" s="1"/>
  <c r="Y815" i="2"/>
  <c r="X835" i="2"/>
  <c r="X837" i="2" s="1"/>
  <c r="X815" i="2"/>
  <c r="X823" i="2"/>
  <c r="X825" i="2" s="1"/>
  <c r="W823" i="2"/>
  <c r="W825" i="2" s="1"/>
  <c r="W835" i="2"/>
  <c r="W837" i="2" s="1"/>
  <c r="W815" i="2"/>
  <c r="H855" i="2"/>
  <c r="H931" i="2" s="1"/>
  <c r="D36" i="4"/>
  <c r="E36" i="4" s="1"/>
  <c r="G36" i="4" s="1"/>
  <c r="E47" i="4"/>
  <c r="G47" i="4" s="1"/>
  <c r="D46" i="4"/>
  <c r="E46" i="4" s="1"/>
  <c r="G46" i="4" s="1"/>
  <c r="T855" i="2"/>
  <c r="T931" i="2" s="1"/>
  <c r="D48" i="4"/>
  <c r="E48" i="4" s="1"/>
  <c r="G48" i="4" s="1"/>
  <c r="M727" i="2"/>
  <c r="AA810" i="2"/>
  <c r="AB810" i="2" s="1"/>
  <c r="I727" i="2"/>
  <c r="J727" i="2"/>
  <c r="R780" i="2"/>
  <c r="R791" i="2" s="1"/>
  <c r="R855" i="2"/>
  <c r="R931" i="2" s="1"/>
  <c r="R819" i="2"/>
  <c r="L727" i="2"/>
  <c r="Q803" i="2"/>
  <c r="M857" i="2"/>
  <c r="M888" i="2" s="1"/>
  <c r="E38" i="4"/>
  <c r="I855" i="2"/>
  <c r="I931" i="2" s="1"/>
  <c r="E42" i="4"/>
  <c r="G42" i="4" s="1"/>
  <c r="M855" i="2"/>
  <c r="M931" i="2" s="1"/>
  <c r="Q855" i="2"/>
  <c r="Q931" i="2" s="1"/>
  <c r="E45" i="4"/>
  <c r="P855" i="2"/>
  <c r="P931" i="2" s="1"/>
  <c r="E40" i="4"/>
  <c r="K855" i="2"/>
  <c r="K931" i="2" s="1"/>
  <c r="E41" i="4"/>
  <c r="G41" i="4" s="1"/>
  <c r="L855" i="2"/>
  <c r="L931" i="2" s="1"/>
  <c r="E43" i="4"/>
  <c r="N855" i="2"/>
  <c r="N931" i="2" s="1"/>
  <c r="E39" i="4"/>
  <c r="G39" i="4" s="1"/>
  <c r="J855" i="2"/>
  <c r="J931" i="2" s="1"/>
  <c r="E50" i="4"/>
  <c r="G50" i="4" s="1"/>
  <c r="U855" i="2"/>
  <c r="U931" i="2" s="1"/>
  <c r="AB866" i="2"/>
  <c r="AB897" i="2"/>
  <c r="T819" i="2"/>
  <c r="E49" i="4"/>
  <c r="T803" i="2"/>
  <c r="T857" i="2"/>
  <c r="T780" i="2"/>
  <c r="T785" i="2" s="1"/>
  <c r="T813" i="2" s="1"/>
  <c r="P803" i="2"/>
  <c r="Q857" i="2"/>
  <c r="Q888" i="2" s="1"/>
  <c r="M803" i="2"/>
  <c r="P857" i="2"/>
  <c r="P888" i="2" s="1"/>
  <c r="H857" i="2"/>
  <c r="H803" i="2"/>
  <c r="F62" i="4"/>
  <c r="F78" i="4" s="1"/>
  <c r="AA944" i="2"/>
  <c r="AB944" i="2" s="1"/>
  <c r="S888" i="2"/>
  <c r="S791" i="2"/>
  <c r="S785" i="2"/>
  <c r="S813" i="2" s="1"/>
  <c r="J857" i="2"/>
  <c r="J803" i="2"/>
  <c r="AA721" i="2"/>
  <c r="AB721" i="2" s="1"/>
  <c r="U819" i="2"/>
  <c r="U780" i="2"/>
  <c r="U857" i="2"/>
  <c r="U803" i="2"/>
  <c r="I819" i="2"/>
  <c r="I780" i="2"/>
  <c r="O791" i="2"/>
  <c r="O785" i="2"/>
  <c r="O813" i="2" s="1"/>
  <c r="R888" i="2"/>
  <c r="G776" i="2"/>
  <c r="AB754" i="2"/>
  <c r="G916" i="2"/>
  <c r="AA843" i="2"/>
  <c r="AB843" i="2" s="1"/>
  <c r="E37" i="4"/>
  <c r="H819" i="2"/>
  <c r="H780" i="2"/>
  <c r="L857" i="2"/>
  <c r="L803" i="2"/>
  <c r="L819" i="2"/>
  <c r="L780" i="2"/>
  <c r="K857" i="2"/>
  <c r="K803" i="2"/>
  <c r="K819" i="2"/>
  <c r="K780" i="2"/>
  <c r="M819" i="2"/>
  <c r="M780" i="2"/>
  <c r="Q819" i="2"/>
  <c r="Q780" i="2"/>
  <c r="J819" i="2"/>
  <c r="J780" i="2"/>
  <c r="N819" i="2"/>
  <c r="N780" i="2"/>
  <c r="N857" i="2"/>
  <c r="N803" i="2"/>
  <c r="I857" i="2"/>
  <c r="I803" i="2"/>
  <c r="P819" i="2"/>
  <c r="P780" i="2"/>
  <c r="AA767" i="2"/>
  <c r="AB767" i="2" s="1"/>
  <c r="G778" i="2"/>
  <c r="G855" i="2" s="1"/>
  <c r="AA795" i="2"/>
  <c r="AB795" i="2" s="1"/>
  <c r="X828" i="2" l="1"/>
  <c r="X832" i="2" s="1"/>
  <c r="Y828" i="2"/>
  <c r="Y832" i="2" s="1"/>
  <c r="Z828" i="2"/>
  <c r="Z832" i="2" s="1"/>
  <c r="W828" i="2"/>
  <c r="W832" i="2" s="1"/>
  <c r="V828" i="2"/>
  <c r="V832" i="2" s="1"/>
  <c r="G37" i="4"/>
  <c r="R785" i="2"/>
  <c r="R813" i="2" s="1"/>
  <c r="R823" i="2" s="1"/>
  <c r="R825" i="2" s="1"/>
  <c r="G40" i="4"/>
  <c r="G45" i="4"/>
  <c r="G49" i="4"/>
  <c r="G38" i="4"/>
  <c r="G43" i="4"/>
  <c r="T888" i="2"/>
  <c r="T791" i="2"/>
  <c r="G819" i="2"/>
  <c r="AA819" i="2" s="1"/>
  <c r="AB819" i="2" s="1"/>
  <c r="D35" i="4"/>
  <c r="D51" i="4" s="1"/>
  <c r="AA778" i="2"/>
  <c r="G780" i="2"/>
  <c r="P791" i="2"/>
  <c r="P785" i="2"/>
  <c r="P813" i="2" s="1"/>
  <c r="N785" i="2"/>
  <c r="N813" i="2" s="1"/>
  <c r="N791" i="2"/>
  <c r="Q791" i="2"/>
  <c r="Q785" i="2"/>
  <c r="Q813" i="2" s="1"/>
  <c r="M791" i="2"/>
  <c r="M785" i="2"/>
  <c r="M813" i="2" s="1"/>
  <c r="L888" i="2"/>
  <c r="G857" i="2"/>
  <c r="AA776" i="2"/>
  <c r="AB776" i="2" s="1"/>
  <c r="I791" i="2"/>
  <c r="I785" i="2"/>
  <c r="I813" i="2" s="1"/>
  <c r="U888" i="2"/>
  <c r="G931" i="2"/>
  <c r="D10" i="4"/>
  <c r="AA725" i="2"/>
  <c r="AB725" i="2" s="1"/>
  <c r="G727" i="2"/>
  <c r="AA727" i="2" s="1"/>
  <c r="AB727" i="2" s="1"/>
  <c r="J888" i="2"/>
  <c r="T835" i="2"/>
  <c r="T837" i="2" s="1"/>
  <c r="T823" i="2"/>
  <c r="T825" i="2" s="1"/>
  <c r="T815" i="2"/>
  <c r="AA919" i="2"/>
  <c r="AB919" i="2" s="1"/>
  <c r="I888" i="2"/>
  <c r="N888" i="2"/>
  <c r="J785" i="2"/>
  <c r="J813" i="2" s="1"/>
  <c r="J791" i="2"/>
  <c r="K791" i="2"/>
  <c r="K785" i="2"/>
  <c r="K813" i="2" s="1"/>
  <c r="K888" i="2"/>
  <c r="L785" i="2"/>
  <c r="L813" i="2" s="1"/>
  <c r="L791" i="2"/>
  <c r="H785" i="2"/>
  <c r="H813" i="2" s="1"/>
  <c r="H791" i="2"/>
  <c r="AA916" i="2"/>
  <c r="AB916" i="2" s="1"/>
  <c r="O823" i="2"/>
  <c r="O825" i="2" s="1"/>
  <c r="O835" i="2"/>
  <c r="O837" i="2" s="1"/>
  <c r="O815" i="2"/>
  <c r="U785" i="2"/>
  <c r="U813" i="2" s="1"/>
  <c r="U791" i="2"/>
  <c r="S835" i="2"/>
  <c r="S837" i="2" s="1"/>
  <c r="S823" i="2"/>
  <c r="S825" i="2" s="1"/>
  <c r="S815" i="2"/>
  <c r="H888" i="2"/>
  <c r="R835" i="2" l="1"/>
  <c r="R837" i="2" s="1"/>
  <c r="R815" i="2"/>
  <c r="R828" i="2" s="1"/>
  <c r="R832" i="2" s="1"/>
  <c r="O828" i="2"/>
  <c r="O832" i="2" s="1"/>
  <c r="T828" i="2"/>
  <c r="T832" i="2" s="1"/>
  <c r="U835" i="2"/>
  <c r="U837" i="2" s="1"/>
  <c r="U823" i="2"/>
  <c r="U825" i="2" s="1"/>
  <c r="U815" i="2"/>
  <c r="K835" i="2"/>
  <c r="K837" i="2" s="1"/>
  <c r="K823" i="2"/>
  <c r="K825" i="2" s="1"/>
  <c r="K815" i="2"/>
  <c r="I823" i="2"/>
  <c r="I825" i="2" s="1"/>
  <c r="I835" i="2"/>
  <c r="I837" i="2" s="1"/>
  <c r="I815" i="2"/>
  <c r="N823" i="2"/>
  <c r="N825" i="2" s="1"/>
  <c r="N835" i="2"/>
  <c r="N837" i="2" s="1"/>
  <c r="N815" i="2"/>
  <c r="P823" i="2"/>
  <c r="P825" i="2" s="1"/>
  <c r="P835" i="2"/>
  <c r="P837" i="2" s="1"/>
  <c r="P815" i="2"/>
  <c r="AB778" i="2"/>
  <c r="AA780" i="2"/>
  <c r="AB780" i="2" s="1"/>
  <c r="S828" i="2"/>
  <c r="S832" i="2" s="1"/>
  <c r="H835" i="2"/>
  <c r="H837" i="2" s="1"/>
  <c r="H823" i="2"/>
  <c r="H825" i="2" s="1"/>
  <c r="H815" i="2"/>
  <c r="L823" i="2"/>
  <c r="L825" i="2" s="1"/>
  <c r="L835" i="2"/>
  <c r="L837" i="2" s="1"/>
  <c r="L815" i="2"/>
  <c r="J835" i="2"/>
  <c r="J837" i="2" s="1"/>
  <c r="J823" i="2"/>
  <c r="J825" i="2" s="1"/>
  <c r="J815" i="2"/>
  <c r="D25" i="4"/>
  <c r="E10" i="4"/>
  <c r="AA855" i="2"/>
  <c r="AB855" i="2" s="1"/>
  <c r="AA797" i="2"/>
  <c r="AB797" i="2" s="1"/>
  <c r="G803" i="2"/>
  <c r="AA803" i="2" s="1"/>
  <c r="AB803" i="2" s="1"/>
  <c r="G888" i="2"/>
  <c r="AA888" i="2" s="1"/>
  <c r="AB888" i="2" s="1"/>
  <c r="AA857" i="2"/>
  <c r="AB857" i="2" s="1"/>
  <c r="M823" i="2"/>
  <c r="M825" i="2" s="1"/>
  <c r="M835" i="2"/>
  <c r="M837" i="2" s="1"/>
  <c r="M815" i="2"/>
  <c r="Q823" i="2"/>
  <c r="Q825" i="2" s="1"/>
  <c r="Q835" i="2"/>
  <c r="Q837" i="2" s="1"/>
  <c r="Q815" i="2"/>
  <c r="G785" i="2"/>
  <c r="G813" i="2" s="1"/>
  <c r="G791" i="2"/>
  <c r="E35" i="4"/>
  <c r="E51" i="4" l="1"/>
  <c r="G51" i="4" s="1"/>
  <c r="N828" i="2"/>
  <c r="N832" i="2" s="1"/>
  <c r="I828" i="2"/>
  <c r="I832" i="2" s="1"/>
  <c r="L828" i="2"/>
  <c r="L832" i="2" s="1"/>
  <c r="Q828" i="2"/>
  <c r="Q832" i="2" s="1"/>
  <c r="M828" i="2"/>
  <c r="M832" i="2" s="1"/>
  <c r="P828" i="2"/>
  <c r="P832" i="2" s="1"/>
  <c r="J828" i="2"/>
  <c r="J832" i="2" s="1"/>
  <c r="K828" i="2"/>
  <c r="K832" i="2" s="1"/>
  <c r="G835" i="2"/>
  <c r="G823" i="2"/>
  <c r="AA813" i="2"/>
  <c r="AB813" i="2" s="1"/>
  <c r="G815" i="2"/>
  <c r="G10" i="4"/>
  <c r="E25" i="4"/>
  <c r="G25" i="4" s="1"/>
  <c r="H828" i="2"/>
  <c r="H832" i="2" s="1"/>
  <c r="U828" i="2"/>
  <c r="U832" i="2" s="1"/>
  <c r="G35" i="4"/>
  <c r="AA931" i="2"/>
  <c r="AB931" i="2" s="1"/>
  <c r="AA815" i="2" l="1"/>
  <c r="AB815" i="2" s="1"/>
  <c r="AA823" i="2"/>
  <c r="AB823" i="2" s="1"/>
  <c r="G825" i="2"/>
  <c r="AA825" i="2" s="1"/>
  <c r="AB825" i="2" s="1"/>
  <c r="G837" i="2"/>
  <c r="AA835" i="2"/>
  <c r="AB835" i="2" s="1"/>
  <c r="G828" i="2" l="1"/>
  <c r="G832" i="2" l="1"/>
  <c r="AA828" i="2"/>
  <c r="AB828" i="2" s="1"/>
  <c r="F926" i="2" l="1"/>
  <c r="Y924" i="2"/>
  <c r="Y937" i="2" s="1"/>
  <c r="Y939" i="2" s="1"/>
  <c r="X924" i="2"/>
  <c r="V924" i="2"/>
  <c r="V937" i="2" s="1"/>
  <c r="Z924" i="2"/>
  <c r="Z926" i="2" s="1"/>
  <c r="W924" i="2"/>
  <c r="W937" i="2" s="1"/>
  <c r="W939" i="2" s="1"/>
  <c r="F939" i="2"/>
  <c r="F848" i="2"/>
  <c r="T848" i="2" s="1"/>
  <c r="T924" i="2" s="1"/>
  <c r="T937" i="2" s="1"/>
  <c r="J848" i="2" l="1"/>
  <c r="J924" i="2" s="1"/>
  <c r="J937" i="2" s="1"/>
  <c r="D26" i="26" s="1"/>
  <c r="H848" i="2"/>
  <c r="H879" i="2" s="1"/>
  <c r="V934" i="2"/>
  <c r="V935" i="2"/>
  <c r="T934" i="2"/>
  <c r="T935" i="2"/>
  <c r="F859" i="2"/>
  <c r="F886" i="2" s="1"/>
  <c r="O848" i="2"/>
  <c r="O859" i="2" s="1"/>
  <c r="V848" i="2"/>
  <c r="V859" i="2" s="1"/>
  <c r="K848" i="2"/>
  <c r="K924" i="2" s="1"/>
  <c r="K937" i="2" s="1"/>
  <c r="G848" i="2"/>
  <c r="G924" i="2" s="1"/>
  <c r="G937" i="2" s="1"/>
  <c r="D26" i="14" s="1"/>
  <c r="U848" i="2"/>
  <c r="U924" i="2" s="1"/>
  <c r="U937" i="2" s="1"/>
  <c r="R848" i="2"/>
  <c r="R859" i="2" s="1"/>
  <c r="R861" i="2" s="1"/>
  <c r="P848" i="2"/>
  <c r="P859" i="2" s="1"/>
  <c r="P861" i="2" s="1"/>
  <c r="Z848" i="2"/>
  <c r="Z850" i="2" s="1"/>
  <c r="Z875" i="2" s="1"/>
  <c r="F850" i="2"/>
  <c r="F875" i="2" s="1"/>
  <c r="N848" i="2"/>
  <c r="N879" i="2" s="1"/>
  <c r="Y926" i="2"/>
  <c r="Y942" i="2" s="1"/>
  <c r="Y946" i="2" s="1"/>
  <c r="V926" i="2"/>
  <c r="C77" i="4" s="1"/>
  <c r="W926" i="2"/>
  <c r="W942" i="2" s="1"/>
  <c r="W946" i="2" s="1"/>
  <c r="T850" i="2"/>
  <c r="T859" i="2"/>
  <c r="T879" i="2"/>
  <c r="T926" i="2"/>
  <c r="F861" i="2"/>
  <c r="Z937" i="2"/>
  <c r="Z939" i="2" s="1"/>
  <c r="Z942" i="2" s="1"/>
  <c r="Z946" i="2" s="1"/>
  <c r="Y848" i="2"/>
  <c r="F879" i="2"/>
  <c r="W848" i="2"/>
  <c r="L848" i="2"/>
  <c r="M848" i="2"/>
  <c r="S848" i="2"/>
  <c r="X848" i="2"/>
  <c r="I848" i="2"/>
  <c r="Q848" i="2"/>
  <c r="F942" i="2"/>
  <c r="X937" i="2"/>
  <c r="X939" i="2" s="1"/>
  <c r="X926" i="2"/>
  <c r="H850" i="2" l="1"/>
  <c r="H875" i="2" s="1"/>
  <c r="J879" i="2"/>
  <c r="J934" i="2"/>
  <c r="J850" i="2"/>
  <c r="J875" i="2" s="1"/>
  <c r="H924" i="2"/>
  <c r="H937" i="2" s="1"/>
  <c r="H859" i="2"/>
  <c r="H886" i="2" s="1"/>
  <c r="J926" i="2"/>
  <c r="C49" i="32" s="1"/>
  <c r="J859" i="2"/>
  <c r="J861" i="2" s="1"/>
  <c r="J864" i="2" s="1"/>
  <c r="J868" i="2" s="1"/>
  <c r="J935" i="2"/>
  <c r="V939" i="2"/>
  <c r="F864" i="2"/>
  <c r="F868" i="2" s="1"/>
  <c r="K934" i="2"/>
  <c r="K935" i="2"/>
  <c r="U926" i="2"/>
  <c r="C76" i="4" s="1"/>
  <c r="U935" i="2"/>
  <c r="U934" i="2"/>
  <c r="G934" i="2"/>
  <c r="G935" i="2"/>
  <c r="K926" i="2"/>
  <c r="C66" i="4" s="1"/>
  <c r="C75" i="4"/>
  <c r="K850" i="2"/>
  <c r="K875" i="2" s="1"/>
  <c r="O924" i="2"/>
  <c r="O937" i="2" s="1"/>
  <c r="V850" i="2"/>
  <c r="V875" i="2" s="1"/>
  <c r="O850" i="2"/>
  <c r="O875" i="2" s="1"/>
  <c r="O879" i="2"/>
  <c r="G926" i="2"/>
  <c r="G850" i="2"/>
  <c r="G875" i="2" s="1"/>
  <c r="D26" i="32"/>
  <c r="U879" i="2"/>
  <c r="G859" i="2"/>
  <c r="G861" i="2" s="1"/>
  <c r="U850" i="2"/>
  <c r="U875" i="2" s="1"/>
  <c r="U859" i="2"/>
  <c r="U861" i="2" s="1"/>
  <c r="P924" i="2"/>
  <c r="P937" i="2" s="1"/>
  <c r="P879" i="2"/>
  <c r="R879" i="2"/>
  <c r="P886" i="2"/>
  <c r="P850" i="2"/>
  <c r="P875" i="2" s="1"/>
  <c r="N859" i="2"/>
  <c r="N886" i="2" s="1"/>
  <c r="G879" i="2"/>
  <c r="K859" i="2"/>
  <c r="K886" i="2" s="1"/>
  <c r="R886" i="2"/>
  <c r="K879" i="2"/>
  <c r="N850" i="2"/>
  <c r="N924" i="2"/>
  <c r="N937" i="2" s="1"/>
  <c r="R850" i="2"/>
  <c r="R864" i="2" s="1"/>
  <c r="R868" i="2" s="1"/>
  <c r="Z859" i="2"/>
  <c r="Z861" i="2" s="1"/>
  <c r="Z864" i="2" s="1"/>
  <c r="Z868" i="2" s="1"/>
  <c r="R924" i="2"/>
  <c r="R937" i="2" s="1"/>
  <c r="X942" i="2"/>
  <c r="X946" i="2" s="1"/>
  <c r="I859" i="2"/>
  <c r="I879" i="2"/>
  <c r="I924" i="2"/>
  <c r="I937" i="2" s="1"/>
  <c r="I850" i="2"/>
  <c r="Y850" i="2"/>
  <c r="Y859" i="2"/>
  <c r="S879" i="2"/>
  <c r="S850" i="2"/>
  <c r="S924" i="2"/>
  <c r="S937" i="2" s="1"/>
  <c r="S859" i="2"/>
  <c r="L859" i="2"/>
  <c r="L924" i="2"/>
  <c r="L937" i="2" s="1"/>
  <c r="L850" i="2"/>
  <c r="L879" i="2"/>
  <c r="V861" i="2"/>
  <c r="V886" i="2"/>
  <c r="O861" i="2"/>
  <c r="O886" i="2"/>
  <c r="T861" i="2"/>
  <c r="T864" i="2" s="1"/>
  <c r="T868" i="2" s="1"/>
  <c r="T886" i="2"/>
  <c r="X859" i="2"/>
  <c r="X850" i="2"/>
  <c r="F946" i="2"/>
  <c r="W859" i="2"/>
  <c r="W850" i="2"/>
  <c r="AA848" i="2"/>
  <c r="AB848" i="2" s="1"/>
  <c r="T939" i="2"/>
  <c r="D75" i="4" s="1"/>
  <c r="T875" i="2"/>
  <c r="Q879" i="2"/>
  <c r="Q859" i="2"/>
  <c r="Q924" i="2"/>
  <c r="Q937" i="2" s="1"/>
  <c r="Q850" i="2"/>
  <c r="V879" i="2"/>
  <c r="Z879" i="2"/>
  <c r="Y879" i="2"/>
  <c r="W879" i="2"/>
  <c r="X879" i="2"/>
  <c r="M850" i="2"/>
  <c r="M879" i="2"/>
  <c r="M924" i="2"/>
  <c r="M937" i="2" s="1"/>
  <c r="M859" i="2"/>
  <c r="H861" i="2" l="1"/>
  <c r="H864" i="2" s="1"/>
  <c r="H868" i="2" s="1"/>
  <c r="H926" i="2"/>
  <c r="C49" i="24" s="1"/>
  <c r="H934" i="2"/>
  <c r="H935" i="2"/>
  <c r="J939" i="2"/>
  <c r="D65" i="4" s="1"/>
  <c r="C49" i="31"/>
  <c r="C49" i="26"/>
  <c r="J886" i="2"/>
  <c r="C65" i="4"/>
  <c r="C49" i="28"/>
  <c r="D36" i="26"/>
  <c r="F36" i="26" s="1"/>
  <c r="F39" i="26" s="1"/>
  <c r="V942" i="2"/>
  <c r="V946" i="2" s="1"/>
  <c r="D77" i="4"/>
  <c r="E77" i="4" s="1"/>
  <c r="G77" i="4" s="1"/>
  <c r="D36" i="14"/>
  <c r="D39" i="14" s="1"/>
  <c r="D36" i="32"/>
  <c r="D39" i="32" s="1"/>
  <c r="D36" i="24"/>
  <c r="I36" i="24" s="1"/>
  <c r="I39" i="24" s="1"/>
  <c r="U939" i="2"/>
  <c r="D76" i="4" s="1"/>
  <c r="E76" i="4" s="1"/>
  <c r="Q934" i="2"/>
  <c r="Q935" i="2"/>
  <c r="M935" i="2"/>
  <c r="M934" i="2"/>
  <c r="I935" i="2"/>
  <c r="I934" i="2"/>
  <c r="N934" i="2"/>
  <c r="N935" i="2"/>
  <c r="P934" i="2"/>
  <c r="P935" i="2"/>
  <c r="O934" i="2"/>
  <c r="O935" i="2"/>
  <c r="L934" i="2"/>
  <c r="L935" i="2"/>
  <c r="S934" i="2"/>
  <c r="S935" i="2"/>
  <c r="R934" i="2"/>
  <c r="R935" i="2"/>
  <c r="G939" i="2"/>
  <c r="G942" i="2" s="1"/>
  <c r="G946" i="2" s="1"/>
  <c r="D18" i="14" s="1"/>
  <c r="C49" i="14"/>
  <c r="E75" i="4"/>
  <c r="G75" i="4" s="1"/>
  <c r="I49" i="4" s="1"/>
  <c r="O926" i="2"/>
  <c r="G864" i="2"/>
  <c r="G878" i="2" s="1"/>
  <c r="G881" i="2" s="1"/>
  <c r="G886" i="2"/>
  <c r="C62" i="4"/>
  <c r="V864" i="2"/>
  <c r="V868" i="2" s="1"/>
  <c r="O864" i="2"/>
  <c r="O868" i="2" s="1"/>
  <c r="K939" i="2"/>
  <c r="K861" i="2"/>
  <c r="K864" i="2" s="1"/>
  <c r="K868" i="2" s="1"/>
  <c r="U864" i="2"/>
  <c r="U868" i="2" s="1"/>
  <c r="R926" i="2"/>
  <c r="P926" i="2"/>
  <c r="Z886" i="2"/>
  <c r="U886" i="2"/>
  <c r="R875" i="2"/>
  <c r="P864" i="2"/>
  <c r="P868" i="2" s="1"/>
  <c r="N926" i="2"/>
  <c r="C69" i="4" s="1"/>
  <c r="N875" i="2"/>
  <c r="N861" i="2"/>
  <c r="N864" i="2" s="1"/>
  <c r="AA850" i="2"/>
  <c r="AB850" i="2" s="1"/>
  <c r="AA879" i="2"/>
  <c r="AB879" i="2" s="1"/>
  <c r="Q886" i="2"/>
  <c r="Q861" i="2"/>
  <c r="Q864" i="2" s="1"/>
  <c r="Q868" i="2" s="1"/>
  <c r="F878" i="2"/>
  <c r="Z878" i="2"/>
  <c r="R878" i="2"/>
  <c r="J878" i="2"/>
  <c r="J881" i="2" s="1"/>
  <c r="T878" i="2"/>
  <c r="Y875" i="2"/>
  <c r="M875" i="2"/>
  <c r="L875" i="2"/>
  <c r="I875" i="2"/>
  <c r="Q875" i="2"/>
  <c r="L926" i="2"/>
  <c r="C67" i="4" s="1"/>
  <c r="S861" i="2"/>
  <c r="S864" i="2" s="1"/>
  <c r="S886" i="2"/>
  <c r="D26" i="34"/>
  <c r="I926" i="2"/>
  <c r="C49" i="34" s="1"/>
  <c r="Y861" i="2"/>
  <c r="Y864" i="2" s="1"/>
  <c r="Y886" i="2"/>
  <c r="X875" i="2"/>
  <c r="L861" i="2"/>
  <c r="L864" i="2" s="1"/>
  <c r="L868" i="2" s="1"/>
  <c r="L886" i="2"/>
  <c r="S926" i="2"/>
  <c r="C74" i="4" s="1"/>
  <c r="M861" i="2"/>
  <c r="M864" i="2" s="1"/>
  <c r="M868" i="2" s="1"/>
  <c r="M886" i="2"/>
  <c r="W875" i="2"/>
  <c r="M926" i="2"/>
  <c r="C68" i="4" s="1"/>
  <c r="Q926" i="2"/>
  <c r="C72" i="4" s="1"/>
  <c r="W861" i="2"/>
  <c r="W864" i="2" s="1"/>
  <c r="W886" i="2"/>
  <c r="AA859" i="2"/>
  <c r="AB859" i="2" s="1"/>
  <c r="AA924" i="2"/>
  <c r="AB924" i="2" s="1"/>
  <c r="T942" i="2"/>
  <c r="T946" i="2" s="1"/>
  <c r="D26" i="24"/>
  <c r="X886" i="2"/>
  <c r="X861" i="2"/>
  <c r="X864" i="2" s="1"/>
  <c r="X868" i="2" s="1"/>
  <c r="S875" i="2"/>
  <c r="I861" i="2"/>
  <c r="I886" i="2"/>
  <c r="C63" i="4" l="1"/>
  <c r="H878" i="2"/>
  <c r="H890" i="2" s="1"/>
  <c r="H892" i="2" s="1"/>
  <c r="H939" i="2"/>
  <c r="D63" i="4" s="1"/>
  <c r="J942" i="2"/>
  <c r="J946" i="2" s="1"/>
  <c r="D18" i="26" s="1"/>
  <c r="E18" i="26" s="1"/>
  <c r="E65" i="4"/>
  <c r="G65" i="4" s="1"/>
  <c r="I39" i="4" s="1"/>
  <c r="D39" i="26"/>
  <c r="E36" i="26"/>
  <c r="E39" i="26" s="1"/>
  <c r="H36" i="26"/>
  <c r="H39" i="26" s="1"/>
  <c r="G36" i="26"/>
  <c r="G39" i="26" s="1"/>
  <c r="I36" i="26"/>
  <c r="I39" i="26" s="1"/>
  <c r="J36" i="26"/>
  <c r="J39" i="26" s="1"/>
  <c r="G76" i="4"/>
  <c r="I50" i="4" s="1"/>
  <c r="G36" i="32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G36" i="24"/>
  <c r="G39" i="24" s="1"/>
  <c r="J36" i="24"/>
  <c r="J39" i="24" s="1"/>
  <c r="E36" i="24"/>
  <c r="E39" i="24" s="1"/>
  <c r="F36" i="24"/>
  <c r="F39" i="24" s="1"/>
  <c r="H36" i="24"/>
  <c r="H39" i="24" s="1"/>
  <c r="D39" i="24"/>
  <c r="Q939" i="2"/>
  <c r="D72" i="4" s="1"/>
  <c r="E72" i="4" s="1"/>
  <c r="G72" i="4" s="1"/>
  <c r="I46" i="4" s="1"/>
  <c r="AA935" i="2"/>
  <c r="AB935" i="2" s="1"/>
  <c r="U942" i="2"/>
  <c r="U946" i="2" s="1"/>
  <c r="S939" i="2"/>
  <c r="D74" i="4" s="1"/>
  <c r="AA934" i="2"/>
  <c r="AB934" i="2" s="1"/>
  <c r="R939" i="2"/>
  <c r="D73" i="4" s="1"/>
  <c r="D62" i="4"/>
  <c r="N939" i="2"/>
  <c r="D69" i="4" s="1"/>
  <c r="E69" i="4" s="1"/>
  <c r="D26" i="27"/>
  <c r="M939" i="2"/>
  <c r="D68" i="4" s="1"/>
  <c r="E68" i="4" s="1"/>
  <c r="D26" i="31"/>
  <c r="C64" i="4"/>
  <c r="C49" i="27"/>
  <c r="L939" i="2"/>
  <c r="D67" i="4" s="1"/>
  <c r="E67" i="4" s="1"/>
  <c r="D26" i="28"/>
  <c r="I939" i="2"/>
  <c r="D64" i="4" s="1"/>
  <c r="C71" i="4"/>
  <c r="D66" i="4"/>
  <c r="E66" i="4" s="1"/>
  <c r="G66" i="4" s="1"/>
  <c r="I40" i="4" s="1"/>
  <c r="C73" i="4"/>
  <c r="C70" i="4"/>
  <c r="G868" i="2"/>
  <c r="O939" i="2"/>
  <c r="D70" i="4" s="1"/>
  <c r="O878" i="2"/>
  <c r="O881" i="2" s="1"/>
  <c r="O903" i="2" s="1"/>
  <c r="K942" i="2"/>
  <c r="K946" i="2" s="1"/>
  <c r="D18" i="32" s="1"/>
  <c r="V878" i="2"/>
  <c r="V905" i="2" s="1"/>
  <c r="V907" i="2" s="1"/>
  <c r="K878" i="2"/>
  <c r="K890" i="2" s="1"/>
  <c r="K892" i="2" s="1"/>
  <c r="U878" i="2"/>
  <c r="U881" i="2" s="1"/>
  <c r="U903" i="2" s="1"/>
  <c r="P939" i="2"/>
  <c r="D71" i="4" s="1"/>
  <c r="R881" i="2"/>
  <c r="R903" i="2" s="1"/>
  <c r="P878" i="2"/>
  <c r="P881" i="2" s="1"/>
  <c r="P903" i="2" s="1"/>
  <c r="N868" i="2"/>
  <c r="N878" i="2"/>
  <c r="N881" i="2" s="1"/>
  <c r="N903" i="2" s="1"/>
  <c r="AA886" i="2"/>
  <c r="AB886" i="2" s="1"/>
  <c r="AA861" i="2"/>
  <c r="AB861" i="2" s="1"/>
  <c r="AA875" i="2"/>
  <c r="AB875" i="2" s="1"/>
  <c r="W868" i="2"/>
  <c r="W878" i="2"/>
  <c r="W881" i="2" s="1"/>
  <c r="S868" i="2"/>
  <c r="S878" i="2"/>
  <c r="S881" i="2" s="1"/>
  <c r="Y868" i="2"/>
  <c r="Y878" i="2"/>
  <c r="G903" i="2"/>
  <c r="L878" i="2"/>
  <c r="T909" i="2"/>
  <c r="T890" i="2"/>
  <c r="T892" i="2" s="1"/>
  <c r="T905" i="2"/>
  <c r="Z905" i="2"/>
  <c r="Z907" i="2" s="1"/>
  <c r="Z890" i="2"/>
  <c r="Z892" i="2" s="1"/>
  <c r="Z881" i="2"/>
  <c r="I864" i="2"/>
  <c r="F909" i="2"/>
  <c r="W909" i="2" s="1"/>
  <c r="F905" i="2"/>
  <c r="F890" i="2"/>
  <c r="F881" i="2"/>
  <c r="Q878" i="2"/>
  <c r="D20" i="14"/>
  <c r="D24" i="14" s="1"/>
  <c r="D41" i="14" s="1"/>
  <c r="D49" i="14" s="1"/>
  <c r="E18" i="14"/>
  <c r="J890" i="2"/>
  <c r="J892" i="2" s="1"/>
  <c r="J895" i="2" s="1"/>
  <c r="J899" i="2" s="1"/>
  <c r="J909" i="2"/>
  <c r="J905" i="2"/>
  <c r="G909" i="2"/>
  <c r="G905" i="2"/>
  <c r="G907" i="2" s="1"/>
  <c r="G890" i="2"/>
  <c r="AA937" i="2"/>
  <c r="AB937" i="2" s="1"/>
  <c r="R905" i="2"/>
  <c r="R909" i="2"/>
  <c r="R890" i="2"/>
  <c r="R892" i="2" s="1"/>
  <c r="X878" i="2"/>
  <c r="X881" i="2" s="1"/>
  <c r="J903" i="2"/>
  <c r="T881" i="2"/>
  <c r="M878" i="2"/>
  <c r="AA926" i="2"/>
  <c r="AB926" i="2" s="1"/>
  <c r="H942" i="2" l="1"/>
  <c r="H946" i="2" s="1"/>
  <c r="D18" i="24" s="1"/>
  <c r="E18" i="24" s="1"/>
  <c r="D20" i="26"/>
  <c r="D24" i="26" s="1"/>
  <c r="D41" i="26" s="1"/>
  <c r="D49" i="26" s="1"/>
  <c r="E63" i="4"/>
  <c r="G63" i="4" s="1"/>
  <c r="I37" i="4" s="1"/>
  <c r="H909" i="2"/>
  <c r="H905" i="2"/>
  <c r="H881" i="2"/>
  <c r="H895" i="2" s="1"/>
  <c r="H899" i="2" s="1"/>
  <c r="K39" i="26"/>
  <c r="L39" i="26" s="1"/>
  <c r="K36" i="26"/>
  <c r="L36" i="26" s="1"/>
  <c r="C78" i="4"/>
  <c r="E62" i="4"/>
  <c r="D78" i="4"/>
  <c r="K36" i="32"/>
  <c r="L36" i="32" s="1"/>
  <c r="K36" i="14"/>
  <c r="L36" i="14" s="1"/>
  <c r="E39" i="14"/>
  <c r="K39" i="14" s="1"/>
  <c r="L39" i="14" s="1"/>
  <c r="E39" i="32"/>
  <c r="K39" i="32" s="1"/>
  <c r="L39" i="32" s="1"/>
  <c r="I942" i="2"/>
  <c r="I946" i="2" s="1"/>
  <c r="D18" i="34" s="1"/>
  <c r="E18" i="34" s="1"/>
  <c r="Q942" i="2"/>
  <c r="Q946" i="2" s="1"/>
  <c r="G36" i="28"/>
  <c r="G39" i="28" s="1"/>
  <c r="J36" i="34"/>
  <c r="J39" i="34" s="1"/>
  <c r="D39" i="34"/>
  <c r="K39" i="24"/>
  <c r="L39" i="24" s="1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K36" i="24"/>
  <c r="L36" i="24" s="1"/>
  <c r="S942" i="2"/>
  <c r="S946" i="2" s="1"/>
  <c r="J36" i="27"/>
  <c r="J39" i="27" s="1"/>
  <c r="G36" i="27"/>
  <c r="G39" i="27" s="1"/>
  <c r="D39" i="27"/>
  <c r="I36" i="31"/>
  <c r="I39" i="31" s="1"/>
  <c r="G36" i="31"/>
  <c r="G39" i="31" s="1"/>
  <c r="R942" i="2"/>
  <c r="R946" i="2" s="1"/>
  <c r="E73" i="4"/>
  <c r="G73" i="4" s="1"/>
  <c r="I47" i="4" s="1"/>
  <c r="D39" i="31"/>
  <c r="F36" i="31"/>
  <c r="F39" i="31" s="1"/>
  <c r="H36" i="31"/>
  <c r="H39" i="31" s="1"/>
  <c r="H39" i="27"/>
  <c r="I36" i="27"/>
  <c r="I39" i="27" s="1"/>
  <c r="E64" i="4"/>
  <c r="G64" i="4" s="1"/>
  <c r="I38" i="4" s="1"/>
  <c r="M942" i="2"/>
  <c r="M946" i="2" s="1"/>
  <c r="D18" i="31" s="1"/>
  <c r="D20" i="31" s="1"/>
  <c r="D24" i="31" s="1"/>
  <c r="L942" i="2"/>
  <c r="L946" i="2" s="1"/>
  <c r="D18" i="28" s="1"/>
  <c r="D20" i="28" s="1"/>
  <c r="D24" i="28" s="1"/>
  <c r="N942" i="2"/>
  <c r="N946" i="2" s="1"/>
  <c r="D18" i="27" s="1"/>
  <c r="E18" i="27" s="1"/>
  <c r="F18" i="26"/>
  <c r="E20" i="26"/>
  <c r="E18" i="32"/>
  <c r="D20" i="32"/>
  <c r="D24" i="32" s="1"/>
  <c r="D41" i="32" s="1"/>
  <c r="D49" i="32" s="1"/>
  <c r="E70" i="4"/>
  <c r="G70" i="4" s="1"/>
  <c r="I44" i="4" s="1"/>
  <c r="E71" i="4"/>
  <c r="G71" i="4" s="1"/>
  <c r="I45" i="4" s="1"/>
  <c r="G67" i="4"/>
  <c r="I41" i="4" s="1"/>
  <c r="K881" i="2"/>
  <c r="K895" i="2" s="1"/>
  <c r="K899" i="2" s="1"/>
  <c r="K909" i="2"/>
  <c r="K905" i="2"/>
  <c r="O942" i="2"/>
  <c r="O946" i="2" s="1"/>
  <c r="O905" i="2"/>
  <c r="O907" i="2" s="1"/>
  <c r="V881" i="2"/>
  <c r="V890" i="2"/>
  <c r="V892" i="2" s="1"/>
  <c r="P942" i="2"/>
  <c r="P946" i="2" s="1"/>
  <c r="P905" i="2"/>
  <c r="P907" i="2" s="1"/>
  <c r="O890" i="2"/>
  <c r="O892" i="2" s="1"/>
  <c r="O895" i="2" s="1"/>
  <c r="O899" i="2" s="1"/>
  <c r="O909" i="2"/>
  <c r="P890" i="2"/>
  <c r="P892" i="2" s="1"/>
  <c r="P895" i="2" s="1"/>
  <c r="P899" i="2" s="1"/>
  <c r="U905" i="2"/>
  <c r="U907" i="2" s="1"/>
  <c r="P909" i="2"/>
  <c r="AA939" i="2"/>
  <c r="AB939" i="2" s="1"/>
  <c r="U890" i="2"/>
  <c r="U892" i="2" s="1"/>
  <c r="U895" i="2" s="1"/>
  <c r="U899" i="2" s="1"/>
  <c r="U909" i="2"/>
  <c r="N890" i="2"/>
  <c r="N892" i="2" s="1"/>
  <c r="N895" i="2" s="1"/>
  <c r="N899" i="2" s="1"/>
  <c r="N909" i="2"/>
  <c r="G68" i="4"/>
  <c r="I42" i="4" s="1"/>
  <c r="R895" i="2"/>
  <c r="R899" i="2" s="1"/>
  <c r="N905" i="2"/>
  <c r="N907" i="2" s="1"/>
  <c r="J907" i="2"/>
  <c r="Z895" i="2"/>
  <c r="Z899" i="2" s="1"/>
  <c r="R907" i="2"/>
  <c r="S903" i="2"/>
  <c r="T903" i="2"/>
  <c r="T907" i="2" s="1"/>
  <c r="T895" i="2"/>
  <c r="T899" i="2" s="1"/>
  <c r="F903" i="2"/>
  <c r="F907" i="2" s="1"/>
  <c r="I868" i="2"/>
  <c r="AA864" i="2"/>
  <c r="AB864" i="2" s="1"/>
  <c r="I878" i="2"/>
  <c r="M890" i="2"/>
  <c r="M892" i="2" s="1"/>
  <c r="M909" i="2"/>
  <c r="M905" i="2"/>
  <c r="F892" i="2"/>
  <c r="Y890" i="2"/>
  <c r="Y892" i="2" s="1"/>
  <c r="Y905" i="2"/>
  <c r="Y907" i="2" s="1"/>
  <c r="L909" i="2"/>
  <c r="L890" i="2"/>
  <c r="L892" i="2" s="1"/>
  <c r="L905" i="2"/>
  <c r="L881" i="2"/>
  <c r="F18" i="14"/>
  <c r="E20" i="14"/>
  <c r="Y881" i="2"/>
  <c r="S890" i="2"/>
  <c r="S892" i="2" s="1"/>
  <c r="S895" i="2" s="1"/>
  <c r="S899" i="2" s="1"/>
  <c r="S905" i="2"/>
  <c r="S909" i="2"/>
  <c r="X905" i="2"/>
  <c r="X907" i="2" s="1"/>
  <c r="X890" i="2"/>
  <c r="X892" i="2" s="1"/>
  <c r="X895" i="2" s="1"/>
  <c r="X899" i="2" s="1"/>
  <c r="W890" i="2"/>
  <c r="W892" i="2" s="1"/>
  <c r="W895" i="2" s="1"/>
  <c r="W899" i="2" s="1"/>
  <c r="W905" i="2"/>
  <c r="W907" i="2" s="1"/>
  <c r="H903" i="2"/>
  <c r="G892" i="2"/>
  <c r="M881" i="2"/>
  <c r="Q909" i="2"/>
  <c r="Q890" i="2"/>
  <c r="Q892" i="2" s="1"/>
  <c r="Q905" i="2"/>
  <c r="Q881" i="2"/>
  <c r="H907" i="2" l="1"/>
  <c r="G62" i="4"/>
  <c r="I35" i="4" s="1"/>
  <c r="D20" i="34"/>
  <c r="D24" i="34" s="1"/>
  <c r="D41" i="34" s="1"/>
  <c r="D49" i="34" s="1"/>
  <c r="D41" i="31"/>
  <c r="D49" i="31" s="1"/>
  <c r="D41" i="28"/>
  <c r="D49" i="28" s="1"/>
  <c r="K39" i="34"/>
  <c r="L39" i="34" s="1"/>
  <c r="D20" i="24"/>
  <c r="D24" i="24" s="1"/>
  <c r="D41" i="24" s="1"/>
  <c r="D49" i="24" s="1"/>
  <c r="K36" i="34"/>
  <c r="L36" i="34" s="1"/>
  <c r="E18" i="31"/>
  <c r="E20" i="31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D20" i="27"/>
  <c r="D24" i="27" s="1"/>
  <c r="D41" i="27" s="1"/>
  <c r="D49" i="27" s="1"/>
  <c r="E18" i="28"/>
  <c r="F18" i="28" s="1"/>
  <c r="E20" i="34"/>
  <c r="F18" i="34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F18" i="31"/>
  <c r="E74" i="4"/>
  <c r="E78" i="4" s="1"/>
  <c r="K903" i="2"/>
  <c r="K907" i="2" s="1"/>
  <c r="V895" i="2"/>
  <c r="V899" i="2" s="1"/>
  <c r="AA942" i="2"/>
  <c r="AB942" i="2" s="1"/>
  <c r="G69" i="4"/>
  <c r="I43" i="4" s="1"/>
  <c r="S907" i="2"/>
  <c r="I890" i="2"/>
  <c r="I909" i="2"/>
  <c r="I905" i="2"/>
  <c r="AA878" i="2"/>
  <c r="AB878" i="2" s="1"/>
  <c r="I881" i="2"/>
  <c r="Y895" i="2"/>
  <c r="Y899" i="2" s="1"/>
  <c r="E24" i="14"/>
  <c r="F895" i="2"/>
  <c r="L903" i="2"/>
  <c r="L907" i="2" s="1"/>
  <c r="L895" i="2"/>
  <c r="L899" i="2" s="1"/>
  <c r="M895" i="2"/>
  <c r="M899" i="2" s="1"/>
  <c r="M903" i="2"/>
  <c r="M907" i="2" s="1"/>
  <c r="G895" i="2"/>
  <c r="G18" i="14"/>
  <c r="F20" i="14"/>
  <c r="F24" i="14" s="1"/>
  <c r="Q895" i="2"/>
  <c r="Q899" i="2" s="1"/>
  <c r="Q903" i="2"/>
  <c r="Q907" i="2" s="1"/>
  <c r="E20" i="28" l="1"/>
  <c r="E24" i="28" s="1"/>
  <c r="G18" i="24"/>
  <c r="G20" i="24" s="1"/>
  <c r="G24" i="24" s="1"/>
  <c r="F20" i="34"/>
  <c r="F24" i="34" s="1"/>
  <c r="G18" i="34"/>
  <c r="E24" i="34"/>
  <c r="E24" i="32"/>
  <c r="G20" i="26"/>
  <c r="G24" i="26" s="1"/>
  <c r="H18" i="26"/>
  <c r="G18" i="32"/>
  <c r="F20" i="32"/>
  <c r="F24" i="32" s="1"/>
  <c r="E24" i="31"/>
  <c r="E24" i="27"/>
  <c r="G18" i="31"/>
  <c r="F20" i="31"/>
  <c r="F24" i="31" s="1"/>
  <c r="F20" i="27"/>
  <c r="F24" i="27" s="1"/>
  <c r="G18" i="27"/>
  <c r="F20" i="28"/>
  <c r="F24" i="28" s="1"/>
  <c r="G18" i="28"/>
  <c r="G78" i="4"/>
  <c r="I51" i="4" s="1"/>
  <c r="G74" i="4"/>
  <c r="I48" i="4" s="1"/>
  <c r="F899" i="2"/>
  <c r="G20" i="14"/>
  <c r="H18" i="14"/>
  <c r="G899" i="2"/>
  <c r="I892" i="2"/>
  <c r="AA892" i="2" s="1"/>
  <c r="AB892" i="2" s="1"/>
  <c r="AA890" i="2"/>
  <c r="AB890" i="2" s="1"/>
  <c r="I903" i="2"/>
  <c r="I907" i="2" s="1"/>
  <c r="AA881" i="2"/>
  <c r="AB881" i="2" s="1"/>
  <c r="H18" i="24" l="1"/>
  <c r="H20" i="24" s="1"/>
  <c r="H24" i="24" s="1"/>
  <c r="H18" i="34"/>
  <c r="G20" i="34"/>
  <c r="H18" i="31"/>
  <c r="G20" i="3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5" i="2"/>
  <c r="I899" i="2" s="1"/>
  <c r="H20" i="14"/>
  <c r="H24" i="14" s="1"/>
  <c r="I18" i="14"/>
  <c r="G24" i="14"/>
  <c r="I18" i="24" l="1"/>
  <c r="J18" i="24" s="1"/>
  <c r="J20" i="24" s="1"/>
  <c r="J24" i="24" s="1"/>
  <c r="G24" i="34"/>
  <c r="I18" i="34"/>
  <c r="H20" i="34"/>
  <c r="H24" i="34" s="1"/>
  <c r="J18" i="26"/>
  <c r="J20" i="26" s="1"/>
  <c r="J24" i="26" s="1"/>
  <c r="I20" i="26"/>
  <c r="G24" i="31"/>
  <c r="H20" i="32"/>
  <c r="I18" i="32"/>
  <c r="H20" i="31"/>
  <c r="H24" i="31" s="1"/>
  <c r="I18" i="31"/>
  <c r="I18" i="28"/>
  <c r="H20" i="28"/>
  <c r="H24" i="28" s="1"/>
  <c r="H20" i="27"/>
  <c r="I18" i="27"/>
  <c r="AA895" i="2"/>
  <c r="AB895" i="2" s="1"/>
  <c r="I20" i="14"/>
  <c r="J18" i="14"/>
  <c r="J20" i="14" s="1"/>
  <c r="J24" i="14" s="1"/>
  <c r="I20" i="24" l="1"/>
  <c r="I24" i="24" s="1"/>
  <c r="K24" i="24" s="1"/>
  <c r="H26" i="24" s="1"/>
  <c r="H41" i="24" s="1"/>
  <c r="H49" i="24" s="1"/>
  <c r="H53" i="24" s="1"/>
  <c r="I20" i="34"/>
  <c r="I24" i="34" s="1"/>
  <c r="J18" i="34"/>
  <c r="J20" i="34" s="1"/>
  <c r="J24" i="34" s="1"/>
  <c r="I20" i="28"/>
  <c r="J18" i="28"/>
  <c r="J20" i="28" s="1"/>
  <c r="J24" i="28" s="1"/>
  <c r="J18" i="27"/>
  <c r="J20" i="27" s="1"/>
  <c r="J24" i="27" s="1"/>
  <c r="I20" i="27"/>
  <c r="I24" i="27" s="1"/>
  <c r="I20" i="31"/>
  <c r="J18" i="31"/>
  <c r="J20" i="31" s="1"/>
  <c r="J24" i="31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K20" i="24" l="1"/>
  <c r="L20" i="24" s="1"/>
  <c r="K24" i="34"/>
  <c r="J26" i="34" s="1"/>
  <c r="J41" i="34" s="1"/>
  <c r="J49" i="34" s="1"/>
  <c r="J53" i="34" s="1"/>
  <c r="K20" i="34"/>
  <c r="L20" i="34" s="1"/>
  <c r="K20" i="32"/>
  <c r="L20" i="32" s="1"/>
  <c r="K20" i="27"/>
  <c r="L20" i="27" s="1"/>
  <c r="I24" i="31"/>
  <c r="K24" i="31" s="1"/>
  <c r="J26" i="31" s="1"/>
  <c r="J41" i="31" s="1"/>
  <c r="J49" i="31" s="1"/>
  <c r="J53" i="31" s="1"/>
  <c r="K20" i="31"/>
  <c r="L20" i="31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H26" i="34" l="1"/>
  <c r="H41" i="34" s="1"/>
  <c r="H49" i="34" s="1"/>
  <c r="H53" i="34" s="1"/>
  <c r="I53" i="14"/>
  <c r="I26" i="34"/>
  <c r="I41" i="34" s="1"/>
  <c r="I49" i="34" s="1"/>
  <c r="I53" i="34" s="1"/>
  <c r="K53" i="34" s="1"/>
  <c r="E26" i="34"/>
  <c r="E41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3" i="32" s="1"/>
  <c r="L24" i="32"/>
  <c r="F26" i="32"/>
  <c r="F41" i="32" s="1"/>
  <c r="F49" i="32" s="1"/>
  <c r="F53" i="32" s="1"/>
  <c r="K57" i="32" s="1"/>
  <c r="E26" i="32"/>
  <c r="G26" i="32"/>
  <c r="G41" i="32" s="1"/>
  <c r="G49" i="32" s="1"/>
  <c r="G53" i="32" s="1"/>
  <c r="J26" i="32"/>
  <c r="J41" i="32" s="1"/>
  <c r="J49" i="32" s="1"/>
  <c r="J53" i="32" s="1"/>
  <c r="H26" i="32"/>
  <c r="H41" i="32" s="1"/>
  <c r="H49" i="32" s="1"/>
  <c r="H53" i="32" s="1"/>
  <c r="I26" i="26"/>
  <c r="I41" i="26" s="1"/>
  <c r="I49" i="26" s="1"/>
  <c r="I53" i="26" s="1"/>
  <c r="I26" i="31"/>
  <c r="I41" i="31" s="1"/>
  <c r="I49" i="31" s="1"/>
  <c r="I53" i="31" s="1"/>
  <c r="K53" i="31" s="1"/>
  <c r="L24" i="31"/>
  <c r="E26" i="31"/>
  <c r="F26" i="31"/>
  <c r="F41" i="31" s="1"/>
  <c r="F49" i="31" s="1"/>
  <c r="F53" i="31" s="1"/>
  <c r="K57" i="31" s="1"/>
  <c r="G26" i="31"/>
  <c r="G41" i="31" s="1"/>
  <c r="G49" i="31" s="1"/>
  <c r="G53" i="31" s="1"/>
  <c r="H26" i="31"/>
  <c r="H41" i="31" s="1"/>
  <c r="H49" i="31" s="1"/>
  <c r="H53" i="31" s="1"/>
  <c r="K55" i="24"/>
  <c r="K60" i="24" s="1"/>
  <c r="K61" i="24" s="1"/>
  <c r="K26" i="24"/>
  <c r="L26" i="24" s="1"/>
  <c r="K53" i="24"/>
  <c r="L53" i="24" s="1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K53" i="14" l="1"/>
  <c r="F53" i="14"/>
  <c r="K57" i="14" s="1"/>
  <c r="K55" i="34"/>
  <c r="L55" i="34" s="1"/>
  <c r="K26" i="34"/>
  <c r="L26" i="34" s="1"/>
  <c r="K41" i="34"/>
  <c r="L41" i="34" s="1"/>
  <c r="E49" i="34"/>
  <c r="K55" i="32"/>
  <c r="L55" i="32" s="1"/>
  <c r="K53" i="32"/>
  <c r="K26" i="27"/>
  <c r="L26" i="27" s="1"/>
  <c r="E41" i="27"/>
  <c r="K53" i="26"/>
  <c r="K55" i="26"/>
  <c r="L55" i="26" s="1"/>
  <c r="K26" i="32"/>
  <c r="L26" i="32" s="1"/>
  <c r="E41" i="32"/>
  <c r="K55" i="27"/>
  <c r="L55" i="27" s="1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31"/>
  <c r="L26" i="31" s="1"/>
  <c r="E41" i="31"/>
  <c r="K55" i="31"/>
  <c r="L55" i="31" s="1"/>
  <c r="K26" i="26"/>
  <c r="L26" i="26" s="1"/>
  <c r="E41" i="26"/>
  <c r="I26" i="28"/>
  <c r="I41" i="28" s="1"/>
  <c r="I49" i="28" s="1"/>
  <c r="I53" i="28" s="1"/>
  <c r="M57" i="24"/>
  <c r="L57" i="24"/>
  <c r="K55" i="14"/>
  <c r="E53" i="24"/>
  <c r="K56" i="24" s="1"/>
  <c r="K63" i="24" s="1"/>
  <c r="L63" i="24" s="1"/>
  <c r="K49" i="24"/>
  <c r="L49" i="24" s="1"/>
  <c r="K26" i="14"/>
  <c r="L26" i="14" s="1"/>
  <c r="E41" i="14"/>
  <c r="K60" i="14" l="1"/>
  <c r="K61" i="14" s="1"/>
  <c r="L55" i="14"/>
  <c r="K49" i="34"/>
  <c r="L49" i="34" s="1"/>
  <c r="E53" i="34"/>
  <c r="K56" i="34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L55" i="28" s="1"/>
  <c r="K53" i="28"/>
  <c r="E49" i="31"/>
  <c r="K41" i="31"/>
  <c r="L41" i="31" s="1"/>
  <c r="K41" i="14"/>
  <c r="L41" i="14" s="1"/>
  <c r="E49" i="14"/>
  <c r="E53" i="27" l="1"/>
  <c r="K56" i="27" s="1"/>
  <c r="K49" i="27"/>
  <c r="L49" i="27" s="1"/>
  <c r="K41" i="28"/>
  <c r="L41" i="28" s="1"/>
  <c r="E49" i="28"/>
  <c r="E53" i="31"/>
  <c r="K56" i="31" s="1"/>
  <c r="K49" i="31"/>
  <c r="L49" i="31" s="1"/>
  <c r="K49" i="32"/>
  <c r="L49" i="32" s="1"/>
  <c r="E53" i="32"/>
  <c r="K56" i="32" s="1"/>
  <c r="E53" i="26"/>
  <c r="K56" i="26" s="1"/>
  <c r="K49" i="26"/>
  <c r="L49" i="26" s="1"/>
  <c r="K49" i="14"/>
  <c r="K65" i="14" s="1"/>
  <c r="E53" i="14"/>
  <c r="K56" i="14" s="1"/>
  <c r="K63" i="14" s="1"/>
  <c r="L63" i="14" s="1"/>
  <c r="L49" i="14" l="1"/>
  <c r="O58" i="14"/>
  <c r="O56" i="14"/>
  <c r="O57" i="14"/>
  <c r="K49" i="28"/>
  <c r="L49" i="28" s="1"/>
  <c r="E53" i="28"/>
  <c r="K56" i="28" s="1"/>
  <c r="O59" i="14" l="1"/>
</calcChain>
</file>

<file path=xl/sharedStrings.xml><?xml version="1.0" encoding="utf-8"?>
<sst xmlns="http://schemas.openxmlformats.org/spreadsheetml/2006/main" count="3816" uniqueCount="1444">
  <si>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</si>
  <si>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</si>
  <si>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</si>
  <si>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</si>
  <si>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</si>
  <si>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</si>
  <si>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</si>
  <si>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</si>
  <si>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</si>
  <si>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</si>
  <si>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</si>
  <si>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</si>
  <si>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</si>
  <si>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</si>
  <si>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</si>
  <si>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</si>
  <si>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</si>
  <si>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</si>
  <si>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</si>
  <si>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</si>
  <si>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</si>
  <si>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</si>
  <si>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</si>
  <si>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</si>
  <si>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</si>
  <si>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</si>
  <si>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</si>
  <si>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</si>
  <si>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</si>
  <si>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</si>
  <si>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</si>
  <si>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</si>
  <si>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</si>
  <si>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</si>
  <si>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</si>
  <si>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</si>
  <si>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</si>
  <si>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</si>
  <si>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</si>
  <si>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</si>
  <si>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</si>
  <si>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</si>
  <si>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</si>
  <si>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</si>
  <si>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</si>
  <si>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</si>
  <si>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</si>
  <si>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</si>
  <si>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</si>
  <si>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</si>
  <si>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</si>
  <si>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</si>
  <si>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</si>
  <si>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</si>
  <si>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</si>
  <si>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</si>
  <si>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</si>
  <si>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</si>
  <si>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</si>
  <si>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</si>
  <si>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</si>
  <si>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</si>
  <si>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</si>
  <si>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</si>
  <si>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</si>
  <si>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</si>
  <si>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</si>
  <si>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</si>
  <si>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</si>
  <si>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</si>
  <si>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</si>
  <si>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</si>
  <si>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</si>
  <si>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</si>
  <si>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</si>
  <si>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</si>
  <si>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</si>
  <si>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</si>
  <si>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</si>
  <si>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</si>
  <si>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</si>
  <si>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</si>
  <si>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</si>
  <si>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</si>
  <si>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</si>
  <si>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</si>
  <si>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</si>
  <si>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</si>
  <si>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</si>
  <si>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</si>
  <si>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</si>
  <si>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</si>
  <si>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</si>
  <si>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</si>
  <si>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</si>
  <si>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</si>
  <si>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</si>
  <si>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</si>
  <si>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</si>
  <si>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</si>
  <si>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</si>
  <si>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</si>
  <si>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</si>
  <si>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</si>
  <si>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</si>
  <si>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</si>
  <si>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</si>
  <si>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</si>
  <si>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</si>
  <si>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</si>
  <si>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</si>
  <si>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</si>
  <si>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</si>
  <si>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</si>
  <si>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</si>
  <si>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</si>
  <si>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</si>
  <si>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</si>
  <si>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</si>
  <si>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</si>
  <si>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</si>
  <si>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</si>
  <si>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</si>
  <si>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</si>
  <si>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</si>
  <si>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</si>
  <si>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</si>
  <si>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</si>
  <si>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</si>
  <si>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</si>
  <si>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</si>
  <si>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</si>
  <si>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</si>
  <si>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</si>
  <si>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</si>
  <si>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</si>
  <si>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</si>
  <si>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</si>
  <si>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</si>
  <si>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</si>
  <si>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</si>
  <si>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</si>
  <si>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</si>
  <si>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</si>
  <si>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</si>
  <si>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</si>
  <si>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</si>
  <si>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</si>
  <si>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</si>
  <si>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</si>
  <si>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</si>
  <si>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</si>
  <si>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</si>
  <si>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</si>
  <si>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</si>
  <si>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</si>
  <si>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</si>
  <si>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</si>
  <si>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</si>
  <si>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</si>
  <si>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</si>
  <si>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</si>
  <si>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</si>
  <si>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</si>
  <si>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</si>
  <si>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</si>
  <si>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</si>
  <si>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</si>
  <si>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</si>
  <si>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</si>
  <si>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</si>
  <si>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</si>
  <si>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</si>
  <si>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</si>
  <si>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</si>
  <si>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</si>
  <si>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</si>
  <si>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</si>
  <si>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</si>
  <si>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</si>
  <si>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</si>
  <si>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</si>
  <si>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</si>
  <si>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</si>
  <si>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</si>
  <si>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</si>
  <si>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</si>
  <si>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</si>
  <si>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</si>
  <si>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</si>
  <si>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</si>
  <si>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</si>
  <si>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</si>
  <si>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</si>
  <si>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</si>
  <si>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</si>
  <si>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</si>
  <si>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</si>
  <si>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</si>
  <si>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</si>
  <si>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</si>
  <si>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</si>
  <si>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</si>
  <si>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</si>
  <si>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</si>
  <si>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</si>
  <si>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</si>
  <si>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</si>
  <si>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</si>
  <si>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</si>
  <si>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</si>
  <si>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</si>
  <si>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</si>
  <si>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</si>
  <si>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</si>
  <si>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</si>
  <si>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</si>
  <si>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</si>
  <si>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</si>
  <si>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</si>
  <si>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</si>
  <si>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</si>
  <si>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</si>
  <si>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</si>
  <si>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</si>
  <si>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</si>
  <si>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</si>
  <si>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</si>
  <si>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</si>
  <si>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</si>
  <si>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</si>
  <si>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</si>
  <si>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</si>
  <si>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</si>
  <si>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</si>
  <si>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</si>
  <si>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</si>
  <si>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</si>
  <si>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</si>
  <si>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</si>
  <si>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</si>
  <si>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</si>
  <si>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</si>
  <si>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</si>
  <si>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</si>
  <si>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</si>
  <si>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</si>
  <si>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</si>
  <si>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</si>
  <si>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</si>
  <si>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</si>
  <si>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</si>
  <si>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</si>
  <si>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</si>
  <si>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</si>
  <si>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</si>
  <si>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</si>
  <si>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</si>
  <si>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</si>
  <si>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</si>
  <si>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</si>
  <si>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</si>
  <si>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</si>
  <si>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</si>
  <si>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</si>
  <si>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</si>
  <si>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</si>
  <si>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</si>
  <si>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</si>
  <si>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</si>
  <si>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</si>
  <si>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</si>
  <si>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</si>
  <si>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</si>
  <si>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</si>
  <si>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</si>
  <si>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</si>
  <si>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</si>
  <si>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</si>
  <si>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</si>
  <si>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</si>
  <si>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</si>
  <si>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</si>
  <si>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</si>
  <si>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</si>
  <si>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</si>
  <si>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</si>
  <si>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</si>
  <si>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</si>
  <si>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</si>
  <si>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</si>
  <si>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</si>
  <si>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</si>
  <si>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</si>
  <si>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</si>
  <si>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</si>
  <si>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</si>
  <si>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</si>
  <si>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</si>
  <si>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</si>
  <si>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</si>
  <si>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</si>
  <si>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</si>
  <si>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</si>
  <si>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</si>
  <si>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</si>
  <si>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</si>
  <si>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</si>
  <si>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</si>
  <si>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</si>
  <si>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</si>
  <si>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</si>
  <si>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</si>
  <si>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</si>
  <si>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</si>
  <si>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</si>
  <si>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</si>
  <si>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</si>
  <si>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</si>
  <si>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</si>
  <si>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</si>
  <si>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</si>
  <si>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</si>
  <si>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</si>
  <si>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</si>
  <si>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</si>
  <si>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</si>
  <si>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</si>
  <si>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</si>
  <si>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</si>
  <si>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</si>
  <si>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</si>
  <si>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</si>
  <si>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</si>
  <si>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</si>
  <si>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</si>
  <si>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</si>
  <si>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</si>
  <si>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</si>
  <si>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</si>
  <si>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</si>
  <si>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</si>
  <si>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</si>
  <si>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</si>
  <si>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</si>
  <si>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</si>
  <si>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</si>
  <si>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</si>
  <si>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</si>
  <si>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</si>
  <si>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</si>
  <si>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</si>
  <si>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</si>
  <si>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</si>
  <si>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</si>
  <si>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</si>
  <si>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</si>
  <si>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</si>
  <si>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</si>
  <si>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</si>
  <si>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</si>
  <si>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</si>
  <si>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</si>
  <si>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</si>
  <si>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</si>
  <si>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</si>
  <si>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</si>
  <si>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</si>
  <si>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</si>
  <si>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</si>
  <si>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</si>
  <si>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</si>
  <si>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</si>
  <si>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</si>
  <si>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</si>
  <si>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</si>
  <si>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</si>
  <si>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</si>
  <si>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</si>
  <si>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</si>
  <si>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</si>
  <si>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</si>
  <si>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</si>
  <si>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</si>
  <si>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</si>
  <si>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</si>
  <si>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</si>
  <si>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</si>
  <si>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</si>
  <si>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</si>
  <si>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</si>
  <si>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</si>
  <si>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</si>
  <si>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</si>
  <si>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</si>
  <si>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</si>
  <si>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</si>
  <si>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</si>
  <si>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</si>
  <si>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</si>
  <si>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</si>
  <si>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</si>
  <si>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</si>
  <si>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</si>
  <si>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</si>
  <si>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</si>
  <si>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</si>
  <si>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</si>
  <si>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</si>
  <si>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</si>
  <si>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</si>
  <si>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</si>
  <si>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</si>
  <si>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</si>
  <si>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</si>
  <si>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</si>
  <si>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</si>
  <si>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</si>
  <si>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</si>
  <si>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</si>
  <si>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</si>
  <si>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</si>
  <si>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</si>
  <si>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</si>
  <si>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</si>
  <si>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</si>
  <si>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</si>
  <si>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</si>
  <si>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</si>
  <si>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</si>
  <si>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</si>
  <si>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</si>
  <si>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</si>
  <si>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</si>
  <si>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</si>
  <si>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</si>
  <si>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</si>
  <si>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</si>
  <si>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</si>
  <si>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</si>
  <si>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</si>
  <si>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</si>
  <si>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</si>
  <si>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</si>
  <si>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</si>
  <si>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</si>
  <si>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</si>
  <si>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</si>
  <si>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</si>
  <si>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</si>
  <si>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</si>
  <si>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</si>
  <si>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</si>
  <si>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</si>
  <si>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</si>
  <si>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</si>
  <si>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</si>
  <si>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</si>
  <si>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</si>
  <si>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</si>
  <si>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</si>
  <si>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</si>
  <si>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</si>
  <si>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</si>
  <si>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</si>
  <si>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</si>
  <si>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</si>
  <si>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</si>
  <si>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</si>
  <si>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</si>
  <si>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</si>
  <si>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</si>
  <si>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</si>
  <si>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</si>
  <si>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</si>
  <si>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</si>
  <si>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</si>
  <si>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</si>
  <si>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</si>
  <si>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</si>
  <si>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</si>
  <si>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</si>
  <si>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</si>
  <si>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</si>
  <si>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</si>
  <si>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</si>
  <si>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</si>
  <si>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</si>
  <si>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</si>
  <si>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</si>
  <si>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</si>
  <si>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</si>
  <si>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</si>
  <si>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</si>
  <si>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</si>
  <si>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</si>
  <si>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</si>
  <si>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</si>
  <si>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</si>
  <si>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</si>
  <si>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</si>
  <si>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</si>
  <si>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</si>
  <si>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</si>
  <si>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</si>
  <si>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</si>
  <si>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</si>
  <si>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</si>
  <si>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</si>
  <si>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</si>
  <si>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</si>
  <si>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</si>
  <si>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</si>
  <si>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</si>
  <si>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</si>
  <si>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</si>
  <si>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</si>
  <si>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</si>
  <si>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</si>
  <si>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</si>
  <si>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</si>
  <si>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</si>
  <si>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</si>
  <si>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</si>
  <si>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</si>
  <si>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</si>
  <si>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</si>
  <si>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</si>
  <si>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</si>
  <si>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</si>
  <si>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</si>
  <si>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</si>
  <si>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</si>
  <si>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</si>
  <si>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</si>
  <si>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</si>
  <si>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</si>
  <si>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</si>
  <si>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</si>
  <si>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</si>
  <si>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</si>
  <si>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</si>
  <si>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</si>
  <si>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</si>
  <si>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</si>
  <si>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</si>
  <si>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</si>
  <si>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</si>
  <si>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</si>
  <si>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</si>
  <si>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</si>
  <si>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</si>
  <si>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</si>
  <si>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</si>
  <si>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</si>
  <si>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</si>
  <si>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</si>
  <si>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</si>
  <si>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</si>
  <si>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</si>
  <si>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</si>
  <si>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</si>
  <si>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</si>
  <si>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</si>
  <si>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</si>
  <si>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</si>
  <si>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</si>
  <si>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</si>
  <si>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</si>
  <si>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</si>
  <si>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</si>
  <si>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</si>
  <si>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</si>
  <si>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</si>
  <si>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</si>
  <si>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</si>
  <si>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</si>
  <si>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</si>
  <si>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</si>
  <si>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</si>
  <si>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</si>
  <si>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</si>
  <si>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</si>
  <si>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</si>
  <si>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</si>
  <si>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</si>
  <si>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</si>
  <si>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</si>
  <si>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</si>
  <si>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</si>
  <si>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</si>
  <si>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</si>
  <si>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</si>
  <si>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</si>
  <si>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</si>
  <si>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</si>
  <si>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</si>
  <si>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</si>
  <si>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</si>
  <si>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</si>
  <si>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</si>
  <si>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</si>
  <si>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</si>
  <si>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</si>
  <si>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</si>
  <si>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</si>
  <si>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</si>
  <si>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</si>
  <si>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</si>
  <si>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</si>
  <si>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</si>
  <si>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</si>
  <si>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</si>
  <si>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</si>
  <si>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</si>
  <si>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</si>
  <si>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</si>
  <si>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</si>
  <si>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</si>
  <si>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</si>
  <si>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</si>
  <si>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</si>
  <si>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</si>
  <si>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</si>
  <si>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</si>
  <si>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</si>
  <si>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</si>
  <si>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</si>
  <si>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</si>
  <si>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</si>
  <si>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</si>
  <si>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</si>
  <si>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</si>
  <si>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</si>
  <si>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</si>
  <si>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</si>
  <si>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</si>
  <si>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</si>
  <si>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</si>
  <si>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</si>
  <si>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</si>
  <si>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</si>
  <si>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</si>
  <si>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</si>
  <si>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</si>
  <si>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</si>
  <si>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</si>
  <si>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</si>
  <si>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</si>
  <si>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</si>
  <si>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</si>
  <si>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</si>
  <si>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</si>
  <si>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</si>
  <si>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</si>
  <si>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</si>
  <si>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</si>
  <si>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</si>
  <si>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</si>
  <si>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</si>
  <si>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</si>
  <si>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</si>
  <si>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</si>
  <si>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</si>
  <si>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</si>
  <si>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</si>
  <si>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</si>
  <si>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</si>
  <si>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</si>
  <si>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</si>
  <si>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</si>
  <si>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</si>
  <si>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</si>
  <si>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</si>
  <si>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</si>
  <si>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</si>
  <si>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</si>
  <si>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</si>
  <si>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</si>
  <si>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</si>
  <si>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</si>
  <si>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</si>
  <si>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</si>
  <si>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</si>
  <si>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</si>
  <si>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</si>
  <si>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</si>
  <si>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</si>
  <si>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</si>
  <si>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</si>
  <si>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</si>
  <si>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</si>
  <si>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</si>
  <si>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</si>
  <si>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</si>
  <si>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</si>
  <si>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</si>
  <si>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</si>
  <si>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</si>
  <si>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</si>
  <si>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</si>
  <si>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</si>
  <si>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</si>
  <si>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</si>
  <si>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</si>
  <si>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</si>
  <si>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</si>
  <si>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</si>
  <si>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</si>
  <si>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</si>
  <si>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</si>
  <si>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</si>
  <si>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</si>
  <si>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</si>
  <si>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</si>
  <si>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</si>
  <si>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</si>
  <si>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</si>
  <si>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</si>
  <si>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</si>
  <si>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</si>
  <si>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</si>
  <si>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</si>
  <si>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</si>
  <si>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</si>
  <si>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</si>
  <si>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</si>
  <si>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</si>
  <si>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</si>
  <si>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</si>
  <si>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</si>
  <si>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</si>
  <si>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</si>
  <si>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</si>
  <si>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</si>
  <si>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</si>
  <si>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</si>
  <si>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</si>
  <si>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</si>
  <si>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</si>
  <si>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</si>
  <si>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</si>
  <si>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</si>
  <si>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</si>
  <si>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</si>
  <si>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</si>
  <si>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</si>
  <si>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</si>
  <si>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</si>
  <si>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</si>
  <si>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</si>
  <si>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</si>
  <si>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</si>
  <si>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</si>
  <si>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</si>
  <si>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</si>
  <si>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</si>
  <si>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</si>
  <si>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</si>
  <si>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</si>
  <si>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</si>
  <si>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</si>
  <si>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</si>
  <si>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</si>
  <si>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</si>
  <si>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</si>
  <si>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</si>
  <si>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</si>
  <si>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</si>
  <si>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</si>
  <si>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</si>
  <si>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</si>
  <si>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</si>
  <si>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</si>
  <si>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</si>
  <si>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</si>
  <si>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</si>
  <si>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</si>
  <si>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</si>
  <si>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</si>
  <si>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</si>
  <si>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</si>
  <si>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</si>
  <si>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</si>
  <si>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</si>
  <si>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</si>
  <si>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</si>
  <si>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</si>
  <si>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</si>
  <si>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</si>
  <si>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</si>
  <si>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</si>
  <si>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</si>
  <si>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</si>
  <si>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</si>
  <si>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</si>
  <si>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</si>
  <si>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</si>
  <si>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</si>
  <si>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</si>
  <si>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</si>
  <si>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</si>
  <si>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</si>
  <si>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</si>
  <si>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</si>
  <si>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</si>
  <si>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</si>
  <si>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</si>
  <si>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</si>
  <si>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</si>
  <si>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</si>
  <si>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</si>
  <si>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</si>
  <si>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</si>
  <si>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</si>
  <si>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</si>
  <si>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</si>
  <si>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</si>
  <si>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</si>
  <si>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</si>
  <si>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</si>
  <si>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</si>
  <si>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</si>
  <si>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</si>
  <si>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</si>
  <si>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</si>
  <si>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</si>
  <si>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</si>
  <si>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</si>
  <si>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</si>
  <si>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</si>
  <si>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</si>
  <si>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</si>
  <si>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</si>
  <si>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</si>
  <si>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</si>
  <si>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</si>
  <si>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</si>
  <si>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</si>
  <si>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</si>
  <si>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</si>
  <si>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</si>
  <si>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</si>
  <si>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</si>
  <si>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</si>
  <si>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</si>
  <si>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</si>
  <si>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</si>
  <si>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</si>
  <si>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</si>
  <si>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</si>
  <si>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</si>
  <si>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</si>
  <si>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</si>
  <si>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</si>
  <si>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</si>
  <si>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</si>
  <si>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</si>
  <si>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</si>
  <si>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</si>
  <si>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</si>
  <si>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</si>
  <si>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</si>
  <si>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</si>
  <si>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</si>
  <si>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</si>
  <si>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</si>
  <si>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</si>
  <si>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</si>
  <si>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</si>
  <si>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</si>
  <si>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</si>
  <si>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</si>
  <si>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</si>
  <si>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</si>
  <si>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</si>
  <si>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</si>
  <si>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</si>
  <si>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</si>
  <si>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</si>
  <si>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</si>
  <si>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</si>
  <si>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</si>
  <si>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</si>
  <si>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</si>
  <si>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</si>
  <si>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</si>
  <si>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</si>
  <si>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</si>
  <si>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</si>
  <si>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</si>
  <si>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</si>
  <si>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</si>
  <si>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</si>
  <si>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</si>
  <si>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</si>
  <si>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</si>
  <si>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</si>
  <si>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</si>
  <si>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</si>
  <si>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</si>
  <si>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</si>
  <si>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</si>
  <si>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</si>
  <si>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</si>
  <si>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</si>
  <si>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</si>
  <si>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</si>
  <si>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</si>
  <si>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</si>
  <si>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</si>
  <si>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</si>
  <si>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</si>
  <si>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</si>
  <si>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</si>
  <si>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</si>
  <si>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</si>
  <si>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</si>
  <si>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</si>
  <si>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</si>
  <si>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</si>
  <si>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</si>
  <si>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</si>
  <si>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</si>
  <si>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</si>
  <si>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</si>
  <si>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</si>
  <si>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</si>
  <si>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</si>
  <si>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</si>
  <si>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</si>
  <si>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</si>
  <si>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</si>
  <si>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</si>
  <si>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</si>
  <si>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</si>
  <si>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</si>
  <si>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</si>
  <si>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</si>
  <si>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</si>
  <si>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</si>
  <si>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</si>
  <si>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</si>
  <si>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</si>
  <si>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</si>
  <si>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</si>
  <si>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</si>
  <si>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</si>
  <si>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</si>
  <si>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</si>
  <si>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</si>
  <si>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</si>
  <si>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</si>
  <si>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</si>
  <si>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</si>
  <si>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</si>
  <si>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</si>
  <si>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</si>
  <si>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</si>
  <si>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</si>
  <si>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</si>
  <si>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</si>
  <si>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</si>
  <si>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</si>
  <si>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</si>
  <si>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</si>
  <si>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</si>
  <si>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</si>
  <si>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</si>
  <si>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</si>
  <si>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</si>
  <si>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</si>
  <si>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</si>
  <si>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</si>
  <si>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</si>
  <si>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</si>
  <si>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</si>
  <si>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</si>
  <si>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</si>
  <si>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</si>
  <si>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</si>
  <si>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</si>
  <si>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</si>
  <si>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</si>
  <si>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</si>
  <si>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</si>
  <si>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</si>
  <si>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</si>
  <si>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</si>
  <si>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</si>
  <si>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</si>
  <si>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</si>
  <si>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</si>
  <si>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</si>
  <si>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</si>
  <si>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</si>
  <si>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</si>
  <si>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</si>
  <si>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</si>
  <si>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</si>
  <si>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</si>
  <si>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</si>
  <si>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</si>
  <si>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</si>
  <si>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</si>
  <si>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</si>
  <si>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</si>
  <si>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</si>
  <si>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</si>
  <si>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</si>
  <si>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</si>
  <si>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</si>
  <si>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</si>
  <si>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</si>
  <si>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</si>
  <si>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</si>
  <si>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</si>
  <si>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</si>
  <si>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</si>
  <si>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</si>
  <si>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</si>
  <si>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</si>
  <si>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</si>
  <si>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</si>
  <si>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</si>
  <si>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</si>
  <si>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</si>
  <si>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</si>
  <si>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</si>
  <si>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</si>
  <si>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</si>
  <si>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</si>
  <si>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</si>
  <si>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</si>
  <si>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</si>
  <si>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</si>
  <si>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</si>
  <si>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</si>
  <si>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</si>
  <si>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</si>
  <si>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</si>
  <si>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</si>
  <si>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</si>
  <si>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</si>
  <si>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</si>
  <si>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</si>
  <si>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</si>
  <si>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</si>
  <si>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</si>
  <si>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</si>
  <si>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</si>
  <si>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</si>
  <si>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</si>
  <si>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</si>
  <si>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</si>
  <si>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</si>
  <si>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</si>
  <si>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</si>
  <si>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</si>
  <si>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</si>
  <si>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</si>
  <si>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</si>
  <si>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</si>
  <si>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</si>
  <si>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</si>
  <si>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</si>
  <si>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</si>
  <si>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</si>
  <si>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</si>
  <si>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</si>
  <si>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</si>
  <si>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</si>
  <si>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</si>
  <si>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</si>
  <si>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</si>
  <si>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</si>
  <si>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</si>
  <si>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</si>
  <si>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</si>
  <si>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</si>
  <si>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</si>
  <si>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</si>
  <si>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</si>
  <si>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</si>
  <si>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</si>
  <si>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</si>
  <si>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</si>
  <si>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</si>
  <si>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</si>
  <si>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</si>
  <si>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</si>
  <si>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</si>
  <si>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</si>
  <si>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</si>
  <si>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</si>
  <si>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</si>
  <si>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</si>
  <si>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</si>
  <si>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</si>
  <si>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</si>
  <si>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</si>
  <si>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</si>
  <si>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</si>
  <si>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</si>
  <si>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</si>
  <si>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</si>
  <si>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</si>
  <si>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</si>
  <si>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</si>
  <si>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</si>
  <si>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</si>
  <si>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</si>
  <si>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</si>
  <si>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</si>
  <si>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</si>
  <si>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</si>
  <si>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</si>
  <si>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</si>
  <si>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</si>
  <si>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</si>
  <si>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</si>
  <si>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</si>
  <si>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</si>
  <si>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</si>
  <si>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</si>
  <si>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</si>
  <si>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</si>
  <si>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</si>
  <si>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</si>
  <si>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</si>
  <si>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</si>
  <si>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</si>
  <si>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</si>
  <si>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</si>
  <si>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</si>
  <si>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</si>
  <si>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</si>
  <si>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</si>
  <si>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</si>
  <si>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</si>
  <si>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</si>
  <si>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</si>
  <si>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</si>
  <si>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</si>
  <si>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</si>
  <si>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</si>
  <si>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</si>
  <si>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</si>
  <si>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</si>
  <si>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</si>
  <si>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</si>
  <si>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</si>
  <si>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</si>
  <si>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</si>
  <si>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</si>
  <si>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</si>
  <si>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</si>
  <si>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</si>
  <si>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</si>
  <si>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</si>
  <si>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</si>
  <si>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</si>
  <si>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</si>
  <si>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</si>
  <si>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</si>
  <si>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</si>
  <si>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</si>
  <si>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</si>
  <si>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</si>
  <si>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</si>
  <si>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</si>
  <si>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</si>
  <si>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</si>
  <si>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</si>
  <si>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</si>
  <si>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</si>
  <si>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</si>
  <si>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</si>
  <si>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</si>
  <si>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</si>
  <si>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</si>
  <si>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</si>
  <si>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</si>
  <si>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</si>
  <si>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</si>
  <si>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</si>
  <si>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</si>
  <si>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</si>
  <si>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</si>
  <si>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</si>
  <si>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</si>
  <si>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</si>
  <si>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</si>
  <si>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</si>
  <si>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</si>
  <si>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</si>
  <si>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</si>
  <si>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</si>
  <si>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</si>
  <si>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</si>
  <si>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</si>
  <si>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</si>
  <si>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</si>
  <si>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</si>
  <si>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</si>
  <si>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</si>
  <si>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</si>
  <si>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</si>
  <si>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</si>
  <si>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</si>
  <si>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</si>
  <si>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</si>
  <si>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</si>
  <si>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</si>
  <si>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</si>
  <si>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</si>
  <si>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</si>
  <si>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</si>
  <si>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</si>
  <si>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</si>
  <si>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</si>
  <si>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</si>
  <si>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</si>
  <si>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</si>
  <si>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</si>
  <si>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</si>
  <si>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</si>
  <si>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</si>
  <si>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</si>
  <si>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</si>
  <si>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</si>
  <si>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</si>
  <si>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</si>
  <si>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</si>
  <si>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</si>
  <si>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</si>
  <si>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</si>
  <si>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</si>
  <si>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</si>
  <si>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</si>
  <si>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</si>
  <si>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</si>
  <si>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</si>
  <si>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</si>
  <si>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</si>
  <si>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</si>
  <si>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</si>
  <si>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</si>
  <si>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</si>
  <si>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</si>
  <si>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</si>
  <si>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</si>
  <si>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</si>
  <si>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</si>
  <si>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</si>
  <si>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</si>
  <si>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Not Used</t>
  </si>
  <si>
    <t>Rate SSP</t>
  </si>
  <si>
    <t>Traffic Energy Rate TLE</t>
  </si>
  <si>
    <t>Production Depreciation Residual LOLP Demand Allocator</t>
  </si>
  <si>
    <t xml:space="preserve">Production Depreciation LOLP Demand Costs </t>
  </si>
  <si>
    <t>Production O&amp;M Residual LOLP Demand Allocator</t>
  </si>
  <si>
    <t xml:space="preserve">Production O&amp;M LOLP Demand Costs 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</si>
  <si>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</si>
  <si>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</si>
  <si>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</si>
  <si>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</si>
  <si>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</si>
  <si>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</si>
  <si>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</si>
  <si>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</si>
  <si>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</si>
  <si>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</si>
  <si>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</si>
  <si>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</si>
  <si>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</si>
  <si>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</si>
  <si>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</si>
  <si>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</si>
  <si>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</si>
  <si>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</si>
  <si>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</si>
  <si>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</si>
  <si>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</si>
  <si>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</si>
  <si>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</si>
  <si>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</si>
  <si>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</si>
  <si>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</si>
  <si>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</si>
  <si>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</si>
  <si>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</si>
  <si>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</si>
  <si>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</si>
  <si>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</si>
  <si>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</si>
  <si>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</si>
  <si>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</si>
  <si>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</si>
  <si>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</si>
  <si>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</si>
  <si>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</si>
  <si>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</si>
  <si>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</si>
  <si>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</si>
  <si>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</si>
  <si>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</si>
  <si>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</si>
  <si>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</si>
  <si>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</si>
  <si>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</si>
  <si>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</si>
  <si>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</si>
  <si>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</si>
  <si>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</si>
  <si>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</si>
  <si>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</si>
  <si>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</si>
  <si>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</si>
  <si>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</si>
  <si>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</si>
  <si>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</si>
  <si>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</si>
  <si>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</si>
  <si>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</si>
  <si>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</si>
  <si>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</si>
  <si>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</si>
  <si>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</si>
  <si>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</si>
  <si>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</si>
  <si>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</si>
  <si>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</si>
  <si>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</si>
  <si>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</si>
  <si>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</si>
  <si>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</si>
  <si>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</si>
  <si>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</si>
  <si>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</si>
  <si>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</si>
  <si>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</si>
  <si>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</si>
  <si>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</si>
  <si>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</si>
  <si>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</si>
  <si>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MRBRA</t>
  </si>
  <si>
    <t>MRBT</t>
  </si>
  <si>
    <t>MRBA</t>
  </si>
  <si>
    <t>kWh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</si>
  <si>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</si>
  <si>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</si>
  <si>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</si>
  <si>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</si>
  <si>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</si>
  <si>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</si>
  <si>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</si>
  <si>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</si>
  <si>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</si>
  <si>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</si>
  <si>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</si>
  <si>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</si>
  <si>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</si>
  <si>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</si>
  <si>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</si>
  <si>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</si>
  <si>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</si>
  <si>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</si>
  <si>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</si>
  <si>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</si>
  <si>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</si>
  <si>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</si>
  <si>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</si>
  <si>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</si>
  <si>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</si>
  <si>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</si>
  <si>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</si>
  <si>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</si>
  <si>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Single Phase</t>
  </si>
  <si>
    <t>Three Phase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</si>
  <si>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</si>
  <si>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</si>
  <si>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</si>
  <si>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</si>
  <si>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</si>
  <si>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</si>
  <si>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</si>
  <si>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</si>
  <si>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</si>
  <si>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</si>
  <si>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</si>
  <si>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</si>
  <si>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</si>
  <si>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</si>
  <si>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</si>
  <si>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</si>
  <si>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</si>
  <si>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</si>
  <si>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</si>
  <si>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</si>
  <si>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</si>
  <si>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</si>
  <si>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</si>
  <si>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Residential Net Metering NMS1</t>
  </si>
  <si>
    <t>Residential Net Metering</t>
  </si>
  <si>
    <t>Rate NMS 1</t>
  </si>
  <si>
    <t>Residential Net Metering Rate NMS1</t>
  </si>
  <si>
    <t xml:space="preserve">  Allocation of Net Metering Payback</t>
  </si>
  <si>
    <t xml:space="preserve">  Net Metering Credits</t>
  </si>
  <si>
    <t>6CP Demand Allocator</t>
  </si>
  <si>
    <t>6CP</t>
  </si>
  <si>
    <t>PLPP6CP</t>
  </si>
  <si>
    <t>GP6CPDA</t>
  </si>
  <si>
    <t>GPP6CPDRA</t>
  </si>
  <si>
    <t>GPP6CPDT</t>
  </si>
  <si>
    <t>NPP6CPDRA</t>
  </si>
  <si>
    <t>NPP6CPDT</t>
  </si>
  <si>
    <t>NP6CPDA</t>
  </si>
  <si>
    <t>RBP6CPDRA</t>
  </si>
  <si>
    <t>RBP6CPDT</t>
  </si>
  <si>
    <t>RB6CPDA</t>
  </si>
  <si>
    <t>POM6CPDRA</t>
  </si>
  <si>
    <t>POM6CPDT</t>
  </si>
  <si>
    <t>POM6CPDA</t>
  </si>
  <si>
    <t>PDEP6CPDRA</t>
  </si>
  <si>
    <t>PDEP6CPDT</t>
  </si>
  <si>
    <t>PDEP6CPDA</t>
  </si>
  <si>
    <t>PPT6CPDRA</t>
  </si>
  <si>
    <t>PPT6CPDT</t>
  </si>
  <si>
    <t>PPT6CPDA</t>
  </si>
  <si>
    <t>PITC6CPDRA</t>
  </si>
  <si>
    <t>PITC6CPDT</t>
  </si>
  <si>
    <t>PITC6CPDA</t>
  </si>
  <si>
    <t>UPPP6CP</t>
  </si>
  <si>
    <t>RBPP6CP</t>
  </si>
  <si>
    <t>OMPP6CP</t>
  </si>
  <si>
    <t>LBPP6CP</t>
  </si>
  <si>
    <t>DEPP6CP</t>
  </si>
  <si>
    <t>RCP6CP</t>
  </si>
  <si>
    <t>ACRP6CP</t>
  </si>
  <si>
    <t>PTPP6CP</t>
  </si>
  <si>
    <t xml:space="preserve">  Production Demand - 6CP</t>
  </si>
  <si>
    <t>OTPP6CP</t>
  </si>
  <si>
    <t>INTP6CP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</si>
</sst>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37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4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0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40" fillId="0" borderId="0"/>
    <xf numFmtId="0" fontId="2" fillId="0" borderId="0"/>
    <xf numFmtId="0" fontId="5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4" borderId="0"/>
    <xf numFmtId="0" fontId="8" fillId="64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6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102" fillId="0" borderId="4" applyBorder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6" fillId="44" borderId="0" applyNumberFormat="0" applyBorder="0" applyAlignment="0" applyProtection="0"/>
    <xf numFmtId="181" fontId="66" fillId="44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5" borderId="21" applyNumberFormat="0" applyAlignment="0" applyProtection="0"/>
    <xf numFmtId="179" fontId="104" fillId="65" borderId="29" applyNumberFormat="0" applyAlignment="0" applyProtection="0"/>
    <xf numFmtId="0" fontId="48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3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0" borderId="46" applyNumberFormat="0" applyFont="0" applyAlignment="0">
      <protection locked="0"/>
    </xf>
    <xf numFmtId="0" fontId="8" fillId="50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6" borderId="0" applyNumberFormat="0" applyBorder="0" applyAlignment="0" applyProtection="0"/>
    <xf numFmtId="181" fontId="75" fillId="46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4" borderId="21" applyNumberFormat="0" applyAlignment="0" applyProtection="0"/>
    <xf numFmtId="179" fontId="114" fillId="2" borderId="29" applyNumberFormat="0" applyAlignment="0" applyProtection="0"/>
    <xf numFmtId="0" fontId="4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7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37" fontId="1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8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11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5" fillId="62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2" fillId="0" borderId="0"/>
    <xf numFmtId="181" fontId="95" fillId="62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2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7" borderId="0">
      <alignment horizontal="center"/>
    </xf>
    <xf numFmtId="0" fontId="34" fillId="67" borderId="0">
      <alignment horizontal="center"/>
    </xf>
    <xf numFmtId="183" fontId="34" fillId="67" borderId="0">
      <alignment horizontal="center"/>
    </xf>
    <xf numFmtId="0" fontId="34" fillId="6" borderId="0">
      <alignment horizontal="center" vertical="center"/>
    </xf>
    <xf numFmtId="0" fontId="2" fillId="0" borderId="0"/>
    <xf numFmtId="0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7" borderId="0">
      <alignment horizontal="center"/>
    </xf>
    <xf numFmtId="183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8" borderId="0"/>
    <xf numFmtId="0" fontId="28" fillId="68" borderId="0"/>
    <xf numFmtId="183" fontId="28" fillId="68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2" fillId="0" borderId="0"/>
    <xf numFmtId="0" fontId="28" fillId="68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8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8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2" fillId="68" borderId="0" applyBorder="0">
      <alignment horizontal="centerContinuous"/>
    </xf>
    <xf numFmtId="0" fontId="35" fillId="6" borderId="0" applyBorder="0">
      <alignment horizontal="centerContinuous"/>
    </xf>
    <xf numFmtId="0" fontId="2" fillId="0" borderId="0"/>
    <xf numFmtId="0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4" fillId="69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0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2" fillId="0" borderId="0"/>
    <xf numFmtId="0" fontId="2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2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2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2" fillId="0" borderId="0"/>
    <xf numFmtId="0" fontId="2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2" fillId="0" borderId="0"/>
    <xf numFmtId="0" fontId="2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49" fontId="32" fillId="4" borderId="0">
      <alignment horizontal="left"/>
    </xf>
    <xf numFmtId="49" fontId="32" fillId="4" borderId="0">
      <alignment horizontal="left"/>
    </xf>
    <xf numFmtId="0" fontId="2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2" fillId="0" borderId="0"/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4" fontId="9" fillId="68" borderId="0" applyNumberFormat="0" applyProtection="0">
      <alignment horizontal="left" vertical="center" indent="1"/>
    </xf>
    <xf numFmtId="4" fontId="9" fillId="68" borderId="0" applyNumberFormat="0" applyProtection="0">
      <alignment horizontal="left" vertical="center" indent="1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9" fillId="75" borderId="0" applyNumberFormat="0" applyProtection="0">
      <alignment horizontal="left" vertical="center" indent="1"/>
    </xf>
    <xf numFmtId="4" fontId="9" fillId="75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79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0" borderId="54" applyNumberFormat="0" applyAlignment="0" applyProtection="0">
      <alignment horizontal="left" vertical="center" indent="1"/>
    </xf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5" borderId="54" applyNumberFormat="0" applyAlignment="0" applyProtection="0">
      <alignment horizontal="left" vertical="center" indent="1"/>
    </xf>
    <xf numFmtId="0" fontId="131" fillId="79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2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6" fillId="14" borderId="21" applyNumberFormat="0" applyAlignment="0" applyProtection="0"/>
    <xf numFmtId="0" fontId="47" fillId="15" borderId="22" applyNumberFormat="0" applyAlignment="0" applyProtection="0"/>
    <xf numFmtId="0" fontId="48" fillId="15" borderId="21" applyNumberFormat="0" applyAlignment="0" applyProtection="0"/>
    <xf numFmtId="0" fontId="49" fillId="0" borderId="23" applyNumberFormat="0" applyFill="0" applyAlignment="0" applyProtection="0"/>
    <xf numFmtId="0" fontId="50" fillId="16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5" applyNumberFormat="0" applyFont="0" applyAlignment="0" applyProtection="0"/>
  </cellStyleXfs>
  <cellXfs count="47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4" fillId="0" borderId="0" xfId="6" applyNumberFormat="1" applyFont="1" applyFill="1"/>
    <xf numFmtId="0" fontId="14" fillId="10" borderId="0" xfId="0" applyFont="1" applyFill="1"/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26" fillId="0" borderId="0" xfId="6" applyNumberFormat="1" applyFont="1" applyFill="1"/>
    <xf numFmtId="165" fontId="2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6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171" fontId="14" fillId="0" borderId="0" xfId="6" applyNumberFormat="1" applyFont="1" applyFill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1" fillId="0" borderId="4" xfId="8" applyFont="1" applyFill="1" applyBorder="1"/>
    <xf numFmtId="164" fontId="4" fillId="0" borderId="0" xfId="8" applyNumberFormat="1" applyFont="1" applyFill="1"/>
    <xf numFmtId="44" fontId="41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6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5" fontId="14" fillId="0" borderId="0" xfId="6" applyNumberFormat="1" applyFont="1" applyFill="1"/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70" fontId="4" fillId="0" borderId="0" xfId="6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40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65" fontId="14" fillId="10" borderId="0" xfId="6" applyNumberFormat="1" applyFont="1" applyFill="1"/>
    <xf numFmtId="166" fontId="14" fillId="9" borderId="0" xfId="6" applyNumberFormat="1" applyFont="1" applyFill="1"/>
    <xf numFmtId="166" fontId="14" fillId="9" borderId="0" xfId="0" applyNumberFormat="1" applyFont="1" applyFill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6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0" fontId="136" fillId="0" borderId="0" xfId="0" applyFont="1"/>
    <xf numFmtId="170" fontId="4" fillId="0" borderId="0" xfId="6" applyNumberFormat="1" applyFont="1" applyFill="1"/>
    <xf numFmtId="169" fontId="4" fillId="0" borderId="0" xfId="6" applyNumberFormat="1" applyFont="1" applyFill="1"/>
    <xf numFmtId="0" fontId="4" fillId="0" borderId="0" xfId="0" applyFont="1" applyAlignment="1">
      <alignment horizontal="center"/>
    </xf>
    <xf numFmtId="43" fontId="14" fillId="0" borderId="0" xfId="6" applyNumberFormat="1" applyFont="1"/>
    <xf numFmtId="44" fontId="0" fillId="0" borderId="0" xfId="0" applyNumberFormat="1" applyFill="1"/>
    <xf numFmtId="10" fontId="26" fillId="0" borderId="0" xfId="30" applyNumberFormat="1" applyFont="1" applyFill="1" applyBorder="1" applyAlignment="1">
      <alignment horizontal="right"/>
    </xf>
    <xf numFmtId="43" fontId="26" fillId="0" borderId="0" xfId="0" applyNumberFormat="1" applyFont="1" applyFill="1" applyBorder="1" applyAlignment="1">
      <alignment horizontal="right"/>
    </xf>
    <xf numFmtId="0" fontId="14" fillId="0" borderId="0" xfId="0" quotePrefix="1" applyFont="1"/>
    <xf numFmtId="0" fontId="15" fillId="0" borderId="0" xfId="0" quotePrefix="1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Documents%20and%20Settings/e011661/Local%20Settings/Temporary%20Internet%20Files/OLK29/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LG&amp;E/2020%20Rate%20Case/Electric%20Cost%20of%20Service%20Study/COSS%20-%20First%20Drafts/LGE%20COSS%20--%206CP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PS Sec"/>
      <sheetName val="PS Pri"/>
      <sheetName val="TOD Sec"/>
      <sheetName val="TOD Pri"/>
      <sheetName val="RTS"/>
      <sheetName val="Special Contract"/>
      <sheetName val="Meters"/>
      <sheetName val="Services"/>
    </sheetNames>
    <sheetDataSet>
      <sheetData sheetId="0" refreshError="1"/>
      <sheetData sheetId="1" refreshError="1"/>
      <sheetData sheetId="2" refreshError="1"/>
      <sheetData sheetId="3">
        <row r="36">
          <cell r="F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0"/>
  <sheetViews>
    <sheetView view="pageBreakPreview" topLeftCell="A3" zoomScale="85" zoomScaleNormal="85" zoomScaleSheetLayoutView="8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N9" sqref="N9"/>
    </sheetView>
  </sheetViews>
  <sheetFormatPr defaultColWidth="9.15625" defaultRowHeight="13.8"/>
  <cols>
    <col min="1" max="1" width="7.68359375" style="44" customWidth="1"/>
    <col min="2" max="2" width="55.83984375" style="44" customWidth="1"/>
    <col min="3" max="3" width="14.41796875" style="44" customWidth="1"/>
    <col min="4" max="4" width="12.41796875" style="44" customWidth="1"/>
    <col min="5" max="5" width="2.68359375" style="44" customWidth="1"/>
    <col min="6" max="6" width="17.578125" style="60" customWidth="1"/>
    <col min="7" max="7" width="2.15625" style="44" customWidth="1"/>
    <col min="8" max="8" width="17.83984375" style="44" customWidth="1"/>
    <col min="9" max="9" width="19" style="44" hidden="1" customWidth="1"/>
    <col min="10" max="10" width="18" style="44" hidden="1" customWidth="1"/>
    <col min="11" max="11" width="18" style="44" customWidth="1"/>
    <col min="12" max="12" width="21.83984375" style="44" hidden="1" customWidth="1"/>
    <col min="13" max="13" width="22.26171875" style="44" hidden="1" customWidth="1"/>
    <col min="14" max="14" width="18.68359375" style="44" bestFit="1" customWidth="1"/>
    <col min="15" max="16" width="18.68359375" style="44" hidden="1" customWidth="1"/>
    <col min="17" max="17" width="17.578125" style="44" hidden="1" customWidth="1"/>
    <col min="18" max="18" width="17.578125" style="44" customWidth="1"/>
    <col min="19" max="19" width="16.26171875" style="44" customWidth="1"/>
    <col min="20" max="20" width="17.83984375" style="44" customWidth="1"/>
    <col min="21" max="21" width="16.26171875" style="44" customWidth="1"/>
    <col min="22" max="22" width="16.68359375" style="44" customWidth="1"/>
    <col min="23" max="23" width="16.68359375" style="43" customWidth="1"/>
    <col min="24" max="25" width="16.83984375" style="44" customWidth="1"/>
    <col min="26" max="28" width="17.578125" style="44" customWidth="1"/>
    <col min="29" max="29" width="17.83984375" style="44" customWidth="1"/>
    <col min="30" max="30" width="15" style="44" customWidth="1"/>
    <col min="31" max="31" width="18.26171875" style="44" bestFit="1" customWidth="1"/>
    <col min="32" max="32" width="18.26171875" style="44" customWidth="1"/>
    <col min="33" max="33" width="14.68359375" style="44" customWidth="1"/>
    <col min="34" max="35" width="17.578125" style="44" bestFit="1" customWidth="1"/>
    <col min="36" max="36" width="15.15625" style="44" bestFit="1" customWidth="1"/>
    <col min="37" max="37" width="17.578125" style="44" bestFit="1" customWidth="1"/>
    <col min="38" max="16384" width="9.15625" style="44"/>
  </cols>
  <sheetData>
    <row r="1" spans="1:37" hidden="1"/>
    <row r="2" spans="1:37" ht="14.1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845</v>
      </c>
      <c r="E3" s="46"/>
      <c r="F3" s="72" t="s">
        <v>846</v>
      </c>
      <c r="G3" s="46"/>
      <c r="H3" s="462" t="s">
        <v>334</v>
      </c>
      <c r="I3" s="463"/>
      <c r="J3" s="464"/>
      <c r="K3" s="50" t="s">
        <v>335</v>
      </c>
      <c r="L3" s="48"/>
      <c r="M3" s="49"/>
      <c r="N3" s="50" t="s">
        <v>172</v>
      </c>
      <c r="O3" s="332"/>
      <c r="P3" s="332"/>
      <c r="Q3" s="331" t="s">
        <v>337</v>
      </c>
      <c r="R3" s="50" t="s">
        <v>338</v>
      </c>
      <c r="S3" s="465" t="s">
        <v>345</v>
      </c>
      <c r="T3" s="466"/>
      <c r="U3" s="467"/>
      <c r="V3" s="460" t="s">
        <v>344</v>
      </c>
      <c r="W3" s="461"/>
      <c r="X3" s="460" t="s">
        <v>346</v>
      </c>
      <c r="Y3" s="461"/>
      <c r="Z3" s="50" t="s">
        <v>343</v>
      </c>
      <c r="AA3" s="50" t="s">
        <v>342</v>
      </c>
      <c r="AB3" s="50" t="s">
        <v>341</v>
      </c>
      <c r="AC3" s="50" t="s">
        <v>949</v>
      </c>
      <c r="AD3" s="50" t="s">
        <v>340</v>
      </c>
      <c r="AE3" s="50" t="s">
        <v>339</v>
      </c>
      <c r="AF3" s="45"/>
      <c r="AG3" s="45"/>
    </row>
    <row r="4" spans="1:37" ht="14.4" thickBot="1">
      <c r="A4" s="51" t="s">
        <v>849</v>
      </c>
      <c r="B4" s="51"/>
      <c r="C4" s="52" t="s">
        <v>850</v>
      </c>
      <c r="D4" s="52" t="s">
        <v>851</v>
      </c>
      <c r="E4" s="53"/>
      <c r="F4" s="73" t="s">
        <v>852</v>
      </c>
      <c r="G4" s="54"/>
      <c r="H4" s="53" t="s">
        <v>1410</v>
      </c>
      <c r="I4" s="53" t="s">
        <v>181</v>
      </c>
      <c r="J4" s="53" t="s">
        <v>181</v>
      </c>
      <c r="K4" s="53" t="s">
        <v>854</v>
      </c>
      <c r="L4" s="53"/>
      <c r="M4" s="53"/>
      <c r="N4" s="53" t="s">
        <v>853</v>
      </c>
      <c r="O4" s="53"/>
      <c r="P4" s="53"/>
      <c r="Q4" s="53" t="s">
        <v>336</v>
      </c>
      <c r="R4" s="53" t="s">
        <v>195</v>
      </c>
      <c r="S4" s="53" t="s">
        <v>336</v>
      </c>
      <c r="T4" s="53" t="s">
        <v>853</v>
      </c>
      <c r="U4" s="53" t="s">
        <v>855</v>
      </c>
      <c r="V4" s="53" t="s">
        <v>853</v>
      </c>
      <c r="W4" s="53" t="s">
        <v>855</v>
      </c>
      <c r="X4" s="53" t="s">
        <v>853</v>
      </c>
      <c r="Y4" s="53" t="s">
        <v>855</v>
      </c>
      <c r="Z4" s="53" t="s">
        <v>855</v>
      </c>
      <c r="AA4" s="53"/>
      <c r="AB4" s="53"/>
      <c r="AC4" s="53"/>
      <c r="AD4" s="53"/>
      <c r="AE4" s="53"/>
      <c r="AF4" s="53" t="s">
        <v>856</v>
      </c>
      <c r="AG4" s="55" t="s">
        <v>857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4.1">
      <c r="A6" s="218" t="s">
        <v>858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0"/>
    </row>
    <row r="7" spans="1:37">
      <c r="A7" s="60"/>
      <c r="AG7" s="58"/>
      <c r="AH7" s="44" t="s">
        <v>1169</v>
      </c>
      <c r="AJ7" s="74">
        <v>0.69</v>
      </c>
    </row>
    <row r="8" spans="1:37" ht="14.1">
      <c r="A8" s="59" t="s">
        <v>1056</v>
      </c>
      <c r="B8" s="60"/>
      <c r="AG8" s="58"/>
      <c r="AJ8" s="236"/>
    </row>
    <row r="9" spans="1:37">
      <c r="A9" s="61">
        <v>301</v>
      </c>
      <c r="B9" s="60" t="s">
        <v>1059</v>
      </c>
      <c r="C9" s="44" t="s">
        <v>1060</v>
      </c>
      <c r="D9" s="44" t="s">
        <v>1087</v>
      </c>
      <c r="F9" s="76">
        <v>2240.29</v>
      </c>
      <c r="H9" s="63">
        <f t="shared" ref="H9:Q13" si="1">IF(VLOOKUP($D9,$C$6:$AE$653,H$2,)=0,0,((VLOOKUP($D9,$C$6:$AE$653,H$2,)/VLOOKUP($D9,$C$6:$AE$653,4,))*$F9))</f>
        <v>1367.5565961188738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210.04264730429438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82.638659868934369</v>
      </c>
      <c r="S9" s="63">
        <f t="shared" si="2"/>
        <v>0</v>
      </c>
      <c r="T9" s="63">
        <f t="shared" si="2"/>
        <v>126.86510869053255</v>
      </c>
      <c r="U9" s="63">
        <f t="shared" si="2"/>
        <v>207.60572157806121</v>
      </c>
      <c r="V9" s="63">
        <f t="shared" si="2"/>
        <v>35.396523020898101</v>
      </c>
      <c r="W9" s="63">
        <f t="shared" si="2"/>
        <v>60.483993790191363</v>
      </c>
      <c r="X9" s="63">
        <f t="shared" si="2"/>
        <v>43.362734319401433</v>
      </c>
      <c r="Y9" s="63">
        <f t="shared" si="2"/>
        <v>24.170730937076776</v>
      </c>
      <c r="Z9" s="63">
        <f t="shared" si="2"/>
        <v>15.454063719872217</v>
      </c>
      <c r="AA9" s="63">
        <f t="shared" si="2"/>
        <v>15.760478788537872</v>
      </c>
      <c r="AB9" s="63">
        <f t="shared" si="2"/>
        <v>50.952741863325798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2240.2899999999995</v>
      </c>
      <c r="AG9" s="58" t="str">
        <f>IF(ABS(AF9-F9)&lt;1,"ok","err")</f>
        <v>ok</v>
      </c>
      <c r="AH9" s="44" t="s">
        <v>1170</v>
      </c>
      <c r="AJ9" s="74">
        <v>0.31</v>
      </c>
    </row>
    <row r="10" spans="1:37">
      <c r="A10" s="61">
        <v>302</v>
      </c>
      <c r="B10" s="60" t="s">
        <v>1058</v>
      </c>
      <c r="C10" s="44" t="s">
        <v>1060</v>
      </c>
      <c r="D10" s="44" t="s">
        <v>1087</v>
      </c>
      <c r="F10" s="79"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842</v>
      </c>
      <c r="C11" s="44" t="s">
        <v>1061</v>
      </c>
      <c r="D11" s="44" t="s">
        <v>1087</v>
      </c>
      <c r="F11" s="79"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840</v>
      </c>
      <c r="C12" s="44" t="s">
        <v>1060</v>
      </c>
      <c r="D12" s="44" t="s">
        <v>1087</v>
      </c>
      <c r="F12" s="239"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841</v>
      </c>
      <c r="C13" s="44" t="s">
        <v>1060</v>
      </c>
      <c r="D13" s="44" t="s">
        <v>1087</v>
      </c>
      <c r="F13" s="79"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860</v>
      </c>
      <c r="C15" s="44" t="s">
        <v>861</v>
      </c>
      <c r="F15" s="80">
        <f>SUM(F9:F14)</f>
        <v>2240.29</v>
      </c>
      <c r="G15" s="64">
        <f>SUM(G9:G11)</f>
        <v>0</v>
      </c>
      <c r="H15" s="64">
        <f>SUM(H9:H13)</f>
        <v>1367.5565961188738</v>
      </c>
      <c r="I15" s="64">
        <f>SUM(I9:I13)</f>
        <v>0</v>
      </c>
      <c r="J15" s="64">
        <f t="shared" ref="J15:AE15" si="3">SUM(J9:J13)</f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210.04264730429438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82.638659868934369</v>
      </c>
      <c r="S15" s="64">
        <f t="shared" si="3"/>
        <v>0</v>
      </c>
      <c r="T15" s="64">
        <f t="shared" si="3"/>
        <v>126.86510869053255</v>
      </c>
      <c r="U15" s="64">
        <f t="shared" si="3"/>
        <v>207.60572157806121</v>
      </c>
      <c r="V15" s="64">
        <f t="shared" si="3"/>
        <v>35.396523020898101</v>
      </c>
      <c r="W15" s="64">
        <f t="shared" si="3"/>
        <v>60.483993790191363</v>
      </c>
      <c r="X15" s="64">
        <f t="shared" si="3"/>
        <v>43.362734319401433</v>
      </c>
      <c r="Y15" s="64">
        <f t="shared" si="3"/>
        <v>24.170730937076776</v>
      </c>
      <c r="Z15" s="64">
        <f t="shared" si="3"/>
        <v>15.454063719872217</v>
      </c>
      <c r="AA15" s="64">
        <f t="shared" si="3"/>
        <v>15.760478788537872</v>
      </c>
      <c r="AB15" s="64">
        <f t="shared" si="3"/>
        <v>50.952741863325798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2240.2899999999995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4.1">
      <c r="A17" s="59" t="s">
        <v>184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185</v>
      </c>
      <c r="C19" s="44" t="s">
        <v>186</v>
      </c>
      <c r="D19" s="44" t="s">
        <v>616</v>
      </c>
      <c r="F19" s="80">
        <v>3109195352.1299877</v>
      </c>
      <c r="G19" s="64"/>
      <c r="H19" s="63">
        <f t="shared" ref="H19:AE19" si="4">IF(VLOOKUP($D19,$C$6:$AE$653,H$2,)=0,0,((VLOOKUP($D19,$C$6:$AE$653,H$2,)/VLOOKUP($D19,$C$6:$AE$653,4,))*$F19))</f>
        <v>3109195352.1299877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3109195352.1299877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4.1">
      <c r="A21" s="59" t="s">
        <v>291</v>
      </c>
      <c r="B21" s="60"/>
      <c r="F21" s="8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292</v>
      </c>
      <c r="C23" s="44" t="s">
        <v>293</v>
      </c>
      <c r="D23" s="44" t="s">
        <v>616</v>
      </c>
      <c r="F23" s="80">
        <v>159587944.78846142</v>
      </c>
      <c r="G23" s="64"/>
      <c r="H23" s="63">
        <f t="shared" ref="H23:AE23" si="5">IF(VLOOKUP($D23,$C$6:$AE$653,H$2,)=0,0,((VLOOKUP($D23,$C$6:$AE$653,H$2,)/VLOOKUP($D23,$C$6:$AE$653,4,))*$F23))</f>
        <v>159587944.78846142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159587944.78846142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4.1">
      <c r="A25" s="59" t="s">
        <v>187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188</v>
      </c>
      <c r="C27" s="44" t="s">
        <v>189</v>
      </c>
      <c r="D27" s="44" t="s">
        <v>616</v>
      </c>
      <c r="F27" s="80">
        <v>418289974.94692248</v>
      </c>
      <c r="G27" s="64"/>
      <c r="H27" s="63">
        <f t="shared" ref="H27:AE27" si="6">IF(VLOOKUP($D27,$C$6:$AE$653,H$2,)=0,0,((VLOOKUP($D27,$C$6:$AE$653,H$2,)/VLOOKUP($D27,$C$6:$AE$653,4,))*$F27))</f>
        <v>418289974.94692248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418289974.94692248</v>
      </c>
      <c r="AG27" s="58" t="str">
        <f>IF(ABS(AF27-F27)&lt;1,"ok","err")</f>
        <v>ok</v>
      </c>
    </row>
    <row r="28" spans="1:33">
      <c r="A28" s="60"/>
      <c r="B28" s="60"/>
      <c r="F28" s="80"/>
      <c r="AG28" s="58"/>
    </row>
    <row r="29" spans="1:33" ht="14.1">
      <c r="A29" s="60"/>
      <c r="B29" s="65" t="s">
        <v>190</v>
      </c>
      <c r="C29" s="44" t="s">
        <v>191</v>
      </c>
      <c r="F29" s="80">
        <f>SUM(F19:F28)</f>
        <v>3687073271.8653712</v>
      </c>
      <c r="G29" s="64"/>
      <c r="H29" s="64">
        <f t="shared" ref="H29:Q29" si="7">H19+H23+H27</f>
        <v>3687073271.8653712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3687073271.8653712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4.1">
      <c r="A31" s="59" t="s">
        <v>1054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1057</v>
      </c>
      <c r="C33" s="44" t="s">
        <v>1085</v>
      </c>
      <c r="D33" s="44" t="s">
        <v>1086</v>
      </c>
      <c r="F33" s="80">
        <v>566296585.47615314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566296585.47615314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566296585.47615314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4.1">
      <c r="A35" s="60"/>
      <c r="B35" s="65" t="s">
        <v>1057</v>
      </c>
      <c r="C35" s="44" t="s">
        <v>1217</v>
      </c>
      <c r="F35" s="80">
        <f>SUM(F33:F33)</f>
        <v>566296585.47615314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566296585.47615314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566296585.47615314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4.1">
      <c r="A37" s="59" t="s">
        <v>862</v>
      </c>
      <c r="B37" s="60"/>
      <c r="W37" s="44"/>
      <c r="AG37" s="58"/>
    </row>
    <row r="38" spans="1:33">
      <c r="A38" s="272"/>
      <c r="B38" s="42" t="s">
        <v>294</v>
      </c>
      <c r="C38" s="44" t="s">
        <v>863</v>
      </c>
      <c r="D38" s="44" t="s">
        <v>864</v>
      </c>
      <c r="F38" s="76">
        <v>222802328.53999999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222802328.53999999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222802328.53999999</v>
      </c>
      <c r="AG38" s="58" t="str">
        <f t="shared" ref="AG38:AG46" si="13">IF(ABS(AF38-F38)&lt;1,"ok","err")</f>
        <v>ok</v>
      </c>
    </row>
    <row r="39" spans="1:33">
      <c r="A39" s="272"/>
      <c r="B39" s="42" t="s">
        <v>295</v>
      </c>
      <c r="C39" s="44" t="s">
        <v>866</v>
      </c>
      <c r="D39" s="44" t="s">
        <v>867</v>
      </c>
      <c r="F39" s="79">
        <v>684235593.34999943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173756510.84899411</v>
      </c>
      <c r="U39" s="63">
        <f t="shared" si="11"/>
        <v>308766429.58142555</v>
      </c>
      <c r="V39" s="63">
        <f t="shared" si="11"/>
        <v>72636726.3163407</v>
      </c>
      <c r="W39" s="63">
        <f t="shared" si="11"/>
        <v>129075926.60323913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684235593.34999955</v>
      </c>
      <c r="AG39" s="58" t="str">
        <f t="shared" si="13"/>
        <v>ok</v>
      </c>
    </row>
    <row r="40" spans="1:33">
      <c r="A40" s="272"/>
      <c r="B40" s="42" t="s">
        <v>296</v>
      </c>
      <c r="C40" s="44" t="s">
        <v>869</v>
      </c>
      <c r="D40" s="44" t="s">
        <v>868</v>
      </c>
      <c r="F40" s="79">
        <v>476035911.19461513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168284873.55342373</v>
      </c>
      <c r="U40" s="63">
        <f t="shared" si="11"/>
        <v>250959953.4356738</v>
      </c>
      <c r="V40" s="63">
        <f t="shared" si="11"/>
        <v>22795941.200094756</v>
      </c>
      <c r="W40" s="63">
        <f t="shared" si="11"/>
        <v>33995143.005422823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476035911.19461513</v>
      </c>
      <c r="AG40" s="58" t="str">
        <f t="shared" si="13"/>
        <v>ok</v>
      </c>
    </row>
    <row r="41" spans="1:33">
      <c r="A41" s="272"/>
      <c r="B41" s="42" t="s">
        <v>1221</v>
      </c>
      <c r="C41" s="44" t="s">
        <v>870</v>
      </c>
      <c r="D41" s="44" t="s">
        <v>871</v>
      </c>
      <c r="F41" s="79">
        <v>182077169.90307674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116910392.70901713</v>
      </c>
      <c r="Y41" s="63">
        <f t="shared" si="11"/>
        <v>65166777.19405961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182077169.90307674</v>
      </c>
      <c r="AG41" s="58" t="str">
        <f t="shared" si="13"/>
        <v>ok</v>
      </c>
    </row>
    <row r="42" spans="1:33">
      <c r="A42" s="272"/>
      <c r="B42" s="42" t="s">
        <v>297</v>
      </c>
      <c r="C42" s="44" t="s">
        <v>872</v>
      </c>
      <c r="D42" s="44" t="s">
        <v>873</v>
      </c>
      <c r="F42" s="79">
        <v>41665745.640769236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41665745.640769236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41665745.640769236</v>
      </c>
      <c r="AG42" s="58" t="str">
        <f t="shared" si="13"/>
        <v>ok</v>
      </c>
    </row>
    <row r="43" spans="1:33">
      <c r="A43" s="272"/>
      <c r="B43" s="42" t="s">
        <v>298</v>
      </c>
      <c r="C43" s="44" t="s">
        <v>874</v>
      </c>
      <c r="D43" s="44" t="s">
        <v>875</v>
      </c>
      <c r="F43" s="79">
        <v>42308484.608643189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42308484.608643189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42308484.608643189</v>
      </c>
      <c r="AG43" s="58" t="str">
        <f t="shared" si="13"/>
        <v>ok</v>
      </c>
    </row>
    <row r="44" spans="1:33">
      <c r="A44" s="272"/>
      <c r="B44" s="42" t="s">
        <v>299</v>
      </c>
      <c r="C44" s="44" t="s">
        <v>876</v>
      </c>
      <c r="D44" s="44" t="s">
        <v>875</v>
      </c>
      <c r="F44" s="79">
        <v>183387.579999999</v>
      </c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183387.579999999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183387.579999999</v>
      </c>
      <c r="AG44" s="58" t="str">
        <f t="shared" si="13"/>
        <v>ok</v>
      </c>
    </row>
    <row r="45" spans="1:33">
      <c r="A45" s="272"/>
      <c r="B45" s="42" t="s">
        <v>300</v>
      </c>
      <c r="C45" s="44" t="s">
        <v>877</v>
      </c>
      <c r="D45" s="44" t="s">
        <v>878</v>
      </c>
      <c r="F45" s="79">
        <v>137373833.87692291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137373833.87692291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137373833.87692291</v>
      </c>
      <c r="AG45" s="58" t="str">
        <f t="shared" si="13"/>
        <v>ok</v>
      </c>
    </row>
    <row r="46" spans="1:33">
      <c r="A46" s="272"/>
      <c r="B46" s="42" t="s">
        <v>839</v>
      </c>
      <c r="C46" s="60" t="s">
        <v>1180</v>
      </c>
      <c r="D46" s="60" t="s">
        <v>867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4.1">
      <c r="A48" s="60"/>
      <c r="B48" s="65" t="s">
        <v>879</v>
      </c>
      <c r="C48" s="44" t="s">
        <v>859</v>
      </c>
      <c r="F48" s="76">
        <f>SUM(F38:F47)</f>
        <v>1786682454.6940265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222802328.53999999</v>
      </c>
      <c r="S48" s="62">
        <f t="shared" si="15"/>
        <v>0</v>
      </c>
      <c r="T48" s="62">
        <f t="shared" si="15"/>
        <v>342041384.40241784</v>
      </c>
      <c r="U48" s="62">
        <f>SUM(U38:U47)</f>
        <v>559726383.01709938</v>
      </c>
      <c r="V48" s="62">
        <f>SUM(V38:V47)</f>
        <v>95432667.516435459</v>
      </c>
      <c r="W48" s="62">
        <f>SUM(W38:W47)</f>
        <v>163071069.60866195</v>
      </c>
      <c r="X48" s="62">
        <f t="shared" si="15"/>
        <v>116910392.70901713</v>
      </c>
      <c r="Y48" s="62">
        <f t="shared" si="15"/>
        <v>65166777.19405961</v>
      </c>
      <c r="Z48" s="62">
        <f>SUM(Z38:Z47)</f>
        <v>41665745.640769236</v>
      </c>
      <c r="AA48" s="62">
        <f>SUM(AA38:AA47)</f>
        <v>42491872.188643187</v>
      </c>
      <c r="AB48" s="62">
        <f t="shared" si="15"/>
        <v>137373833.87692291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1786682454.6940265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4.1">
      <c r="A50" s="60"/>
      <c r="B50" s="65" t="s">
        <v>816</v>
      </c>
      <c r="C50" s="44" t="s">
        <v>1087</v>
      </c>
      <c r="F50" s="80">
        <f>F29+F35+F48</f>
        <v>6040052312.0355511</v>
      </c>
      <c r="G50" s="64"/>
      <c r="H50" s="80">
        <f>H29+H35+H48</f>
        <v>3687073271.8653712</v>
      </c>
      <c r="I50" s="80">
        <f>I29+I35+I48</f>
        <v>0</v>
      </c>
      <c r="J50" s="80">
        <f>J29+J35+J48</f>
        <v>0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566296585.47615314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222802328.53999999</v>
      </c>
      <c r="S50" s="80">
        <f t="shared" si="16"/>
        <v>0</v>
      </c>
      <c r="T50" s="80">
        <f t="shared" si="16"/>
        <v>342041384.40241784</v>
      </c>
      <c r="U50" s="80">
        <f t="shared" si="16"/>
        <v>559726383.01709938</v>
      </c>
      <c r="V50" s="80">
        <f t="shared" si="16"/>
        <v>95432667.516435459</v>
      </c>
      <c r="W50" s="80">
        <f t="shared" si="16"/>
        <v>163071069.60866195</v>
      </c>
      <c r="X50" s="80">
        <f t="shared" si="16"/>
        <v>116910392.70901713</v>
      </c>
      <c r="Y50" s="80">
        <f t="shared" si="16"/>
        <v>65166777.19405961</v>
      </c>
      <c r="Z50" s="80">
        <f t="shared" si="16"/>
        <v>41665745.640769236</v>
      </c>
      <c r="AA50" s="80">
        <f t="shared" si="16"/>
        <v>42491872.188643187</v>
      </c>
      <c r="AB50" s="80">
        <f t="shared" si="16"/>
        <v>137373833.87692291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6040052312.0355501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4.1">
      <c r="A56" s="59" t="s">
        <v>1064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4.1">
      <c r="A58" s="59" t="s">
        <v>880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881</v>
      </c>
      <c r="C60" s="44" t="s">
        <v>882</v>
      </c>
      <c r="D60" s="44" t="s">
        <v>1087</v>
      </c>
      <c r="F60" s="76">
        <v>21026364.709230766</v>
      </c>
      <c r="G60" s="62"/>
      <c r="H60" s="63">
        <f t="shared" ref="H60:AE60" si="17">IF(VLOOKUP($D60,$C$6:$AE$653,H$2,)=0,0,((VLOOKUP($D60,$C$6:$AE$653,H$2,)/VLOOKUP($D60,$C$6:$AE$653,4,))*$F60))</f>
        <v>12835277.464305799</v>
      </c>
      <c r="I60" s="63">
        <f t="shared" si="17"/>
        <v>0</v>
      </c>
      <c r="J60" s="63">
        <f t="shared" si="17"/>
        <v>0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1971366.7903317963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775609.67619651312</v>
      </c>
      <c r="S60" s="63">
        <f t="shared" si="17"/>
        <v>0</v>
      </c>
      <c r="T60" s="63">
        <f t="shared" si="17"/>
        <v>1190699.4381099497</v>
      </c>
      <c r="U60" s="63">
        <f t="shared" si="17"/>
        <v>1948494.8902255218</v>
      </c>
      <c r="V60" s="63">
        <f t="shared" si="17"/>
        <v>332216.00885424932</v>
      </c>
      <c r="W60" s="63">
        <f t="shared" si="17"/>
        <v>567675.84219159686</v>
      </c>
      <c r="X60" s="63">
        <f t="shared" si="17"/>
        <v>406983.32206509518</v>
      </c>
      <c r="Y60" s="63">
        <f t="shared" si="17"/>
        <v>226855.72134485419</v>
      </c>
      <c r="Z60" s="63">
        <f t="shared" si="17"/>
        <v>145044.96293503285</v>
      </c>
      <c r="AA60" s="63">
        <f t="shared" si="17"/>
        <v>147920.83837355557</v>
      </c>
      <c r="AB60" s="63">
        <f t="shared" si="17"/>
        <v>478219.7542968003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21026364.709230766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192</v>
      </c>
      <c r="C62" s="44" t="s">
        <v>193</v>
      </c>
      <c r="D62" s="44" t="s">
        <v>1087</v>
      </c>
      <c r="F62" s="76">
        <v>231173766.98206067</v>
      </c>
      <c r="H62" s="63">
        <f t="shared" ref="H62:Q67" si="18">IF(VLOOKUP($D62,$C$6:$AE$653,H$2,)=0,0,((VLOOKUP($D62,$C$6:$AE$653,H$2,)/VLOOKUP($D62,$C$6:$AE$653,4,))*$F62))</f>
        <v>141117091.93272504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21674135.939640898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8527418.4593292847</v>
      </c>
      <c r="S62" s="63">
        <f t="shared" si="19"/>
        <v>0</v>
      </c>
      <c r="T62" s="63">
        <f t="shared" si="19"/>
        <v>13091111.005530076</v>
      </c>
      <c r="U62" s="63">
        <f t="shared" si="19"/>
        <v>21422671.48638314</v>
      </c>
      <c r="V62" s="63">
        <f t="shared" si="19"/>
        <v>3652539.4323093188</v>
      </c>
      <c r="W62" s="63">
        <f t="shared" si="19"/>
        <v>6241295.8530360367</v>
      </c>
      <c r="X62" s="63">
        <f t="shared" si="19"/>
        <v>4474566.5245384807</v>
      </c>
      <c r="Y62" s="63">
        <f t="shared" si="19"/>
        <v>2494158.7568724905</v>
      </c>
      <c r="Z62" s="63">
        <f t="shared" si="19"/>
        <v>1594692.7073297019</v>
      </c>
      <c r="AA62" s="63">
        <f t="shared" si="19"/>
        <v>1626311.4377991974</v>
      </c>
      <c r="AB62" s="63">
        <f t="shared" si="19"/>
        <v>5257773.4465669924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231173766.9820607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1062</v>
      </c>
      <c r="C63" s="44" t="s">
        <v>1063</v>
      </c>
      <c r="D63" s="44" t="s">
        <v>1087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1172</v>
      </c>
      <c r="C64" s="44" t="s">
        <v>139</v>
      </c>
      <c r="D64" s="44" t="s">
        <v>859</v>
      </c>
      <c r="F64" s="79">
        <f>3120150-F65</f>
        <v>2908740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362724.80507926841</v>
      </c>
      <c r="S64" s="63">
        <f t="shared" si="19"/>
        <v>0</v>
      </c>
      <c r="T64" s="63">
        <f t="shared" si="19"/>
        <v>556847.38709602959</v>
      </c>
      <c r="U64" s="63">
        <f t="shared" si="19"/>
        <v>911241.11901349225</v>
      </c>
      <c r="V64" s="63">
        <f t="shared" si="19"/>
        <v>155365.50246098108</v>
      </c>
      <c r="W64" s="63">
        <f t="shared" si="19"/>
        <v>265481.61469169951</v>
      </c>
      <c r="X64" s="63">
        <f t="shared" si="19"/>
        <v>190331.49108002119</v>
      </c>
      <c r="Y64" s="63">
        <f t="shared" si="19"/>
        <v>106092.27789607996</v>
      </c>
      <c r="Z64" s="63">
        <f t="shared" si="19"/>
        <v>67832.322781658469</v>
      </c>
      <c r="AA64" s="63">
        <f t="shared" si="19"/>
        <v>69177.266494823445</v>
      </c>
      <c r="AB64" s="63">
        <f t="shared" si="19"/>
        <v>223646.21340594659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2908740.0000000005</v>
      </c>
      <c r="AG64" s="58" t="str">
        <f t="shared" si="21"/>
        <v>ok</v>
      </c>
    </row>
    <row r="65" spans="1:33">
      <c r="A65" s="61">
        <v>105</v>
      </c>
      <c r="B65" s="60" t="s">
        <v>1173</v>
      </c>
      <c r="C65" s="44" t="s">
        <v>139</v>
      </c>
      <c r="D65" s="44" t="s">
        <v>616</v>
      </c>
      <c r="F65" s="79">
        <v>211410</v>
      </c>
      <c r="H65" s="63">
        <f t="shared" si="18"/>
        <v>211410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211410</v>
      </c>
      <c r="AG65" s="58" t="str">
        <f t="shared" si="21"/>
        <v>ok</v>
      </c>
    </row>
    <row r="66" spans="1:33">
      <c r="A66" s="60"/>
      <c r="B66" s="60" t="s">
        <v>714</v>
      </c>
      <c r="D66" s="44" t="s">
        <v>616</v>
      </c>
      <c r="F66" s="79">
        <v>0</v>
      </c>
      <c r="H66" s="63">
        <f t="shared" si="18"/>
        <v>0</v>
      </c>
      <c r="I66" s="63">
        <f t="shared" si="18"/>
        <v>0</v>
      </c>
      <c r="J66" s="63">
        <f t="shared" si="18"/>
        <v>0</v>
      </c>
      <c r="K66" s="63">
        <f t="shared" si="18"/>
        <v>0</v>
      </c>
      <c r="L66" s="63">
        <f t="shared" si="18"/>
        <v>0</v>
      </c>
      <c r="M66" s="63">
        <f t="shared" si="18"/>
        <v>0</v>
      </c>
      <c r="N66" s="63">
        <f t="shared" si="18"/>
        <v>0</v>
      </c>
      <c r="O66" s="63">
        <f t="shared" si="18"/>
        <v>0</v>
      </c>
      <c r="P66" s="63">
        <f t="shared" si="18"/>
        <v>0</v>
      </c>
      <c r="Q66" s="63">
        <f t="shared" si="18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22</v>
      </c>
      <c r="D67" s="44" t="s">
        <v>859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883</v>
      </c>
      <c r="C69" s="60" t="s">
        <v>884</v>
      </c>
      <c r="F69" s="80">
        <f>F15+SUM(F50:F67)</f>
        <v>6295374834.0168419</v>
      </c>
      <c r="G69" s="80"/>
      <c r="H69" s="80">
        <f t="shared" ref="H69:AE69" si="22">H15+SUM(H50:H67)</f>
        <v>3841238418.8189983</v>
      </c>
      <c r="I69" s="80">
        <f t="shared" si="22"/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589942298.24877322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232468164.11926493</v>
      </c>
      <c r="S69" s="80">
        <f t="shared" si="22"/>
        <v>0</v>
      </c>
      <c r="T69" s="80">
        <f t="shared" si="22"/>
        <v>356880169.09826255</v>
      </c>
      <c r="U69" s="80">
        <f t="shared" si="22"/>
        <v>584008998.11844313</v>
      </c>
      <c r="V69" s="80">
        <f t="shared" si="22"/>
        <v>99572823.856583029</v>
      </c>
      <c r="W69" s="80">
        <f t="shared" si="22"/>
        <v>170145583.40257511</v>
      </c>
      <c r="X69" s="80">
        <f t="shared" si="22"/>
        <v>121982317.40943505</v>
      </c>
      <c r="Y69" s="80">
        <f t="shared" si="22"/>
        <v>67993908.120903969</v>
      </c>
      <c r="Z69" s="80">
        <f t="shared" si="22"/>
        <v>43473331.087879352</v>
      </c>
      <c r="AA69" s="80">
        <f t="shared" si="22"/>
        <v>44335297.491789557</v>
      </c>
      <c r="AB69" s="80">
        <f t="shared" si="22"/>
        <v>143333524.24393451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6295374834.0168438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4.1">
      <c r="A71" s="59"/>
      <c r="B71" s="60"/>
      <c r="F71" s="80"/>
      <c r="AG71" s="58"/>
    </row>
    <row r="72" spans="1:33" ht="14.1">
      <c r="A72" s="59" t="s">
        <v>885</v>
      </c>
      <c r="B72" s="60"/>
      <c r="AG72" s="58"/>
    </row>
    <row r="73" spans="1:33" ht="14.1">
      <c r="A73" s="59"/>
      <c r="B73" s="60"/>
      <c r="AG73" s="58"/>
    </row>
    <row r="74" spans="1:33">
      <c r="A74" s="60"/>
      <c r="B74" s="60" t="s">
        <v>308</v>
      </c>
      <c r="C74" s="44" t="s">
        <v>122</v>
      </c>
      <c r="D74" s="44" t="s">
        <v>616</v>
      </c>
      <c r="F74" s="76">
        <v>17402860.541538469</v>
      </c>
      <c r="H74" s="63">
        <f t="shared" ref="H74:Q77" si="23">IF(VLOOKUP($D74,$C$6:$AE$653,H$2,)=0,0,((VLOOKUP($D74,$C$6:$AE$653,H$2,)/VLOOKUP($D74,$C$6:$AE$653,4,))*$F74))</f>
        <v>17402860.541538469</v>
      </c>
      <c r="I74" s="63">
        <f t="shared" si="23"/>
        <v>0</v>
      </c>
      <c r="J74" s="63">
        <f t="shared" si="23"/>
        <v>0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 t="shared" ref="AF74:AF77" si="25">SUM(H74:AE74)</f>
        <v>17402860.541538469</v>
      </c>
      <c r="AG74" s="58" t="str">
        <f t="shared" ref="AG74:AG77" si="26">IF(ABS(AF74-F74)&lt;1,"ok","err")</f>
        <v>ok</v>
      </c>
    </row>
    <row r="75" spans="1:33">
      <c r="A75" s="60"/>
      <c r="B75" s="60" t="s">
        <v>23</v>
      </c>
      <c r="C75" s="44" t="s">
        <v>123</v>
      </c>
      <c r="D75" s="44" t="s">
        <v>1086</v>
      </c>
      <c r="F75" s="79">
        <v>21580855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21580855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 t="shared" si="25"/>
        <v>21580855</v>
      </c>
      <c r="AG75" s="58" t="str">
        <f t="shared" si="26"/>
        <v>ok</v>
      </c>
    </row>
    <row r="76" spans="1:33">
      <c r="A76" s="60"/>
      <c r="B76" s="60" t="s">
        <v>1171</v>
      </c>
      <c r="C76" s="44" t="s">
        <v>124</v>
      </c>
      <c r="D76" s="44" t="s">
        <v>859</v>
      </c>
      <c r="F76" s="79">
        <v>16836832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2099581.4701047149</v>
      </c>
      <c r="S76" s="63">
        <f t="shared" si="24"/>
        <v>0</v>
      </c>
      <c r="T76" s="63">
        <f t="shared" si="24"/>
        <v>3223232.7076929589</v>
      </c>
      <c r="U76" s="63">
        <f t="shared" si="24"/>
        <v>5274590.9336421182</v>
      </c>
      <c r="V76" s="63">
        <f t="shared" si="24"/>
        <v>899311.33876906324</v>
      </c>
      <c r="W76" s="63">
        <f t="shared" si="24"/>
        <v>1536702.9523618049</v>
      </c>
      <c r="X76" s="63">
        <f t="shared" si="24"/>
        <v>1101707.0414075563</v>
      </c>
      <c r="Y76" s="63">
        <f t="shared" si="24"/>
        <v>614100.21501874074</v>
      </c>
      <c r="Z76" s="63">
        <f t="shared" si="24"/>
        <v>392637.85104359844</v>
      </c>
      <c r="AA76" s="63">
        <f t="shared" si="24"/>
        <v>400422.86838719551</v>
      </c>
      <c r="AB76" s="63">
        <f t="shared" si="24"/>
        <v>1294544.6215722514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 t="shared" si="25"/>
        <v>16836832.000000004</v>
      </c>
      <c r="AG76" s="58" t="str">
        <f t="shared" si="26"/>
        <v>ok</v>
      </c>
    </row>
    <row r="77" spans="1:33">
      <c r="A77" s="60"/>
      <c r="B77" s="60" t="s">
        <v>1193</v>
      </c>
      <c r="C77" s="44" t="s">
        <v>125</v>
      </c>
      <c r="D77" s="44" t="s">
        <v>1087</v>
      </c>
      <c r="F77" s="79">
        <f>188093+11168233</f>
        <v>11356326</v>
      </c>
      <c r="H77" s="63">
        <f t="shared" si="23"/>
        <v>6932325.069065284</v>
      </c>
      <c r="I77" s="63">
        <f t="shared" si="23"/>
        <v>0</v>
      </c>
      <c r="J77" s="63">
        <f t="shared" si="23"/>
        <v>0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1064733.9302905374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418906.28520179796</v>
      </c>
      <c r="S77" s="63">
        <f t="shared" si="24"/>
        <v>0</v>
      </c>
      <c r="T77" s="63">
        <f t="shared" si="24"/>
        <v>643095.99753385538</v>
      </c>
      <c r="U77" s="63">
        <f t="shared" si="24"/>
        <v>1052380.8318144961</v>
      </c>
      <c r="V77" s="63">
        <f t="shared" si="24"/>
        <v>179429.65182714007</v>
      </c>
      <c r="W77" s="63">
        <f t="shared" si="24"/>
        <v>306601.35574563505</v>
      </c>
      <c r="X77" s="63">
        <f t="shared" si="24"/>
        <v>219811.42940534966</v>
      </c>
      <c r="Y77" s="63">
        <f t="shared" si="24"/>
        <v>122524.62858814231</v>
      </c>
      <c r="Z77" s="63">
        <f t="shared" si="24"/>
        <v>78338.690806833751</v>
      </c>
      <c r="AA77" s="63">
        <f t="shared" si="24"/>
        <v>79891.949273853446</v>
      </c>
      <c r="AB77" s="63">
        <f t="shared" si="24"/>
        <v>258286.18044707392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 t="shared" si="25"/>
        <v>11356325.999999998</v>
      </c>
      <c r="AG77" s="58" t="str">
        <f t="shared" si="26"/>
        <v>ok</v>
      </c>
    </row>
    <row r="78" spans="1:33">
      <c r="A78" s="60"/>
      <c r="B78" s="60"/>
      <c r="F78" s="79"/>
      <c r="AF78" s="63"/>
      <c r="AG78" s="58"/>
    </row>
    <row r="79" spans="1:33" ht="14.1">
      <c r="A79" s="273" t="s">
        <v>886</v>
      </c>
      <c r="B79" s="60"/>
      <c r="C79" s="44" t="s">
        <v>887</v>
      </c>
      <c r="F79" s="76">
        <f>SUM(F74:F77)</f>
        <v>67176873.541538477</v>
      </c>
      <c r="G79" s="62"/>
      <c r="H79" s="62">
        <f t="shared" ref="H79:AE79" si="27">SUM(H74:H77)</f>
        <v>24335185.610603753</v>
      </c>
      <c r="I79" s="62">
        <f t="shared" si="27"/>
        <v>0</v>
      </c>
      <c r="J79" s="62">
        <f t="shared" si="27"/>
        <v>0</v>
      </c>
      <c r="K79" s="62">
        <f t="shared" si="27"/>
        <v>0</v>
      </c>
      <c r="L79" s="62">
        <f t="shared" si="27"/>
        <v>0</v>
      </c>
      <c r="M79" s="62">
        <f t="shared" si="27"/>
        <v>0</v>
      </c>
      <c r="N79" s="62">
        <f t="shared" si="27"/>
        <v>22645588.930290539</v>
      </c>
      <c r="O79" s="62">
        <f t="shared" si="27"/>
        <v>0</v>
      </c>
      <c r="P79" s="62">
        <f t="shared" si="27"/>
        <v>0</v>
      </c>
      <c r="Q79" s="62">
        <f t="shared" si="27"/>
        <v>0</v>
      </c>
      <c r="R79" s="62">
        <f t="shared" si="27"/>
        <v>2518487.755306513</v>
      </c>
      <c r="S79" s="62">
        <f t="shared" si="27"/>
        <v>0</v>
      </c>
      <c r="T79" s="62">
        <f t="shared" si="27"/>
        <v>3866328.7052268144</v>
      </c>
      <c r="U79" s="62">
        <f t="shared" si="27"/>
        <v>6326971.7654566141</v>
      </c>
      <c r="V79" s="62">
        <f t="shared" si="27"/>
        <v>1078740.9905962034</v>
      </c>
      <c r="W79" s="62">
        <f t="shared" si="27"/>
        <v>1843304.3081074399</v>
      </c>
      <c r="X79" s="62">
        <f t="shared" si="27"/>
        <v>1321518.470812906</v>
      </c>
      <c r="Y79" s="62">
        <f t="shared" si="27"/>
        <v>736624.84360688308</v>
      </c>
      <c r="Z79" s="62">
        <f t="shared" si="27"/>
        <v>470976.54185043217</v>
      </c>
      <c r="AA79" s="62">
        <f t="shared" si="27"/>
        <v>480314.81766104896</v>
      </c>
      <c r="AB79" s="62">
        <f t="shared" si="27"/>
        <v>1552830.8020193253</v>
      </c>
      <c r="AC79" s="62">
        <f t="shared" si="27"/>
        <v>0</v>
      </c>
      <c r="AD79" s="62">
        <f t="shared" si="27"/>
        <v>0</v>
      </c>
      <c r="AE79" s="62">
        <f t="shared" si="27"/>
        <v>0</v>
      </c>
      <c r="AF79" s="63">
        <f>SUM(H79:AE79)</f>
        <v>67176873.541538477</v>
      </c>
      <c r="AG79" s="58" t="str">
        <f>IF(ABS(AF79-F79)&lt;1,"ok","err")</f>
        <v>ok</v>
      </c>
    </row>
    <row r="80" spans="1:33" ht="14.1">
      <c r="A80" s="273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4.1">
      <c r="A81" s="65" t="s">
        <v>1065</v>
      </c>
      <c r="B81" s="60"/>
      <c r="F81" s="76">
        <f>F69+F79</f>
        <v>6362551707.5583801</v>
      </c>
      <c r="G81" s="62"/>
      <c r="H81" s="62">
        <f t="shared" ref="H81:AE81" si="28">H69+H79</f>
        <v>3865573604.4296021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0</v>
      </c>
      <c r="M81" s="62">
        <f t="shared" si="28"/>
        <v>0</v>
      </c>
      <c r="N81" s="62">
        <f t="shared" si="28"/>
        <v>612587887.1790638</v>
      </c>
      <c r="O81" s="62">
        <f t="shared" si="28"/>
        <v>0</v>
      </c>
      <c r="P81" s="62">
        <f t="shared" si="28"/>
        <v>0</v>
      </c>
      <c r="Q81" s="62">
        <f t="shared" si="28"/>
        <v>0</v>
      </c>
      <c r="R81" s="62">
        <f t="shared" si="28"/>
        <v>234986651.87457144</v>
      </c>
      <c r="S81" s="62">
        <f t="shared" si="28"/>
        <v>0</v>
      </c>
      <c r="T81" s="62">
        <f t="shared" si="28"/>
        <v>360746497.80348939</v>
      </c>
      <c r="U81" s="62">
        <f t="shared" si="28"/>
        <v>590335969.88389969</v>
      </c>
      <c r="V81" s="62">
        <f t="shared" si="28"/>
        <v>100651564.84717923</v>
      </c>
      <c r="W81" s="62">
        <f t="shared" si="28"/>
        <v>171988887.71068254</v>
      </c>
      <c r="X81" s="62">
        <f t="shared" si="28"/>
        <v>123303835.88024795</v>
      </c>
      <c r="Y81" s="62">
        <f t="shared" si="28"/>
        <v>68730532.964510858</v>
      </c>
      <c r="Z81" s="62">
        <f t="shared" si="28"/>
        <v>43944307.629729785</v>
      </c>
      <c r="AA81" s="62">
        <f t="shared" si="28"/>
        <v>44815612.309450604</v>
      </c>
      <c r="AB81" s="62">
        <f t="shared" si="28"/>
        <v>144886355.04595384</v>
      </c>
      <c r="AC81" s="62">
        <f t="shared" si="28"/>
        <v>0</v>
      </c>
      <c r="AD81" s="62">
        <f t="shared" si="28"/>
        <v>0</v>
      </c>
      <c r="AE81" s="62">
        <f t="shared" si="28"/>
        <v>0</v>
      </c>
      <c r="AF81" s="63">
        <f>SUM(H81:AE81)</f>
        <v>6362551707.558382</v>
      </c>
      <c r="AG81" s="58" t="str">
        <f>IF(ABS(AF81-F81)&lt;1,"ok","err")</f>
        <v>ok</v>
      </c>
    </row>
    <row r="82" spans="1:37" ht="14.1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4.1">
      <c r="A83" s="65"/>
      <c r="B83" s="60"/>
      <c r="F83" s="148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3"/>
      <c r="AG83" s="58"/>
    </row>
    <row r="84" spans="1:37" ht="14.1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4.1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4.1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4.1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4.1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4.1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4.1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4.1">
      <c r="A92" s="59" t="s">
        <v>889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4.1">
      <c r="A94" s="59" t="s">
        <v>890</v>
      </c>
      <c r="B94" s="60"/>
      <c r="AG94" s="58"/>
    </row>
    <row r="95" spans="1:37">
      <c r="A95" s="60" t="s">
        <v>858</v>
      </c>
      <c r="B95" s="60"/>
      <c r="F95" s="80">
        <f>F69</f>
        <v>6295374834.0168419</v>
      </c>
      <c r="G95" s="64"/>
      <c r="H95" s="64">
        <f t="shared" ref="H95:AE95" si="29">H69</f>
        <v>3841238418.8189983</v>
      </c>
      <c r="I95" s="64">
        <f t="shared" si="29"/>
        <v>0</v>
      </c>
      <c r="J95" s="64">
        <f t="shared" si="29"/>
        <v>0</v>
      </c>
      <c r="K95" s="64">
        <f t="shared" si="29"/>
        <v>0</v>
      </c>
      <c r="L95" s="64">
        <f t="shared" si="29"/>
        <v>0</v>
      </c>
      <c r="M95" s="64">
        <f t="shared" si="29"/>
        <v>0</v>
      </c>
      <c r="N95" s="64">
        <f t="shared" si="29"/>
        <v>589942298.24877322</v>
      </c>
      <c r="O95" s="64">
        <f t="shared" si="29"/>
        <v>0</v>
      </c>
      <c r="P95" s="64">
        <f t="shared" si="29"/>
        <v>0</v>
      </c>
      <c r="Q95" s="64">
        <f t="shared" si="29"/>
        <v>0</v>
      </c>
      <c r="R95" s="64">
        <f t="shared" si="29"/>
        <v>232468164.11926493</v>
      </c>
      <c r="S95" s="64">
        <f t="shared" si="29"/>
        <v>0</v>
      </c>
      <c r="T95" s="64">
        <f t="shared" si="29"/>
        <v>356880169.09826255</v>
      </c>
      <c r="U95" s="64">
        <f t="shared" si="29"/>
        <v>584008998.11844313</v>
      </c>
      <c r="V95" s="64">
        <f t="shared" si="29"/>
        <v>99572823.856583029</v>
      </c>
      <c r="W95" s="64">
        <f t="shared" si="29"/>
        <v>170145583.40257511</v>
      </c>
      <c r="X95" s="64">
        <f t="shared" si="29"/>
        <v>121982317.40943505</v>
      </c>
      <c r="Y95" s="64">
        <f t="shared" si="29"/>
        <v>67993908.120903969</v>
      </c>
      <c r="Z95" s="64">
        <f t="shared" si="29"/>
        <v>43473331.087879352</v>
      </c>
      <c r="AA95" s="64">
        <f t="shared" si="29"/>
        <v>44335297.491789557</v>
      </c>
      <c r="AB95" s="64">
        <f t="shared" si="29"/>
        <v>143333524.24393451</v>
      </c>
      <c r="AC95" s="64">
        <f t="shared" si="29"/>
        <v>0</v>
      </c>
      <c r="AD95" s="64">
        <f t="shared" si="29"/>
        <v>0</v>
      </c>
      <c r="AE95" s="64">
        <f t="shared" si="29"/>
        <v>0</v>
      </c>
      <c r="AF95" s="63">
        <f>SUM(H95:AE95)</f>
        <v>6295374834.0168438</v>
      </c>
      <c r="AG95" s="58" t="str">
        <f>IF(ABS(AF95-F95)&lt;1,"ok","err")</f>
        <v>ok</v>
      </c>
    </row>
    <row r="96" spans="1:37">
      <c r="A96" s="60" t="s">
        <v>885</v>
      </c>
      <c r="B96" s="60"/>
      <c r="F96" s="79">
        <f>F79</f>
        <v>67176873.541538477</v>
      </c>
      <c r="G96" s="67"/>
      <c r="H96" s="67">
        <f t="shared" ref="H96:AE96" si="30">H79</f>
        <v>24335185.610603753</v>
      </c>
      <c r="I96" s="67">
        <f t="shared" si="30"/>
        <v>0</v>
      </c>
      <c r="J96" s="67">
        <f t="shared" si="30"/>
        <v>0</v>
      </c>
      <c r="K96" s="67">
        <f>K79</f>
        <v>0</v>
      </c>
      <c r="L96" s="67">
        <f t="shared" si="30"/>
        <v>0</v>
      </c>
      <c r="M96" s="67">
        <f t="shared" si="30"/>
        <v>0</v>
      </c>
      <c r="N96" s="67">
        <f>N79</f>
        <v>22645588.930290539</v>
      </c>
      <c r="O96" s="67">
        <f>O79</f>
        <v>0</v>
      </c>
      <c r="P96" s="67">
        <f>P79</f>
        <v>0</v>
      </c>
      <c r="Q96" s="67">
        <f t="shared" si="30"/>
        <v>0</v>
      </c>
      <c r="R96" s="67">
        <f>R79</f>
        <v>2518487.755306513</v>
      </c>
      <c r="S96" s="67">
        <f t="shared" si="30"/>
        <v>0</v>
      </c>
      <c r="T96" s="67">
        <f t="shared" si="30"/>
        <v>3866328.7052268144</v>
      </c>
      <c r="U96" s="67">
        <f>U79</f>
        <v>6326971.7654566141</v>
      </c>
      <c r="V96" s="67">
        <f>V79</f>
        <v>1078740.9905962034</v>
      </c>
      <c r="W96" s="67">
        <f>W79</f>
        <v>1843304.3081074399</v>
      </c>
      <c r="X96" s="67">
        <f t="shared" si="30"/>
        <v>1321518.470812906</v>
      </c>
      <c r="Y96" s="67">
        <f t="shared" si="30"/>
        <v>736624.84360688308</v>
      </c>
      <c r="Z96" s="67">
        <f>Z79</f>
        <v>470976.54185043217</v>
      </c>
      <c r="AA96" s="67">
        <f>AA79</f>
        <v>480314.81766104896</v>
      </c>
      <c r="AB96" s="67">
        <f t="shared" si="30"/>
        <v>1552830.8020193253</v>
      </c>
      <c r="AC96" s="67">
        <f t="shared" si="30"/>
        <v>0</v>
      </c>
      <c r="AD96" s="67">
        <f t="shared" si="30"/>
        <v>0</v>
      </c>
      <c r="AE96" s="63">
        <f t="shared" si="30"/>
        <v>0</v>
      </c>
      <c r="AF96" s="63">
        <f>SUM(H96:AE96)</f>
        <v>67176873.541538477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4.1">
      <c r="A98" s="273" t="s">
        <v>891</v>
      </c>
      <c r="B98" s="60"/>
      <c r="C98" s="44" t="s">
        <v>892</v>
      </c>
      <c r="F98" s="80">
        <f>F95+F96</f>
        <v>6362551707.5583801</v>
      </c>
      <c r="G98" s="64"/>
      <c r="H98" s="64">
        <f t="shared" ref="H98:AE98" si="31">H95+H96</f>
        <v>3865573604.4296021</v>
      </c>
      <c r="I98" s="64">
        <f t="shared" si="31"/>
        <v>0</v>
      </c>
      <c r="J98" s="64">
        <f t="shared" si="31"/>
        <v>0</v>
      </c>
      <c r="K98" s="64">
        <f>K95+K96</f>
        <v>0</v>
      </c>
      <c r="L98" s="64">
        <f t="shared" si="31"/>
        <v>0</v>
      </c>
      <c r="M98" s="64">
        <f t="shared" si="31"/>
        <v>0</v>
      </c>
      <c r="N98" s="64">
        <f t="shared" si="31"/>
        <v>612587887.1790638</v>
      </c>
      <c r="O98" s="64">
        <f>O95+O96</f>
        <v>0</v>
      </c>
      <c r="P98" s="64">
        <f>P95+P96</f>
        <v>0</v>
      </c>
      <c r="Q98" s="64">
        <f t="shared" si="31"/>
        <v>0</v>
      </c>
      <c r="R98" s="64">
        <f>R95+R96</f>
        <v>234986651.87457144</v>
      </c>
      <c r="S98" s="64">
        <f t="shared" si="31"/>
        <v>0</v>
      </c>
      <c r="T98" s="64">
        <f t="shared" si="31"/>
        <v>360746497.80348939</v>
      </c>
      <c r="U98" s="64">
        <f>U95+U96</f>
        <v>590335969.88389969</v>
      </c>
      <c r="V98" s="64">
        <f>V95+V96</f>
        <v>100651564.84717923</v>
      </c>
      <c r="W98" s="64">
        <f>W95+W96</f>
        <v>171988887.71068254</v>
      </c>
      <c r="X98" s="64">
        <f t="shared" si="31"/>
        <v>123303835.88024795</v>
      </c>
      <c r="Y98" s="64">
        <f t="shared" si="31"/>
        <v>68730532.964510858</v>
      </c>
      <c r="Z98" s="64">
        <f>Z95+Z96</f>
        <v>43944307.629729785</v>
      </c>
      <c r="AA98" s="64">
        <f>AA95+AA96</f>
        <v>44815612.309450604</v>
      </c>
      <c r="AB98" s="64">
        <f t="shared" si="31"/>
        <v>144886355.04595384</v>
      </c>
      <c r="AC98" s="64">
        <f t="shared" si="31"/>
        <v>0</v>
      </c>
      <c r="AD98" s="64">
        <f t="shared" si="31"/>
        <v>0</v>
      </c>
      <c r="AE98" s="64">
        <f t="shared" si="31"/>
        <v>0</v>
      </c>
      <c r="AF98" s="63">
        <f>SUM(H98:AE98)</f>
        <v>6362551707.558382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4.1">
      <c r="A100" s="274" t="s">
        <v>715</v>
      </c>
      <c r="B100" s="60"/>
      <c r="W100" s="44"/>
      <c r="AG100" s="58"/>
    </row>
    <row r="101" spans="1:33">
      <c r="A101" s="68" t="s">
        <v>602</v>
      </c>
      <c r="B101" s="60"/>
      <c r="C101" s="44" t="s">
        <v>2</v>
      </c>
      <c r="D101" s="44" t="s">
        <v>616</v>
      </c>
      <c r="F101" s="76">
        <f>1104777278+21042613+180523966</f>
        <v>1306343857</v>
      </c>
      <c r="H101" s="63">
        <f t="shared" ref="H101:Q106" si="32">IF(VLOOKUP($D101,$C$6:$AE$653,H$2,)=0,0,((VLOOKUP($D101,$C$6:$AE$653,H$2,)/VLOOKUP($D101,$C$6:$AE$653,4,))*$F101))</f>
        <v>1306343857</v>
      </c>
      <c r="I101" s="63">
        <f t="shared" si="32"/>
        <v>0</v>
      </c>
      <c r="J101" s="63">
        <f t="shared" si="32"/>
        <v>0</v>
      </c>
      <c r="K101" s="63">
        <f t="shared" si="32"/>
        <v>0</v>
      </c>
      <c r="L101" s="63">
        <f t="shared" si="32"/>
        <v>0</v>
      </c>
      <c r="M101" s="63">
        <f t="shared" si="32"/>
        <v>0</v>
      </c>
      <c r="N101" s="63">
        <f t="shared" si="32"/>
        <v>0</v>
      </c>
      <c r="O101" s="63">
        <f t="shared" si="32"/>
        <v>0</v>
      </c>
      <c r="P101" s="63">
        <f t="shared" si="32"/>
        <v>0</v>
      </c>
      <c r="Q101" s="63">
        <f t="shared" si="32"/>
        <v>0</v>
      </c>
      <c r="R101" s="63">
        <f t="shared" ref="R101:AE106" si="33">IF(VLOOKUP($D101,$C$6:$AE$653,R$2,)=0,0,((VLOOKUP($D101,$C$6:$AE$653,R$2,)/VLOOKUP($D101,$C$6:$AE$653,4,))*$F101))</f>
        <v>0</v>
      </c>
      <c r="S101" s="63">
        <f t="shared" si="33"/>
        <v>0</v>
      </c>
      <c r="T101" s="63">
        <f t="shared" si="33"/>
        <v>0</v>
      </c>
      <c r="U101" s="63">
        <f t="shared" si="33"/>
        <v>0</v>
      </c>
      <c r="V101" s="63">
        <f t="shared" si="33"/>
        <v>0</v>
      </c>
      <c r="W101" s="63">
        <f t="shared" si="33"/>
        <v>0</v>
      </c>
      <c r="X101" s="63">
        <f t="shared" si="33"/>
        <v>0</v>
      </c>
      <c r="Y101" s="63">
        <f t="shared" si="33"/>
        <v>0</v>
      </c>
      <c r="Z101" s="63">
        <f t="shared" si="33"/>
        <v>0</v>
      </c>
      <c r="AA101" s="63">
        <f t="shared" si="33"/>
        <v>0</v>
      </c>
      <c r="AB101" s="63">
        <f t="shared" si="33"/>
        <v>0</v>
      </c>
      <c r="AC101" s="63">
        <f t="shared" si="33"/>
        <v>0</v>
      </c>
      <c r="AD101" s="63">
        <f t="shared" si="33"/>
        <v>0</v>
      </c>
      <c r="AE101" s="63">
        <f t="shared" si="33"/>
        <v>0</v>
      </c>
      <c r="AF101" s="63">
        <f t="shared" ref="AF101:AF106" si="34">SUM(H101:AE101)</f>
        <v>1306343857</v>
      </c>
      <c r="AG101" s="58" t="str">
        <f t="shared" ref="AG101:AG106" si="35">IF(ABS(AF101-F101)&lt;1,"ok","err")</f>
        <v>ok</v>
      </c>
    </row>
    <row r="102" spans="1:33">
      <c r="A102" s="60" t="s">
        <v>598</v>
      </c>
      <c r="B102" s="60"/>
      <c r="C102" s="44" t="s">
        <v>3</v>
      </c>
      <c r="D102" s="44" t="s">
        <v>1085</v>
      </c>
      <c r="F102" s="79">
        <v>180532194.92769</v>
      </c>
      <c r="H102" s="63">
        <f t="shared" si="32"/>
        <v>0</v>
      </c>
      <c r="I102" s="63">
        <f t="shared" si="32"/>
        <v>0</v>
      </c>
      <c r="J102" s="63">
        <f t="shared" si="32"/>
        <v>0</v>
      </c>
      <c r="K102" s="63">
        <f t="shared" si="32"/>
        <v>0</v>
      </c>
      <c r="L102" s="63">
        <f t="shared" si="32"/>
        <v>0</v>
      </c>
      <c r="M102" s="63">
        <f t="shared" si="32"/>
        <v>0</v>
      </c>
      <c r="N102" s="63">
        <f t="shared" si="32"/>
        <v>180532194.92769</v>
      </c>
      <c r="O102" s="63">
        <f t="shared" si="32"/>
        <v>0</v>
      </c>
      <c r="P102" s="63">
        <f t="shared" si="32"/>
        <v>0</v>
      </c>
      <c r="Q102" s="63">
        <f t="shared" si="32"/>
        <v>0</v>
      </c>
      <c r="R102" s="63">
        <f t="shared" si="33"/>
        <v>0</v>
      </c>
      <c r="S102" s="63">
        <f t="shared" si="33"/>
        <v>0</v>
      </c>
      <c r="T102" s="63">
        <f t="shared" si="33"/>
        <v>0</v>
      </c>
      <c r="U102" s="63">
        <f t="shared" si="33"/>
        <v>0</v>
      </c>
      <c r="V102" s="63">
        <f t="shared" si="33"/>
        <v>0</v>
      </c>
      <c r="W102" s="63">
        <f t="shared" si="33"/>
        <v>0</v>
      </c>
      <c r="X102" s="63">
        <f t="shared" si="33"/>
        <v>0</v>
      </c>
      <c r="Y102" s="63">
        <f t="shared" si="33"/>
        <v>0</v>
      </c>
      <c r="Z102" s="63">
        <f t="shared" si="33"/>
        <v>0</v>
      </c>
      <c r="AA102" s="63">
        <f t="shared" si="33"/>
        <v>0</v>
      </c>
      <c r="AB102" s="63">
        <f t="shared" si="33"/>
        <v>0</v>
      </c>
      <c r="AC102" s="63">
        <f t="shared" si="33"/>
        <v>0</v>
      </c>
      <c r="AD102" s="63">
        <f t="shared" si="33"/>
        <v>0</v>
      </c>
      <c r="AE102" s="63">
        <f t="shared" si="33"/>
        <v>0</v>
      </c>
      <c r="AF102" s="63">
        <f t="shared" si="34"/>
        <v>180532194.92769</v>
      </c>
      <c r="AG102" s="58" t="str">
        <f t="shared" si="35"/>
        <v>ok</v>
      </c>
    </row>
    <row r="103" spans="1:33">
      <c r="A103" s="60" t="s">
        <v>307</v>
      </c>
      <c r="B103" s="60"/>
      <c r="C103" s="44" t="s">
        <v>24</v>
      </c>
      <c r="D103" s="44" t="s">
        <v>859</v>
      </c>
      <c r="F103" s="79">
        <v>585717150.84657598</v>
      </c>
      <c r="H103" s="63">
        <f t="shared" si="32"/>
        <v>0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0</v>
      </c>
      <c r="N103" s="63">
        <f t="shared" si="32"/>
        <v>0</v>
      </c>
      <c r="O103" s="63">
        <f t="shared" si="32"/>
        <v>0</v>
      </c>
      <c r="P103" s="63">
        <f t="shared" si="32"/>
        <v>0</v>
      </c>
      <c r="Q103" s="63">
        <f t="shared" si="32"/>
        <v>0</v>
      </c>
      <c r="R103" s="63">
        <f t="shared" si="33"/>
        <v>73039920.84971799</v>
      </c>
      <c r="S103" s="63">
        <f t="shared" si="33"/>
        <v>0</v>
      </c>
      <c r="T103" s="63">
        <f t="shared" si="33"/>
        <v>112129329.20310748</v>
      </c>
      <c r="U103" s="63">
        <f t="shared" si="33"/>
        <v>183491667.16957456</v>
      </c>
      <c r="V103" s="63">
        <f t="shared" si="33"/>
        <v>31285106.073864467</v>
      </c>
      <c r="W103" s="63">
        <f t="shared" si="33"/>
        <v>53458588.584531695</v>
      </c>
      <c r="X103" s="63">
        <f t="shared" si="33"/>
        <v>38326016.994221039</v>
      </c>
      <c r="Y103" s="63">
        <f t="shared" si="33"/>
        <v>21363224.879540671</v>
      </c>
      <c r="Z103" s="63">
        <f t="shared" si="33"/>
        <v>13659025.844516281</v>
      </c>
      <c r="AA103" s="63">
        <f t="shared" si="33"/>
        <v>13929849.843816321</v>
      </c>
      <c r="AB103" s="63">
        <f t="shared" si="33"/>
        <v>45034421.403685562</v>
      </c>
      <c r="AC103" s="63">
        <f t="shared" si="33"/>
        <v>0</v>
      </c>
      <c r="AD103" s="63">
        <f t="shared" si="33"/>
        <v>0</v>
      </c>
      <c r="AE103" s="63">
        <f t="shared" si="33"/>
        <v>0</v>
      </c>
      <c r="AF103" s="63">
        <f t="shared" si="34"/>
        <v>585717150.84657609</v>
      </c>
      <c r="AG103" s="58" t="str">
        <f t="shared" si="35"/>
        <v>ok</v>
      </c>
    </row>
    <row r="104" spans="1:33">
      <c r="A104" s="68" t="s">
        <v>599</v>
      </c>
      <c r="B104" s="60"/>
      <c r="C104" s="44" t="s">
        <v>25</v>
      </c>
      <c r="D104" s="44" t="s">
        <v>1087</v>
      </c>
      <c r="F104" s="79">
        <f>8407336+96183805</f>
        <v>104591141</v>
      </c>
      <c r="H104" s="63">
        <f t="shared" si="32"/>
        <v>63846334.523722008</v>
      </c>
      <c r="I104" s="63">
        <f t="shared" si="32"/>
        <v>0</v>
      </c>
      <c r="J104" s="63">
        <f t="shared" si="32"/>
        <v>0</v>
      </c>
      <c r="K104" s="63">
        <f t="shared" si="32"/>
        <v>0</v>
      </c>
      <c r="L104" s="63">
        <f t="shared" si="32"/>
        <v>0</v>
      </c>
      <c r="M104" s="63">
        <f t="shared" si="32"/>
        <v>0</v>
      </c>
      <c r="N104" s="63">
        <f t="shared" si="32"/>
        <v>9806141.2318122759</v>
      </c>
      <c r="O104" s="63">
        <f t="shared" si="32"/>
        <v>0</v>
      </c>
      <c r="P104" s="63">
        <f t="shared" si="32"/>
        <v>0</v>
      </c>
      <c r="Q104" s="63">
        <f t="shared" si="32"/>
        <v>0</v>
      </c>
      <c r="R104" s="63">
        <f t="shared" si="33"/>
        <v>3858103.9626132138</v>
      </c>
      <c r="S104" s="63">
        <f t="shared" si="33"/>
        <v>0</v>
      </c>
      <c r="T104" s="63">
        <f t="shared" si="33"/>
        <v>5922878.9447043985</v>
      </c>
      <c r="U104" s="63">
        <f t="shared" si="33"/>
        <v>9692369.870854998</v>
      </c>
      <c r="V104" s="63">
        <f t="shared" si="33"/>
        <v>1652537.2742763211</v>
      </c>
      <c r="W104" s="63">
        <f t="shared" si="33"/>
        <v>2823781.7080614697</v>
      </c>
      <c r="X104" s="63">
        <f t="shared" si="33"/>
        <v>2024451.2359319795</v>
      </c>
      <c r="Y104" s="63">
        <f t="shared" si="33"/>
        <v>1128445.1242976843</v>
      </c>
      <c r="Z104" s="63">
        <f t="shared" si="33"/>
        <v>721495.0553491466</v>
      </c>
      <c r="AA104" s="63">
        <f t="shared" si="33"/>
        <v>735800.48083037196</v>
      </c>
      <c r="AB104" s="63">
        <f t="shared" si="33"/>
        <v>2378801.5875461265</v>
      </c>
      <c r="AC104" s="63">
        <f t="shared" si="33"/>
        <v>0</v>
      </c>
      <c r="AD104" s="63">
        <f t="shared" si="33"/>
        <v>0</v>
      </c>
      <c r="AE104" s="63">
        <f t="shared" si="33"/>
        <v>0</v>
      </c>
      <c r="AF104" s="63">
        <f t="shared" si="34"/>
        <v>104591140.99999999</v>
      </c>
      <c r="AG104" s="58" t="str">
        <f t="shared" si="35"/>
        <v>ok</v>
      </c>
    </row>
    <row r="105" spans="1:33">
      <c r="A105" s="68" t="s">
        <v>306</v>
      </c>
      <c r="B105" s="60"/>
      <c r="C105" s="44" t="s">
        <v>893</v>
      </c>
      <c r="D105" s="44" t="s">
        <v>1087</v>
      </c>
      <c r="F105" s="79">
        <v>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63">
        <f t="shared" si="32"/>
        <v>0</v>
      </c>
      <c r="L105" s="63">
        <f t="shared" si="32"/>
        <v>0</v>
      </c>
      <c r="M105" s="63">
        <f t="shared" si="32"/>
        <v>0</v>
      </c>
      <c r="N105" s="63">
        <f t="shared" si="32"/>
        <v>0</v>
      </c>
      <c r="O105" s="63">
        <f t="shared" si="32"/>
        <v>0</v>
      </c>
      <c r="P105" s="63">
        <f t="shared" si="32"/>
        <v>0</v>
      </c>
      <c r="Q105" s="63">
        <f t="shared" si="32"/>
        <v>0</v>
      </c>
      <c r="R105" s="63">
        <f t="shared" si="33"/>
        <v>0</v>
      </c>
      <c r="S105" s="63">
        <f t="shared" si="33"/>
        <v>0</v>
      </c>
      <c r="T105" s="63">
        <f t="shared" si="33"/>
        <v>0</v>
      </c>
      <c r="U105" s="63">
        <f t="shared" si="33"/>
        <v>0</v>
      </c>
      <c r="V105" s="63">
        <f t="shared" si="33"/>
        <v>0</v>
      </c>
      <c r="W105" s="63">
        <f t="shared" si="33"/>
        <v>0</v>
      </c>
      <c r="X105" s="63">
        <f t="shared" si="33"/>
        <v>0</v>
      </c>
      <c r="Y105" s="63">
        <f t="shared" si="33"/>
        <v>0</v>
      </c>
      <c r="Z105" s="63">
        <f t="shared" si="33"/>
        <v>0</v>
      </c>
      <c r="AA105" s="63">
        <f t="shared" si="33"/>
        <v>0</v>
      </c>
      <c r="AB105" s="63">
        <f t="shared" si="33"/>
        <v>0</v>
      </c>
      <c r="AC105" s="63">
        <f t="shared" si="33"/>
        <v>0</v>
      </c>
      <c r="AD105" s="63">
        <f t="shared" si="33"/>
        <v>0</v>
      </c>
      <c r="AE105" s="63">
        <f t="shared" si="33"/>
        <v>0</v>
      </c>
      <c r="AF105" s="63">
        <f t="shared" si="34"/>
        <v>0</v>
      </c>
      <c r="AG105" s="58" t="str">
        <f t="shared" si="35"/>
        <v>ok</v>
      </c>
    </row>
    <row r="106" spans="1:33">
      <c r="A106" s="68" t="s">
        <v>1247</v>
      </c>
      <c r="B106" s="60"/>
      <c r="C106" s="44" t="s">
        <v>1248</v>
      </c>
      <c r="D106" s="44" t="s">
        <v>1087</v>
      </c>
      <c r="F106" s="79">
        <v>0</v>
      </c>
      <c r="H106" s="63">
        <f t="shared" si="32"/>
        <v>0</v>
      </c>
      <c r="I106" s="63">
        <f t="shared" si="32"/>
        <v>0</v>
      </c>
      <c r="J106" s="63">
        <f t="shared" si="32"/>
        <v>0</v>
      </c>
      <c r="K106" s="63">
        <f t="shared" si="32"/>
        <v>0</v>
      </c>
      <c r="L106" s="63">
        <f t="shared" si="32"/>
        <v>0</v>
      </c>
      <c r="M106" s="63">
        <f t="shared" si="32"/>
        <v>0</v>
      </c>
      <c r="N106" s="63">
        <f t="shared" si="32"/>
        <v>0</v>
      </c>
      <c r="O106" s="63">
        <f t="shared" si="32"/>
        <v>0</v>
      </c>
      <c r="P106" s="63">
        <f t="shared" si="32"/>
        <v>0</v>
      </c>
      <c r="Q106" s="63">
        <f t="shared" si="32"/>
        <v>0</v>
      </c>
      <c r="R106" s="63">
        <f t="shared" si="33"/>
        <v>0</v>
      </c>
      <c r="S106" s="63">
        <f t="shared" si="33"/>
        <v>0</v>
      </c>
      <c r="T106" s="63">
        <f t="shared" si="33"/>
        <v>0</v>
      </c>
      <c r="U106" s="63">
        <f t="shared" si="33"/>
        <v>0</v>
      </c>
      <c r="V106" s="63">
        <f t="shared" si="33"/>
        <v>0</v>
      </c>
      <c r="W106" s="63">
        <f t="shared" si="33"/>
        <v>0</v>
      </c>
      <c r="X106" s="63">
        <f t="shared" si="33"/>
        <v>0</v>
      </c>
      <c r="Y106" s="63">
        <f t="shared" si="33"/>
        <v>0</v>
      </c>
      <c r="Z106" s="63">
        <f t="shared" si="33"/>
        <v>0</v>
      </c>
      <c r="AA106" s="63">
        <f t="shared" si="33"/>
        <v>0</v>
      </c>
      <c r="AB106" s="63">
        <f t="shared" si="33"/>
        <v>0</v>
      </c>
      <c r="AC106" s="63">
        <f t="shared" si="33"/>
        <v>0</v>
      </c>
      <c r="AD106" s="63">
        <f t="shared" si="33"/>
        <v>0</v>
      </c>
      <c r="AE106" s="63">
        <f t="shared" si="33"/>
        <v>0</v>
      </c>
      <c r="AF106" s="63">
        <f t="shared" si="34"/>
        <v>0</v>
      </c>
      <c r="AG106" s="58" t="str">
        <f t="shared" si="35"/>
        <v>ok</v>
      </c>
    </row>
    <row r="107" spans="1:33">
      <c r="A107" s="60"/>
      <c r="B107" s="60"/>
      <c r="W107" s="44"/>
      <c r="AF107" s="63"/>
      <c r="AG107" s="58"/>
    </row>
    <row r="108" spans="1:33">
      <c r="A108" s="60" t="s">
        <v>894</v>
      </c>
      <c r="B108" s="60"/>
      <c r="C108" s="44" t="s">
        <v>895</v>
      </c>
      <c r="F108" s="80">
        <f>SUM(F101:F106)</f>
        <v>2177184343.7742662</v>
      </c>
      <c r="G108" s="64"/>
      <c r="H108" s="64">
        <f t="shared" ref="H108:M108" si="36">SUM(H101:H106)</f>
        <v>1370190191.5237219</v>
      </c>
      <c r="I108" s="64">
        <f t="shared" si="36"/>
        <v>0</v>
      </c>
      <c r="J108" s="64">
        <f t="shared" si="36"/>
        <v>0</v>
      </c>
      <c r="K108" s="64">
        <f t="shared" si="36"/>
        <v>0</v>
      </c>
      <c r="L108" s="64">
        <f t="shared" si="36"/>
        <v>0</v>
      </c>
      <c r="M108" s="64">
        <f t="shared" si="36"/>
        <v>0</v>
      </c>
      <c r="N108" s="64">
        <f>SUM(N101:N106)</f>
        <v>190338336.15950227</v>
      </c>
      <c r="O108" s="64">
        <f>SUM(O101:O106)</f>
        <v>0</v>
      </c>
      <c r="P108" s="64">
        <f>SUM(P101:P106)</f>
        <v>0</v>
      </c>
      <c r="Q108" s="64">
        <f t="shared" ref="Q108:AB108" si="37">SUM(Q101:Q106)</f>
        <v>0</v>
      </c>
      <c r="R108" s="64">
        <f t="shared" si="37"/>
        <v>76898024.8123312</v>
      </c>
      <c r="S108" s="64">
        <f t="shared" si="37"/>
        <v>0</v>
      </c>
      <c r="T108" s="64">
        <f t="shared" si="37"/>
        <v>118052208.14781187</v>
      </c>
      <c r="U108" s="64">
        <f t="shared" si="37"/>
        <v>193184037.04042956</v>
      </c>
      <c r="V108" s="64">
        <f t="shared" si="37"/>
        <v>32937643.348140787</v>
      </c>
      <c r="W108" s="64">
        <f t="shared" si="37"/>
        <v>56282370.292593166</v>
      </c>
      <c r="X108" s="64">
        <f t="shared" si="37"/>
        <v>40350468.230153017</v>
      </c>
      <c r="Y108" s="64">
        <f t="shared" si="37"/>
        <v>22491670.003838357</v>
      </c>
      <c r="Z108" s="64">
        <f t="shared" si="37"/>
        <v>14380520.899865428</v>
      </c>
      <c r="AA108" s="64">
        <f t="shared" si="37"/>
        <v>14665650.324646693</v>
      </c>
      <c r="AB108" s="64">
        <f t="shared" si="37"/>
        <v>47413222.991231687</v>
      </c>
      <c r="AC108" s="64">
        <f>SUM(AC101:AC106)</f>
        <v>0</v>
      </c>
      <c r="AD108" s="64">
        <f>SUM(AD101:AD106)</f>
        <v>0</v>
      </c>
      <c r="AE108" s="64">
        <f>SUM(AE101:AE106)</f>
        <v>0</v>
      </c>
      <c r="AF108" s="63">
        <f>SUM(H108:AE108)</f>
        <v>2177184343.7742662</v>
      </c>
      <c r="AG108" s="58" t="str">
        <f>IF(ABS(AF108-F108)&lt;1,"ok","err")</f>
        <v>ok</v>
      </c>
    </row>
    <row r="109" spans="1:33">
      <c r="A109" s="60"/>
      <c r="B109" s="60"/>
      <c r="F109" s="80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3"/>
      <c r="AG109" s="58"/>
    </row>
    <row r="110" spans="1:33" ht="14.1">
      <c r="A110" s="59" t="s">
        <v>896</v>
      </c>
      <c r="B110" s="60"/>
      <c r="C110" s="44" t="s">
        <v>897</v>
      </c>
      <c r="F110" s="80">
        <f>F98-F108</f>
        <v>4185367363.7841139</v>
      </c>
      <c r="G110" s="64"/>
      <c r="H110" s="64">
        <f t="shared" ref="H110:M110" si="38">H98-H108</f>
        <v>2495383412.90588</v>
      </c>
      <c r="I110" s="64">
        <f t="shared" si="38"/>
        <v>0</v>
      </c>
      <c r="J110" s="64">
        <f t="shared" si="38"/>
        <v>0</v>
      </c>
      <c r="K110" s="64">
        <f t="shared" si="38"/>
        <v>0</v>
      </c>
      <c r="L110" s="64">
        <f t="shared" si="38"/>
        <v>0</v>
      </c>
      <c r="M110" s="64">
        <f t="shared" si="38"/>
        <v>0</v>
      </c>
      <c r="N110" s="64">
        <f>N98-N108</f>
        <v>422249551.01956153</v>
      </c>
      <c r="O110" s="64">
        <f>O98-O108</f>
        <v>0</v>
      </c>
      <c r="P110" s="64">
        <f>P98-P108</f>
        <v>0</v>
      </c>
      <c r="Q110" s="64">
        <f t="shared" ref="Q110:AB110" si="39">Q98-Q108</f>
        <v>0</v>
      </c>
      <c r="R110" s="64">
        <f t="shared" si="39"/>
        <v>158088627.06224024</v>
      </c>
      <c r="S110" s="64">
        <f t="shared" si="39"/>
        <v>0</v>
      </c>
      <c r="T110" s="64">
        <f t="shared" si="39"/>
        <v>242694289.6556775</v>
      </c>
      <c r="U110" s="64">
        <f t="shared" si="39"/>
        <v>397151932.8434701</v>
      </c>
      <c r="V110" s="64">
        <f t="shared" si="39"/>
        <v>67713921.499038443</v>
      </c>
      <c r="W110" s="64">
        <f t="shared" si="39"/>
        <v>115706517.41808937</v>
      </c>
      <c r="X110" s="64">
        <f t="shared" si="39"/>
        <v>82953367.650094926</v>
      </c>
      <c r="Y110" s="64">
        <f t="shared" si="39"/>
        <v>46238862.960672498</v>
      </c>
      <c r="Z110" s="64">
        <f t="shared" si="39"/>
        <v>29563786.729864359</v>
      </c>
      <c r="AA110" s="64">
        <f t="shared" si="39"/>
        <v>30149961.984803911</v>
      </c>
      <c r="AB110" s="64">
        <f t="shared" si="39"/>
        <v>97473132.05472216</v>
      </c>
      <c r="AC110" s="64">
        <f>AC98-AC108</f>
        <v>0</v>
      </c>
      <c r="AD110" s="64">
        <f>AD98-AD108</f>
        <v>0</v>
      </c>
      <c r="AE110" s="64">
        <f>AE98-AE108</f>
        <v>0</v>
      </c>
      <c r="AF110" s="63">
        <f>SUM(H110:AE110)</f>
        <v>4185367363.7841148</v>
      </c>
      <c r="AG110" s="58" t="str">
        <f>IF(ABS(AF110-F110)&lt;1,"ok","err")</f>
        <v>ok</v>
      </c>
    </row>
    <row r="111" spans="1:33">
      <c r="A111" s="60"/>
      <c r="B111" s="60"/>
      <c r="W111" s="44"/>
      <c r="AG111" s="58"/>
    </row>
    <row r="112" spans="1:33" ht="14.1">
      <c r="A112" s="59" t="s">
        <v>898</v>
      </c>
      <c r="B112" s="60"/>
      <c r="W112" s="44"/>
      <c r="AG112" s="58"/>
    </row>
    <row r="113" spans="1:33">
      <c r="A113" s="60" t="s">
        <v>20</v>
      </c>
      <c r="B113" s="60"/>
      <c r="C113" s="44" t="s">
        <v>900</v>
      </c>
      <c r="D113" s="44" t="s">
        <v>901</v>
      </c>
      <c r="F113" s="76">
        <v>124454261.20118438</v>
      </c>
      <c r="G113" s="62"/>
      <c r="H113" s="63">
        <f t="shared" ref="H113:Q116" si="40">IF(VLOOKUP($D113,$C$6:$AE$653,H$2,)=0,0,((VLOOKUP($D113,$C$6:$AE$653,H$2,)/VLOOKUP($D113,$C$6:$AE$653,4,))*$F113))</f>
        <v>18304702.906885609</v>
      </c>
      <c r="I113" s="63">
        <f t="shared" si="40"/>
        <v>0</v>
      </c>
      <c r="J113" s="63">
        <f t="shared" si="40"/>
        <v>0</v>
      </c>
      <c r="K113" s="63">
        <f t="shared" si="40"/>
        <v>78365698.835726827</v>
      </c>
      <c r="L113" s="63">
        <f t="shared" si="40"/>
        <v>0</v>
      </c>
      <c r="M113" s="63">
        <f t="shared" si="40"/>
        <v>0</v>
      </c>
      <c r="N113" s="63">
        <f t="shared" si="40"/>
        <v>7147160.3919246458</v>
      </c>
      <c r="O113" s="63">
        <f t="shared" si="40"/>
        <v>0</v>
      </c>
      <c r="P113" s="63">
        <f t="shared" si="40"/>
        <v>0</v>
      </c>
      <c r="Q113" s="63">
        <f t="shared" si="40"/>
        <v>0</v>
      </c>
      <c r="R113" s="63">
        <f t="shared" ref="R113:AE116" si="41">IF(VLOOKUP($D113,$C$6:$AE$653,R$2,)=0,0,((VLOOKUP($D113,$C$6:$AE$653,R$2,)/VLOOKUP($D113,$C$6:$AE$653,4,))*$F113))</f>
        <v>1674371.5785027666</v>
      </c>
      <c r="S113" s="63">
        <f t="shared" si="41"/>
        <v>0</v>
      </c>
      <c r="T113" s="63">
        <f t="shared" si="41"/>
        <v>2737300.1031365888</v>
      </c>
      <c r="U113" s="63">
        <f t="shared" si="41"/>
        <v>4581334.3898577942</v>
      </c>
      <c r="V113" s="63">
        <f t="shared" si="41"/>
        <v>864545.87801861507</v>
      </c>
      <c r="W113" s="63">
        <f t="shared" si="41"/>
        <v>1497986.481835576</v>
      </c>
      <c r="X113" s="63">
        <f t="shared" si="41"/>
        <v>231636.64425344608</v>
      </c>
      <c r="Y113" s="63">
        <f t="shared" si="41"/>
        <v>129116.09683507387</v>
      </c>
      <c r="Z113" s="63">
        <f t="shared" si="41"/>
        <v>69035.573333810913</v>
      </c>
      <c r="AA113" s="63">
        <f t="shared" si="41"/>
        <v>2886219.7937749536</v>
      </c>
      <c r="AB113" s="63">
        <f t="shared" si="41"/>
        <v>347121.44414450112</v>
      </c>
      <c r="AC113" s="63">
        <f t="shared" si="41"/>
        <v>4604270.2204592507</v>
      </c>
      <c r="AD113" s="63">
        <f t="shared" si="41"/>
        <v>1013760.8624949354</v>
      </c>
      <c r="AE113" s="63">
        <f t="shared" si="41"/>
        <v>0</v>
      </c>
      <c r="AF113" s="63">
        <f>SUM(H113:AE113)</f>
        <v>124454261.20118439</v>
      </c>
      <c r="AG113" s="58" t="str">
        <f>IF(ABS(AF113-F113)&lt;1,"ok","err")</f>
        <v>ok</v>
      </c>
    </row>
    <row r="114" spans="1:33">
      <c r="A114" s="60" t="s">
        <v>888</v>
      </c>
      <c r="B114" s="60"/>
      <c r="C114" s="44" t="s">
        <v>4</v>
      </c>
      <c r="D114" s="44" t="s">
        <v>884</v>
      </c>
      <c r="F114" s="79">
        <v>44127132.932526901</v>
      </c>
      <c r="G114" s="63"/>
      <c r="H114" s="63">
        <f t="shared" si="40"/>
        <v>26924979.497146476</v>
      </c>
      <c r="I114" s="63">
        <f t="shared" si="40"/>
        <v>0</v>
      </c>
      <c r="J114" s="63">
        <f t="shared" si="40"/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 t="shared" si="40"/>
        <v>4135172.7107143058</v>
      </c>
      <c r="O114" s="63">
        <f t="shared" si="40"/>
        <v>0</v>
      </c>
      <c r="P114" s="63">
        <f t="shared" si="40"/>
        <v>0</v>
      </c>
      <c r="Q114" s="63">
        <f t="shared" si="40"/>
        <v>0</v>
      </c>
      <c r="R114" s="63">
        <f t="shared" si="41"/>
        <v>1629474.6303654078</v>
      </c>
      <c r="S114" s="63">
        <f t="shared" si="41"/>
        <v>0</v>
      </c>
      <c r="T114" s="63">
        <f t="shared" si="41"/>
        <v>2501534.7104810029</v>
      </c>
      <c r="U114" s="63">
        <f t="shared" si="41"/>
        <v>4093583.5233374205</v>
      </c>
      <c r="V114" s="63">
        <f t="shared" si="41"/>
        <v>697951.01175619208</v>
      </c>
      <c r="W114" s="63">
        <f t="shared" si="41"/>
        <v>1192627.4407233633</v>
      </c>
      <c r="X114" s="63">
        <f t="shared" si="41"/>
        <v>855029.29971038969</v>
      </c>
      <c r="Y114" s="63">
        <f t="shared" si="41"/>
        <v>476600.09155304299</v>
      </c>
      <c r="Z114" s="63">
        <f t="shared" si="41"/>
        <v>304724.26352897199</v>
      </c>
      <c r="AA114" s="63">
        <f t="shared" si="41"/>
        <v>310766.1763763518</v>
      </c>
      <c r="AB114" s="63">
        <f t="shared" si="41"/>
        <v>1004689.5768339796</v>
      </c>
      <c r="AC114" s="63">
        <f t="shared" si="41"/>
        <v>0</v>
      </c>
      <c r="AD114" s="63">
        <f t="shared" si="41"/>
        <v>0</v>
      </c>
      <c r="AE114" s="63">
        <f t="shared" si="41"/>
        <v>0</v>
      </c>
      <c r="AF114" s="63">
        <f>SUM(H114:AE114)</f>
        <v>44127132.932526901</v>
      </c>
      <c r="AG114" s="58" t="str">
        <f>IF(ABS(AF114-F114)&lt;1,"ok","err")</f>
        <v>ok</v>
      </c>
    </row>
    <row r="115" spans="1:33">
      <c r="A115" s="60" t="s">
        <v>902</v>
      </c>
      <c r="B115" s="60"/>
      <c r="C115" s="44" t="s">
        <v>903</v>
      </c>
      <c r="D115" s="44" t="s">
        <v>884</v>
      </c>
      <c r="F115" s="79">
        <v>14687906.328766206</v>
      </c>
      <c r="H115" s="63">
        <f t="shared" si="40"/>
        <v>8962095.4382587802</v>
      </c>
      <c r="I115" s="63">
        <f t="shared" si="40"/>
        <v>0</v>
      </c>
      <c r="J115" s="63">
        <f t="shared" si="40"/>
        <v>0</v>
      </c>
      <c r="K115" s="63">
        <f t="shared" si="40"/>
        <v>0</v>
      </c>
      <c r="L115" s="63">
        <f t="shared" si="40"/>
        <v>0</v>
      </c>
      <c r="M115" s="63">
        <f t="shared" si="40"/>
        <v>0</v>
      </c>
      <c r="N115" s="63">
        <f t="shared" si="40"/>
        <v>1376410.0541295672</v>
      </c>
      <c r="O115" s="63">
        <f t="shared" si="40"/>
        <v>0</v>
      </c>
      <c r="P115" s="63">
        <f t="shared" si="40"/>
        <v>0</v>
      </c>
      <c r="Q115" s="63">
        <f t="shared" si="40"/>
        <v>0</v>
      </c>
      <c r="R115" s="63">
        <f t="shared" si="41"/>
        <v>542377.65169343655</v>
      </c>
      <c r="S115" s="63">
        <f t="shared" si="41"/>
        <v>0</v>
      </c>
      <c r="T115" s="63">
        <f t="shared" si="41"/>
        <v>832646.60683673935</v>
      </c>
      <c r="U115" s="63">
        <f t="shared" si="41"/>
        <v>1362566.9139143343</v>
      </c>
      <c r="V115" s="63">
        <f t="shared" si="41"/>
        <v>232316.00154983174</v>
      </c>
      <c r="W115" s="63">
        <f t="shared" si="41"/>
        <v>396971.18236178649</v>
      </c>
      <c r="X115" s="63">
        <f t="shared" si="41"/>
        <v>284600.18650429038</v>
      </c>
      <c r="Y115" s="63">
        <f t="shared" si="41"/>
        <v>158638.394017493</v>
      </c>
      <c r="Z115" s="63">
        <f t="shared" si="41"/>
        <v>101428.78409208056</v>
      </c>
      <c r="AA115" s="63">
        <f t="shared" si="41"/>
        <v>103439.86081633948</v>
      </c>
      <c r="AB115" s="63">
        <f t="shared" si="41"/>
        <v>334415.25459152949</v>
      </c>
      <c r="AC115" s="63">
        <f t="shared" si="41"/>
        <v>0</v>
      </c>
      <c r="AD115" s="63">
        <f t="shared" si="41"/>
        <v>0</v>
      </c>
      <c r="AE115" s="63">
        <f t="shared" si="41"/>
        <v>0</v>
      </c>
      <c r="AF115" s="63">
        <f>SUM(H115:AE115)</f>
        <v>14687906.32876621</v>
      </c>
      <c r="AG115" s="58" t="str">
        <f>IF(ABS(AF115-F115)&lt;1,"ok","err")</f>
        <v>ok</v>
      </c>
    </row>
    <row r="116" spans="1:33">
      <c r="A116" s="60" t="s">
        <v>1192</v>
      </c>
      <c r="B116" s="60"/>
      <c r="D116" s="44" t="s">
        <v>616</v>
      </c>
      <c r="F116" s="79">
        <v>33196476.108729374</v>
      </c>
      <c r="H116" s="63">
        <f t="shared" si="40"/>
        <v>33196476.108729374</v>
      </c>
      <c r="I116" s="63">
        <f t="shared" si="40"/>
        <v>0</v>
      </c>
      <c r="J116" s="63">
        <f t="shared" si="40"/>
        <v>0</v>
      </c>
      <c r="K116" s="63">
        <f t="shared" si="40"/>
        <v>0</v>
      </c>
      <c r="L116" s="63">
        <f t="shared" si="40"/>
        <v>0</v>
      </c>
      <c r="M116" s="63">
        <f t="shared" si="40"/>
        <v>0</v>
      </c>
      <c r="N116" s="63">
        <f t="shared" si="40"/>
        <v>0</v>
      </c>
      <c r="O116" s="63">
        <f t="shared" si="40"/>
        <v>0</v>
      </c>
      <c r="P116" s="63">
        <f t="shared" si="40"/>
        <v>0</v>
      </c>
      <c r="Q116" s="63">
        <f t="shared" si="40"/>
        <v>0</v>
      </c>
      <c r="R116" s="63">
        <f t="shared" si="41"/>
        <v>0</v>
      </c>
      <c r="S116" s="63">
        <f t="shared" si="41"/>
        <v>0</v>
      </c>
      <c r="T116" s="63">
        <f t="shared" si="41"/>
        <v>0</v>
      </c>
      <c r="U116" s="63">
        <f t="shared" si="41"/>
        <v>0</v>
      </c>
      <c r="V116" s="63">
        <f t="shared" si="41"/>
        <v>0</v>
      </c>
      <c r="W116" s="63">
        <f t="shared" si="41"/>
        <v>0</v>
      </c>
      <c r="X116" s="63">
        <f t="shared" si="41"/>
        <v>0</v>
      </c>
      <c r="Y116" s="63">
        <f t="shared" si="41"/>
        <v>0</v>
      </c>
      <c r="Z116" s="63">
        <f t="shared" si="41"/>
        <v>0</v>
      </c>
      <c r="AA116" s="63">
        <f t="shared" si="41"/>
        <v>0</v>
      </c>
      <c r="AB116" s="63">
        <f t="shared" si="41"/>
        <v>0</v>
      </c>
      <c r="AC116" s="63">
        <f t="shared" si="41"/>
        <v>0</v>
      </c>
      <c r="AD116" s="63">
        <f t="shared" si="41"/>
        <v>0</v>
      </c>
      <c r="AE116" s="63">
        <f t="shared" si="41"/>
        <v>0</v>
      </c>
      <c r="AF116" s="63">
        <f>SUM(H116:AE116)</f>
        <v>33196476.108729374</v>
      </c>
      <c r="AG116" s="58" t="str">
        <f>IF(ABS(AF116-F116)&lt;1,"ok","err")</f>
        <v>ok</v>
      </c>
    </row>
    <row r="117" spans="1:33">
      <c r="A117" s="68" t="s">
        <v>904</v>
      </c>
      <c r="B117" s="60"/>
      <c r="C117" s="44" t="s">
        <v>905</v>
      </c>
      <c r="F117" s="80">
        <f>SUM(F113:F116)</f>
        <v>216465776.57120684</v>
      </c>
      <c r="G117" s="64"/>
      <c r="H117" s="64">
        <f t="shared" ref="H117:M117" si="42">SUM(H113:H116)</f>
        <v>87388253.951020241</v>
      </c>
      <c r="I117" s="64">
        <f t="shared" si="42"/>
        <v>0</v>
      </c>
      <c r="J117" s="64">
        <f t="shared" si="42"/>
        <v>0</v>
      </c>
      <c r="K117" s="64">
        <f t="shared" si="42"/>
        <v>78365698.835726827</v>
      </c>
      <c r="L117" s="64">
        <f t="shared" si="42"/>
        <v>0</v>
      </c>
      <c r="M117" s="64">
        <f t="shared" si="42"/>
        <v>0</v>
      </c>
      <c r="N117" s="64">
        <f>SUM(N113:N116)</f>
        <v>12658743.156768519</v>
      </c>
      <c r="O117" s="64">
        <f>SUM(O113:O116)</f>
        <v>0</v>
      </c>
      <c r="P117" s="64">
        <f>SUM(P113:P116)</f>
        <v>0</v>
      </c>
      <c r="Q117" s="64">
        <f t="shared" ref="Q117:AB117" si="43">SUM(Q113:Q116)</f>
        <v>0</v>
      </c>
      <c r="R117" s="64">
        <f t="shared" si="43"/>
        <v>3846223.8605616111</v>
      </c>
      <c r="S117" s="64">
        <f t="shared" si="43"/>
        <v>0</v>
      </c>
      <c r="T117" s="64">
        <f t="shared" si="43"/>
        <v>6071481.4204543307</v>
      </c>
      <c r="U117" s="64">
        <f t="shared" si="43"/>
        <v>10037484.827109549</v>
      </c>
      <c r="V117" s="64">
        <f t="shared" si="43"/>
        <v>1794812.8913246391</v>
      </c>
      <c r="W117" s="64">
        <f t="shared" si="43"/>
        <v>3087585.1049207253</v>
      </c>
      <c r="X117" s="64">
        <f t="shared" si="43"/>
        <v>1371266.1304681262</v>
      </c>
      <c r="Y117" s="64">
        <f t="shared" si="43"/>
        <v>764354.58240560989</v>
      </c>
      <c r="Z117" s="64">
        <f t="shared" si="43"/>
        <v>475188.62095486344</v>
      </c>
      <c r="AA117" s="64">
        <f t="shared" si="43"/>
        <v>3300425.8309676447</v>
      </c>
      <c r="AB117" s="64">
        <f t="shared" si="43"/>
        <v>1686226.2755700101</v>
      </c>
      <c r="AC117" s="64">
        <f>SUM(AC113:AC116)</f>
        <v>4604270.2204592507</v>
      </c>
      <c r="AD117" s="64">
        <f>SUM(AD113:AD116)</f>
        <v>1013760.8624949354</v>
      </c>
      <c r="AE117" s="64">
        <f>SUM(AE113:AE116)</f>
        <v>0</v>
      </c>
      <c r="AF117" s="63">
        <f>SUM(H117:AE117)</f>
        <v>216465776.57120687</v>
      </c>
      <c r="AG117" s="58" t="str">
        <f>IF(ABS(AF117-F117)&lt;1,"ok","err")</f>
        <v>ok</v>
      </c>
    </row>
    <row r="118" spans="1:33">
      <c r="A118" s="60"/>
      <c r="B118" s="60"/>
      <c r="W118" s="44"/>
      <c r="AG118" s="58"/>
    </row>
    <row r="119" spans="1:33" ht="14.1">
      <c r="A119" s="59" t="s">
        <v>43</v>
      </c>
      <c r="B119" s="60"/>
      <c r="I119" s="66"/>
      <c r="W119" s="44"/>
      <c r="AG119" s="58"/>
    </row>
    <row r="120" spans="1:33">
      <c r="A120" s="60" t="s">
        <v>140</v>
      </c>
      <c r="B120" s="60"/>
      <c r="C120" s="44" t="s">
        <v>141</v>
      </c>
      <c r="D120" s="44" t="s">
        <v>98</v>
      </c>
      <c r="F120" s="76">
        <v>0</v>
      </c>
      <c r="H120" s="63">
        <f t="shared" ref="H120:Q121" si="44">IF(VLOOKUP($D120,$C$6:$AE$653,H$2,)=0,0,((VLOOKUP($D120,$C$6:$AE$653,H$2,)/VLOOKUP($D120,$C$6:$AE$653,4,))*$F120))</f>
        <v>0</v>
      </c>
      <c r="I120" s="63">
        <f t="shared" si="44"/>
        <v>0</v>
      </c>
      <c r="J120" s="63">
        <f t="shared" si="44"/>
        <v>0</v>
      </c>
      <c r="K120" s="63">
        <f t="shared" si="44"/>
        <v>0</v>
      </c>
      <c r="L120" s="63">
        <f t="shared" si="44"/>
        <v>0</v>
      </c>
      <c r="M120" s="63">
        <f t="shared" si="44"/>
        <v>0</v>
      </c>
      <c r="N120" s="63">
        <f t="shared" si="44"/>
        <v>0</v>
      </c>
      <c r="O120" s="63">
        <f t="shared" si="44"/>
        <v>0</v>
      </c>
      <c r="P120" s="63">
        <f t="shared" si="44"/>
        <v>0</v>
      </c>
      <c r="Q120" s="63">
        <f t="shared" si="44"/>
        <v>0</v>
      </c>
      <c r="R120" s="63">
        <f t="shared" ref="R120:AE121" si="45">IF(VLOOKUP($D120,$C$6:$AE$653,R$2,)=0,0,((VLOOKUP($D120,$C$6:$AE$653,R$2,)/VLOOKUP($D120,$C$6:$AE$653,4,))*$F120))</f>
        <v>0</v>
      </c>
      <c r="S120" s="63">
        <f t="shared" si="45"/>
        <v>0</v>
      </c>
      <c r="T120" s="63">
        <f t="shared" si="45"/>
        <v>0</v>
      </c>
      <c r="U120" s="63">
        <f t="shared" si="45"/>
        <v>0</v>
      </c>
      <c r="V120" s="63">
        <f t="shared" si="45"/>
        <v>0</v>
      </c>
      <c r="W120" s="63">
        <f t="shared" si="45"/>
        <v>0</v>
      </c>
      <c r="X120" s="63">
        <f t="shared" si="45"/>
        <v>0</v>
      </c>
      <c r="Y120" s="63">
        <f t="shared" si="45"/>
        <v>0</v>
      </c>
      <c r="Z120" s="63">
        <f t="shared" si="45"/>
        <v>0</v>
      </c>
      <c r="AA120" s="63">
        <f t="shared" si="45"/>
        <v>0</v>
      </c>
      <c r="AB120" s="63">
        <f t="shared" si="45"/>
        <v>0</v>
      </c>
      <c r="AC120" s="63">
        <f t="shared" si="45"/>
        <v>0</v>
      </c>
      <c r="AD120" s="63">
        <f t="shared" si="45"/>
        <v>0</v>
      </c>
      <c r="AE120" s="63">
        <f t="shared" si="45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 t="s">
        <v>156</v>
      </c>
      <c r="B121" s="60"/>
      <c r="C121" s="44" t="s">
        <v>5</v>
      </c>
      <c r="D121" s="44" t="s">
        <v>18</v>
      </c>
      <c r="F121" s="79">
        <v>0</v>
      </c>
      <c r="H121" s="63">
        <f t="shared" si="44"/>
        <v>0</v>
      </c>
      <c r="I121" s="63">
        <f t="shared" si="44"/>
        <v>0</v>
      </c>
      <c r="J121" s="63">
        <f t="shared" si="44"/>
        <v>0</v>
      </c>
      <c r="K121" s="63">
        <f t="shared" si="44"/>
        <v>0</v>
      </c>
      <c r="L121" s="63">
        <f t="shared" si="44"/>
        <v>0</v>
      </c>
      <c r="M121" s="63">
        <f t="shared" si="44"/>
        <v>0</v>
      </c>
      <c r="N121" s="63">
        <f t="shared" si="44"/>
        <v>0</v>
      </c>
      <c r="O121" s="63">
        <f t="shared" si="44"/>
        <v>0</v>
      </c>
      <c r="P121" s="63">
        <f t="shared" si="44"/>
        <v>0</v>
      </c>
      <c r="Q121" s="63">
        <f t="shared" si="44"/>
        <v>0</v>
      </c>
      <c r="R121" s="63">
        <f t="shared" si="45"/>
        <v>0</v>
      </c>
      <c r="S121" s="63">
        <f t="shared" si="45"/>
        <v>0</v>
      </c>
      <c r="T121" s="63">
        <f t="shared" si="45"/>
        <v>0</v>
      </c>
      <c r="U121" s="63">
        <f t="shared" si="45"/>
        <v>0</v>
      </c>
      <c r="V121" s="63">
        <f t="shared" si="45"/>
        <v>0</v>
      </c>
      <c r="W121" s="63">
        <f t="shared" si="45"/>
        <v>0</v>
      </c>
      <c r="X121" s="63">
        <f t="shared" si="45"/>
        <v>0</v>
      </c>
      <c r="Y121" s="63">
        <f t="shared" si="45"/>
        <v>0</v>
      </c>
      <c r="Z121" s="63">
        <f t="shared" si="45"/>
        <v>0</v>
      </c>
      <c r="AA121" s="63">
        <f t="shared" si="45"/>
        <v>0</v>
      </c>
      <c r="AB121" s="63">
        <f t="shared" si="45"/>
        <v>0</v>
      </c>
      <c r="AC121" s="63">
        <f t="shared" si="45"/>
        <v>0</v>
      </c>
      <c r="AD121" s="63">
        <f t="shared" si="45"/>
        <v>0</v>
      </c>
      <c r="AE121" s="63">
        <f t="shared" si="45"/>
        <v>0</v>
      </c>
      <c r="AF121" s="63">
        <f>SUM(H121:AE121)</f>
        <v>0</v>
      </c>
      <c r="AG121" s="58" t="str">
        <f>IF(ABS(AF121-F121)&lt;1,"ok","err")</f>
        <v>ok</v>
      </c>
    </row>
    <row r="122" spans="1:33">
      <c r="A122" s="60"/>
      <c r="B122" s="60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58"/>
    </row>
    <row r="123" spans="1:33">
      <c r="A123" s="60" t="s">
        <v>1066</v>
      </c>
      <c r="B123" s="60"/>
      <c r="F123" s="80">
        <f t="shared" ref="F123:M123" si="46">SUM(F120:F121)</f>
        <v>0</v>
      </c>
      <c r="G123" s="64"/>
      <c r="H123" s="64">
        <f t="shared" si="46"/>
        <v>0</v>
      </c>
      <c r="I123" s="64">
        <f t="shared" si="46"/>
        <v>0</v>
      </c>
      <c r="J123" s="64">
        <f t="shared" si="46"/>
        <v>0</v>
      </c>
      <c r="K123" s="64">
        <f t="shared" si="46"/>
        <v>0</v>
      </c>
      <c r="L123" s="64">
        <f t="shared" si="46"/>
        <v>0</v>
      </c>
      <c r="M123" s="64">
        <f t="shared" si="46"/>
        <v>0</v>
      </c>
      <c r="N123" s="64">
        <f>SUM(N120:N121)</f>
        <v>0</v>
      </c>
      <c r="O123" s="64">
        <f>SUM(O120:O121)</f>
        <v>0</v>
      </c>
      <c r="P123" s="64">
        <f>SUM(P120:P121)</f>
        <v>0</v>
      </c>
      <c r="Q123" s="64">
        <f t="shared" ref="Q123:AB123" si="47">SUM(Q120:Q121)</f>
        <v>0</v>
      </c>
      <c r="R123" s="64">
        <f t="shared" si="47"/>
        <v>0</v>
      </c>
      <c r="S123" s="64">
        <f t="shared" si="47"/>
        <v>0</v>
      </c>
      <c r="T123" s="64">
        <f t="shared" si="47"/>
        <v>0</v>
      </c>
      <c r="U123" s="64">
        <f t="shared" si="47"/>
        <v>0</v>
      </c>
      <c r="V123" s="64">
        <f t="shared" si="47"/>
        <v>0</v>
      </c>
      <c r="W123" s="64">
        <f t="shared" si="47"/>
        <v>0</v>
      </c>
      <c r="X123" s="64">
        <f t="shared" si="47"/>
        <v>0</v>
      </c>
      <c r="Y123" s="64">
        <f t="shared" si="47"/>
        <v>0</v>
      </c>
      <c r="Z123" s="64">
        <f t="shared" si="47"/>
        <v>0</v>
      </c>
      <c r="AA123" s="64">
        <f t="shared" si="47"/>
        <v>0</v>
      </c>
      <c r="AB123" s="64">
        <f t="shared" si="47"/>
        <v>0</v>
      </c>
      <c r="AC123" s="64">
        <f>SUM(AC120:AC121)</f>
        <v>0</v>
      </c>
      <c r="AD123" s="64">
        <f>SUM(AD120:AD121)</f>
        <v>0</v>
      </c>
      <c r="AE123" s="64">
        <f>SUM(AE120:AE121)</f>
        <v>0</v>
      </c>
      <c r="AF123" s="63">
        <f>SUM(H123:AE123)</f>
        <v>0</v>
      </c>
      <c r="AG123" s="58" t="str">
        <f>IF(ABS(AF123-F123)&lt;1,"ok","err")</f>
        <v>ok</v>
      </c>
    </row>
    <row r="124" spans="1:33">
      <c r="A124" s="60" t="s">
        <v>600</v>
      </c>
      <c r="B124" s="60"/>
      <c r="C124" s="44" t="s">
        <v>906</v>
      </c>
      <c r="D124" s="44" t="s">
        <v>817</v>
      </c>
      <c r="F124" s="76">
        <v>2369448.1870918632</v>
      </c>
      <c r="H124" s="63">
        <f t="shared" ref="H124:AE124" si="48">IF(VLOOKUP($D124,$C$6:$AE$653,H$2,)=0,0,((VLOOKUP($D124,$C$6:$AE$653,H$2,)/VLOOKUP($D124,$C$6:$AE$653,4,))*$F124))</f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 t="shared" si="48"/>
        <v>0</v>
      </c>
      <c r="P124" s="63">
        <f t="shared" si="48"/>
        <v>0</v>
      </c>
      <c r="Q124" s="63">
        <f t="shared" si="48"/>
        <v>0</v>
      </c>
      <c r="R124" s="63">
        <f t="shared" si="48"/>
        <v>0</v>
      </c>
      <c r="S124" s="63">
        <f t="shared" si="48"/>
        <v>0</v>
      </c>
      <c r="T124" s="63">
        <f t="shared" si="48"/>
        <v>698499.7347674988</v>
      </c>
      <c r="U124" s="63">
        <f t="shared" si="48"/>
        <v>1143045.104798879</v>
      </c>
      <c r="V124" s="63">
        <f t="shared" si="48"/>
        <v>194887.80009719159</v>
      </c>
      <c r="W124" s="63">
        <f t="shared" si="48"/>
        <v>333015.54742829397</v>
      </c>
      <c r="X124" s="63">
        <f t="shared" si="48"/>
        <v>0</v>
      </c>
      <c r="Y124" s="63">
        <f t="shared" si="48"/>
        <v>0</v>
      </c>
      <c r="Z124" s="63">
        <f t="shared" si="48"/>
        <v>0</v>
      </c>
      <c r="AA124" s="63">
        <f t="shared" si="48"/>
        <v>0</v>
      </c>
      <c r="AB124" s="63">
        <f t="shared" si="48"/>
        <v>0</v>
      </c>
      <c r="AC124" s="63">
        <f t="shared" si="48"/>
        <v>0</v>
      </c>
      <c r="AD124" s="63">
        <f t="shared" si="48"/>
        <v>0</v>
      </c>
      <c r="AE124" s="63">
        <f t="shared" si="48"/>
        <v>0</v>
      </c>
      <c r="AF124" s="63">
        <f>SUM(H124:AE124)</f>
        <v>2369448.1870918637</v>
      </c>
      <c r="AG124" s="58" t="str">
        <f>IF(ABS(AF124-F124)&lt;1,"ok","err")</f>
        <v>ok</v>
      </c>
    </row>
    <row r="125" spans="1:33">
      <c r="A125" s="60" t="s">
        <v>673</v>
      </c>
      <c r="B125" s="60"/>
      <c r="F125" s="76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8"/>
    </row>
    <row r="126" spans="1:33">
      <c r="A126" s="68" t="s">
        <v>1088</v>
      </c>
      <c r="B126" s="60"/>
      <c r="C126" s="44" t="s">
        <v>601</v>
      </c>
      <c r="D126" s="44" t="s">
        <v>884</v>
      </c>
      <c r="F126" s="76">
        <v>939385876.00808799</v>
      </c>
      <c r="H126" s="63">
        <f t="shared" ref="H126:Q129" si="49">IF(VLOOKUP($D126,$C$6:$AE$653,H$2,)=0,0,((VLOOKUP($D126,$C$6:$AE$653,H$2,)/VLOOKUP($D126,$C$6:$AE$653,4,))*$F126))</f>
        <v>573183521.57846332</v>
      </c>
      <c r="I126" s="63">
        <f t="shared" si="49"/>
        <v>0</v>
      </c>
      <c r="J126" s="63">
        <f t="shared" si="49"/>
        <v>0</v>
      </c>
      <c r="K126" s="63">
        <f t="shared" si="49"/>
        <v>0</v>
      </c>
      <c r="L126" s="63">
        <f t="shared" si="49"/>
        <v>0</v>
      </c>
      <c r="M126" s="63">
        <f t="shared" si="49"/>
        <v>0</v>
      </c>
      <c r="N126" s="63">
        <f t="shared" si="49"/>
        <v>88030256.695778817</v>
      </c>
      <c r="O126" s="63">
        <f t="shared" si="49"/>
        <v>0</v>
      </c>
      <c r="P126" s="63">
        <f t="shared" si="49"/>
        <v>0</v>
      </c>
      <c r="Q126" s="63">
        <f t="shared" si="49"/>
        <v>0</v>
      </c>
      <c r="R126" s="63">
        <f t="shared" ref="R126:AE129" si="50">IF(VLOOKUP($D126,$C$6:$AE$653,R$2,)=0,0,((VLOOKUP($D126,$C$6:$AE$653,R$2,)/VLOOKUP($D126,$C$6:$AE$653,4,))*$F126))</f>
        <v>34688531.779739842</v>
      </c>
      <c r="S126" s="63">
        <f t="shared" si="50"/>
        <v>0</v>
      </c>
      <c r="T126" s="63">
        <f t="shared" si="50"/>
        <v>53253094.393487722</v>
      </c>
      <c r="U126" s="63">
        <f t="shared" si="50"/>
        <v>87144899.034399867</v>
      </c>
      <c r="V126" s="63">
        <f t="shared" si="50"/>
        <v>14858099.292148527</v>
      </c>
      <c r="W126" s="63">
        <f t="shared" si="50"/>
        <v>25388854.854183827</v>
      </c>
      <c r="X126" s="63">
        <f t="shared" si="50"/>
        <v>18202008.47739581</v>
      </c>
      <c r="Y126" s="63">
        <f t="shared" si="50"/>
        <v>10145943.4310783</v>
      </c>
      <c r="Z126" s="63">
        <f t="shared" si="50"/>
        <v>6487021.7077955706</v>
      </c>
      <c r="AA126" s="63">
        <f t="shared" si="50"/>
        <v>6615642.9713065913</v>
      </c>
      <c r="AB126" s="63">
        <f t="shared" si="50"/>
        <v>21388001.792309914</v>
      </c>
      <c r="AC126" s="63">
        <f t="shared" si="50"/>
        <v>0</v>
      </c>
      <c r="AD126" s="63">
        <f t="shared" si="50"/>
        <v>0</v>
      </c>
      <c r="AE126" s="63">
        <f t="shared" si="50"/>
        <v>0</v>
      </c>
      <c r="AF126" s="63">
        <f>SUM(H126:AE126)</f>
        <v>939385876.00808799</v>
      </c>
      <c r="AG126" s="58" t="str">
        <f>IF(ABS(AF126-F126)&lt;1,"ok","err")</f>
        <v>ok</v>
      </c>
    </row>
    <row r="127" spans="1:33" s="60" customFormat="1">
      <c r="A127" s="68" t="s">
        <v>1089</v>
      </c>
      <c r="C127" s="60" t="s">
        <v>601</v>
      </c>
      <c r="D127" s="60" t="s">
        <v>884</v>
      </c>
      <c r="F127" s="76">
        <v>0</v>
      </c>
      <c r="H127" s="79">
        <f t="shared" si="49"/>
        <v>0</v>
      </c>
      <c r="I127" s="79">
        <f t="shared" si="49"/>
        <v>0</v>
      </c>
      <c r="J127" s="79">
        <f t="shared" si="49"/>
        <v>0</v>
      </c>
      <c r="K127" s="79">
        <f t="shared" si="49"/>
        <v>0</v>
      </c>
      <c r="L127" s="79">
        <f t="shared" si="49"/>
        <v>0</v>
      </c>
      <c r="M127" s="79">
        <f t="shared" si="49"/>
        <v>0</v>
      </c>
      <c r="N127" s="79">
        <f t="shared" si="49"/>
        <v>0</v>
      </c>
      <c r="O127" s="79">
        <f t="shared" si="49"/>
        <v>0</v>
      </c>
      <c r="P127" s="79">
        <f t="shared" si="49"/>
        <v>0</v>
      </c>
      <c r="Q127" s="79">
        <f t="shared" si="49"/>
        <v>0</v>
      </c>
      <c r="R127" s="79">
        <f t="shared" si="50"/>
        <v>0</v>
      </c>
      <c r="S127" s="79">
        <f t="shared" si="50"/>
        <v>0</v>
      </c>
      <c r="T127" s="79">
        <f t="shared" si="50"/>
        <v>0</v>
      </c>
      <c r="U127" s="79">
        <f t="shared" si="50"/>
        <v>0</v>
      </c>
      <c r="V127" s="79">
        <f t="shared" si="50"/>
        <v>0</v>
      </c>
      <c r="W127" s="79">
        <f t="shared" si="50"/>
        <v>0</v>
      </c>
      <c r="X127" s="79">
        <f t="shared" si="50"/>
        <v>0</v>
      </c>
      <c r="Y127" s="79">
        <f t="shared" si="50"/>
        <v>0</v>
      </c>
      <c r="Z127" s="79">
        <f t="shared" si="50"/>
        <v>0</v>
      </c>
      <c r="AA127" s="79">
        <f t="shared" si="50"/>
        <v>0</v>
      </c>
      <c r="AB127" s="79">
        <f t="shared" si="50"/>
        <v>0</v>
      </c>
      <c r="AC127" s="79">
        <f t="shared" si="50"/>
        <v>0</v>
      </c>
      <c r="AD127" s="79">
        <f t="shared" si="50"/>
        <v>0</v>
      </c>
      <c r="AE127" s="79">
        <f t="shared" si="50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1090</v>
      </c>
      <c r="C128" s="60" t="s">
        <v>601</v>
      </c>
      <c r="D128" s="60" t="s">
        <v>884</v>
      </c>
      <c r="F128" s="76">
        <v>0</v>
      </c>
      <c r="H128" s="79">
        <f t="shared" si="49"/>
        <v>0</v>
      </c>
      <c r="I128" s="79">
        <f t="shared" si="49"/>
        <v>0</v>
      </c>
      <c r="J128" s="79">
        <f t="shared" si="49"/>
        <v>0</v>
      </c>
      <c r="K128" s="79">
        <f t="shared" si="49"/>
        <v>0</v>
      </c>
      <c r="L128" s="79">
        <f t="shared" si="49"/>
        <v>0</v>
      </c>
      <c r="M128" s="79">
        <f t="shared" si="49"/>
        <v>0</v>
      </c>
      <c r="N128" s="79">
        <f t="shared" si="49"/>
        <v>0</v>
      </c>
      <c r="O128" s="79">
        <f t="shared" si="49"/>
        <v>0</v>
      </c>
      <c r="P128" s="79">
        <f t="shared" si="49"/>
        <v>0</v>
      </c>
      <c r="Q128" s="79">
        <f t="shared" si="49"/>
        <v>0</v>
      </c>
      <c r="R128" s="79">
        <f t="shared" si="50"/>
        <v>0</v>
      </c>
      <c r="S128" s="79">
        <f t="shared" si="50"/>
        <v>0</v>
      </c>
      <c r="T128" s="79">
        <f t="shared" si="50"/>
        <v>0</v>
      </c>
      <c r="U128" s="79">
        <f t="shared" si="50"/>
        <v>0</v>
      </c>
      <c r="V128" s="79">
        <f t="shared" si="50"/>
        <v>0</v>
      </c>
      <c r="W128" s="79">
        <f t="shared" si="50"/>
        <v>0</v>
      </c>
      <c r="X128" s="79">
        <f t="shared" si="50"/>
        <v>0</v>
      </c>
      <c r="Y128" s="79">
        <f t="shared" si="50"/>
        <v>0</v>
      </c>
      <c r="Z128" s="79">
        <f t="shared" si="50"/>
        <v>0</v>
      </c>
      <c r="AA128" s="79">
        <f t="shared" si="50"/>
        <v>0</v>
      </c>
      <c r="AB128" s="79">
        <f t="shared" si="50"/>
        <v>0</v>
      </c>
      <c r="AC128" s="79">
        <f t="shared" si="50"/>
        <v>0</v>
      </c>
      <c r="AD128" s="79">
        <f t="shared" si="50"/>
        <v>0</v>
      </c>
      <c r="AE128" s="79">
        <f t="shared" si="50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 t="s">
        <v>1091</v>
      </c>
      <c r="C129" s="60" t="s">
        <v>601</v>
      </c>
      <c r="D129" s="60" t="s">
        <v>884</v>
      </c>
      <c r="F129" s="76">
        <v>0</v>
      </c>
      <c r="H129" s="79">
        <f t="shared" si="49"/>
        <v>0</v>
      </c>
      <c r="I129" s="79">
        <f t="shared" si="49"/>
        <v>0</v>
      </c>
      <c r="J129" s="79">
        <f t="shared" si="49"/>
        <v>0</v>
      </c>
      <c r="K129" s="79">
        <f t="shared" si="49"/>
        <v>0</v>
      </c>
      <c r="L129" s="79">
        <f t="shared" si="49"/>
        <v>0</v>
      </c>
      <c r="M129" s="79">
        <f t="shared" si="49"/>
        <v>0</v>
      </c>
      <c r="N129" s="79">
        <f t="shared" si="49"/>
        <v>0</v>
      </c>
      <c r="O129" s="79">
        <f t="shared" si="49"/>
        <v>0</v>
      </c>
      <c r="P129" s="79">
        <f t="shared" si="49"/>
        <v>0</v>
      </c>
      <c r="Q129" s="79">
        <f t="shared" si="49"/>
        <v>0</v>
      </c>
      <c r="R129" s="79">
        <f t="shared" si="50"/>
        <v>0</v>
      </c>
      <c r="S129" s="79">
        <f t="shared" si="50"/>
        <v>0</v>
      </c>
      <c r="T129" s="79">
        <f t="shared" si="50"/>
        <v>0</v>
      </c>
      <c r="U129" s="79">
        <f t="shared" si="50"/>
        <v>0</v>
      </c>
      <c r="V129" s="79">
        <f t="shared" si="50"/>
        <v>0</v>
      </c>
      <c r="W129" s="79">
        <f t="shared" si="50"/>
        <v>0</v>
      </c>
      <c r="X129" s="79">
        <f t="shared" si="50"/>
        <v>0</v>
      </c>
      <c r="Y129" s="79">
        <f t="shared" si="50"/>
        <v>0</v>
      </c>
      <c r="Z129" s="79">
        <f t="shared" si="50"/>
        <v>0</v>
      </c>
      <c r="AA129" s="79">
        <f t="shared" si="50"/>
        <v>0</v>
      </c>
      <c r="AB129" s="79">
        <f t="shared" si="50"/>
        <v>0</v>
      </c>
      <c r="AC129" s="79">
        <f t="shared" si="50"/>
        <v>0</v>
      </c>
      <c r="AD129" s="79">
        <f t="shared" si="50"/>
        <v>0</v>
      </c>
      <c r="AE129" s="79">
        <f t="shared" si="50"/>
        <v>0</v>
      </c>
      <c r="AF129" s="79">
        <f>SUM(H129:AE129)</f>
        <v>0</v>
      </c>
      <c r="AG129" s="93" t="str">
        <f>IF(ABS(AF129-F129)&lt;1,"ok","err")</f>
        <v>ok</v>
      </c>
    </row>
    <row r="130" spans="1:33" s="60" customFormat="1">
      <c r="A130" s="68"/>
      <c r="F130" s="76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93"/>
    </row>
    <row r="131" spans="1:33">
      <c r="A131" s="60" t="s">
        <v>678</v>
      </c>
      <c r="B131" s="60"/>
      <c r="F131" s="76">
        <f>SUM(F126:F129)</f>
        <v>939385876.00808799</v>
      </c>
      <c r="G131" s="76"/>
      <c r="H131" s="76">
        <f t="shared" ref="H131:AE131" si="51">SUM(H126:H129)</f>
        <v>573183521.57846332</v>
      </c>
      <c r="I131" s="76">
        <f t="shared" si="51"/>
        <v>0</v>
      </c>
      <c r="J131" s="76">
        <f t="shared" si="51"/>
        <v>0</v>
      </c>
      <c r="K131" s="76">
        <f t="shared" si="51"/>
        <v>0</v>
      </c>
      <c r="L131" s="76">
        <f t="shared" si="51"/>
        <v>0</v>
      </c>
      <c r="M131" s="76">
        <f t="shared" si="51"/>
        <v>0</v>
      </c>
      <c r="N131" s="76">
        <f t="shared" si="51"/>
        <v>88030256.695778817</v>
      </c>
      <c r="O131" s="76">
        <f t="shared" si="51"/>
        <v>0</v>
      </c>
      <c r="P131" s="76">
        <f t="shared" si="51"/>
        <v>0</v>
      </c>
      <c r="Q131" s="76">
        <f t="shared" si="51"/>
        <v>0</v>
      </c>
      <c r="R131" s="76">
        <f t="shared" si="51"/>
        <v>34688531.779739842</v>
      </c>
      <c r="S131" s="76">
        <f t="shared" si="51"/>
        <v>0</v>
      </c>
      <c r="T131" s="76">
        <f t="shared" si="51"/>
        <v>53253094.393487722</v>
      </c>
      <c r="U131" s="76">
        <f t="shared" si="51"/>
        <v>87144899.034399867</v>
      </c>
      <c r="V131" s="76">
        <f t="shared" si="51"/>
        <v>14858099.292148527</v>
      </c>
      <c r="W131" s="76">
        <f t="shared" si="51"/>
        <v>25388854.854183827</v>
      </c>
      <c r="X131" s="76">
        <f t="shared" si="51"/>
        <v>18202008.47739581</v>
      </c>
      <c r="Y131" s="76">
        <f t="shared" si="51"/>
        <v>10145943.4310783</v>
      </c>
      <c r="Z131" s="76">
        <f t="shared" si="51"/>
        <v>6487021.7077955706</v>
      </c>
      <c r="AA131" s="76">
        <f t="shared" si="51"/>
        <v>6615642.9713065913</v>
      </c>
      <c r="AB131" s="76">
        <f t="shared" si="51"/>
        <v>21388001.792309914</v>
      </c>
      <c r="AC131" s="76">
        <f t="shared" si="51"/>
        <v>0</v>
      </c>
      <c r="AD131" s="76">
        <f t="shared" si="51"/>
        <v>0</v>
      </c>
      <c r="AE131" s="76">
        <f t="shared" si="51"/>
        <v>0</v>
      </c>
      <c r="AF131" s="63">
        <f>SUM(H131:AE131)</f>
        <v>939385876.00808799</v>
      </c>
      <c r="AG131" s="58" t="str">
        <f>IF(ABS(AF131-F131)&lt;1,"ok","err")</f>
        <v>ok</v>
      </c>
    </row>
    <row r="132" spans="1:33">
      <c r="A132" s="60"/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0" t="s">
        <v>679</v>
      </c>
      <c r="B133" s="60"/>
      <c r="F133" s="76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58"/>
    </row>
    <row r="134" spans="1:33">
      <c r="A134" s="68" t="s">
        <v>675</v>
      </c>
      <c r="B134" s="60"/>
      <c r="C134" s="44" t="s">
        <v>601</v>
      </c>
      <c r="D134" s="44" t="s">
        <v>616</v>
      </c>
      <c r="F134" s="76">
        <v>0</v>
      </c>
      <c r="H134" s="63">
        <f t="shared" ref="H134:Q137" si="52">IF(VLOOKUP($D134,$C$6:$AE$653,H$2,)=0,0,((VLOOKUP($D134,$C$6:$AE$653,H$2,)/VLOOKUP($D134,$C$6:$AE$653,4,))*$F134))</f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ref="R134:AE137" si="53">IF(VLOOKUP($D134,$C$6:$AE$653,R$2,)=0,0,((VLOOKUP($D134,$C$6:$AE$653,R$2,)/VLOOKUP($D134,$C$6:$AE$653,4,))*$F134))</f>
        <v>0</v>
      </c>
      <c r="S134" s="63">
        <f t="shared" si="53"/>
        <v>0</v>
      </c>
      <c r="T134" s="63">
        <f t="shared" si="53"/>
        <v>0</v>
      </c>
      <c r="U134" s="63">
        <f t="shared" si="53"/>
        <v>0</v>
      </c>
      <c r="V134" s="63">
        <f t="shared" si="53"/>
        <v>0</v>
      </c>
      <c r="W134" s="63">
        <f t="shared" si="53"/>
        <v>0</v>
      </c>
      <c r="X134" s="63">
        <f t="shared" si="53"/>
        <v>0</v>
      </c>
      <c r="Y134" s="63">
        <f t="shared" si="53"/>
        <v>0</v>
      </c>
      <c r="Z134" s="63">
        <f t="shared" si="53"/>
        <v>0</v>
      </c>
      <c r="AA134" s="63">
        <f t="shared" si="53"/>
        <v>0</v>
      </c>
      <c r="AB134" s="63">
        <f t="shared" si="53"/>
        <v>0</v>
      </c>
      <c r="AC134" s="63">
        <f t="shared" si="53"/>
        <v>0</v>
      </c>
      <c r="AD134" s="63">
        <f t="shared" si="53"/>
        <v>0</v>
      </c>
      <c r="AE134" s="63">
        <f t="shared" si="53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674</v>
      </c>
      <c r="B135" s="60"/>
      <c r="C135" s="44" t="s">
        <v>601</v>
      </c>
      <c r="D135" s="44" t="s">
        <v>1085</v>
      </c>
      <c r="F135" s="79">
        <v>0</v>
      </c>
      <c r="H135" s="63">
        <f t="shared" si="52"/>
        <v>0</v>
      </c>
      <c r="I135" s="63">
        <f t="shared" si="52"/>
        <v>0</v>
      </c>
      <c r="J135" s="63">
        <f t="shared" si="52"/>
        <v>0</v>
      </c>
      <c r="K135" s="63">
        <f t="shared" si="52"/>
        <v>0</v>
      </c>
      <c r="L135" s="63">
        <f t="shared" si="52"/>
        <v>0</v>
      </c>
      <c r="M135" s="63">
        <f t="shared" si="52"/>
        <v>0</v>
      </c>
      <c r="N135" s="63">
        <f t="shared" si="52"/>
        <v>0</v>
      </c>
      <c r="O135" s="63">
        <f t="shared" si="52"/>
        <v>0</v>
      </c>
      <c r="P135" s="63">
        <f t="shared" si="52"/>
        <v>0</v>
      </c>
      <c r="Q135" s="63">
        <f t="shared" si="52"/>
        <v>0</v>
      </c>
      <c r="R135" s="63">
        <f t="shared" si="53"/>
        <v>0</v>
      </c>
      <c r="S135" s="63">
        <f t="shared" si="53"/>
        <v>0</v>
      </c>
      <c r="T135" s="63">
        <f t="shared" si="53"/>
        <v>0</v>
      </c>
      <c r="U135" s="63">
        <f t="shared" si="53"/>
        <v>0</v>
      </c>
      <c r="V135" s="63">
        <f t="shared" si="53"/>
        <v>0</v>
      </c>
      <c r="W135" s="63">
        <f t="shared" si="53"/>
        <v>0</v>
      </c>
      <c r="X135" s="63">
        <f t="shared" si="53"/>
        <v>0</v>
      </c>
      <c r="Y135" s="63">
        <f t="shared" si="53"/>
        <v>0</v>
      </c>
      <c r="Z135" s="63">
        <f t="shared" si="53"/>
        <v>0</v>
      </c>
      <c r="AA135" s="63">
        <f t="shared" si="53"/>
        <v>0</v>
      </c>
      <c r="AB135" s="63">
        <f t="shared" si="53"/>
        <v>0</v>
      </c>
      <c r="AC135" s="63">
        <f t="shared" si="53"/>
        <v>0</v>
      </c>
      <c r="AD135" s="63">
        <f t="shared" si="53"/>
        <v>0</v>
      </c>
      <c r="AE135" s="63">
        <f t="shared" si="53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676</v>
      </c>
      <c r="B136" s="60"/>
      <c r="C136" s="44" t="s">
        <v>601</v>
      </c>
      <c r="D136" s="44" t="s">
        <v>859</v>
      </c>
      <c r="F136" s="79">
        <v>0</v>
      </c>
      <c r="H136" s="63">
        <f t="shared" si="52"/>
        <v>0</v>
      </c>
      <c r="I136" s="63">
        <f t="shared" si="52"/>
        <v>0</v>
      </c>
      <c r="J136" s="63">
        <f t="shared" si="52"/>
        <v>0</v>
      </c>
      <c r="K136" s="63">
        <f t="shared" si="52"/>
        <v>0</v>
      </c>
      <c r="L136" s="63">
        <f t="shared" si="52"/>
        <v>0</v>
      </c>
      <c r="M136" s="63">
        <f t="shared" si="52"/>
        <v>0</v>
      </c>
      <c r="N136" s="63">
        <f t="shared" si="52"/>
        <v>0</v>
      </c>
      <c r="O136" s="63">
        <f t="shared" si="52"/>
        <v>0</v>
      </c>
      <c r="P136" s="63">
        <f t="shared" si="52"/>
        <v>0</v>
      </c>
      <c r="Q136" s="63">
        <f t="shared" si="52"/>
        <v>0</v>
      </c>
      <c r="R136" s="63">
        <f t="shared" si="53"/>
        <v>0</v>
      </c>
      <c r="S136" s="63">
        <f t="shared" si="53"/>
        <v>0</v>
      </c>
      <c r="T136" s="63">
        <f t="shared" si="53"/>
        <v>0</v>
      </c>
      <c r="U136" s="63">
        <f t="shared" si="53"/>
        <v>0</v>
      </c>
      <c r="V136" s="63">
        <f t="shared" si="53"/>
        <v>0</v>
      </c>
      <c r="W136" s="63">
        <f t="shared" si="53"/>
        <v>0</v>
      </c>
      <c r="X136" s="63">
        <f t="shared" si="53"/>
        <v>0</v>
      </c>
      <c r="Y136" s="63">
        <f t="shared" si="53"/>
        <v>0</v>
      </c>
      <c r="Z136" s="63">
        <f t="shared" si="53"/>
        <v>0</v>
      </c>
      <c r="AA136" s="63">
        <f t="shared" si="53"/>
        <v>0</v>
      </c>
      <c r="AB136" s="63">
        <f t="shared" si="53"/>
        <v>0</v>
      </c>
      <c r="AC136" s="63">
        <f t="shared" si="53"/>
        <v>0</v>
      </c>
      <c r="AD136" s="63">
        <f t="shared" si="53"/>
        <v>0</v>
      </c>
      <c r="AE136" s="63">
        <f t="shared" si="53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 t="s">
        <v>677</v>
      </c>
      <c r="B137" s="60"/>
      <c r="C137" s="44" t="s">
        <v>601</v>
      </c>
      <c r="D137" s="44" t="s">
        <v>1087</v>
      </c>
      <c r="F137" s="79">
        <v>0</v>
      </c>
      <c r="H137" s="63">
        <f t="shared" si="52"/>
        <v>0</v>
      </c>
      <c r="I137" s="63">
        <f t="shared" si="52"/>
        <v>0</v>
      </c>
      <c r="J137" s="63">
        <f t="shared" si="52"/>
        <v>0</v>
      </c>
      <c r="K137" s="63">
        <f t="shared" si="52"/>
        <v>0</v>
      </c>
      <c r="L137" s="63">
        <f t="shared" si="52"/>
        <v>0</v>
      </c>
      <c r="M137" s="63">
        <f t="shared" si="52"/>
        <v>0</v>
      </c>
      <c r="N137" s="63">
        <f t="shared" si="52"/>
        <v>0</v>
      </c>
      <c r="O137" s="63">
        <f t="shared" si="52"/>
        <v>0</v>
      </c>
      <c r="P137" s="63">
        <f t="shared" si="52"/>
        <v>0</v>
      </c>
      <c r="Q137" s="63">
        <f t="shared" si="52"/>
        <v>0</v>
      </c>
      <c r="R137" s="63">
        <f t="shared" si="53"/>
        <v>0</v>
      </c>
      <c r="S137" s="63">
        <f t="shared" si="53"/>
        <v>0</v>
      </c>
      <c r="T137" s="63">
        <f t="shared" si="53"/>
        <v>0</v>
      </c>
      <c r="U137" s="63">
        <f t="shared" si="53"/>
        <v>0</v>
      </c>
      <c r="V137" s="63">
        <f t="shared" si="53"/>
        <v>0</v>
      </c>
      <c r="W137" s="63">
        <f t="shared" si="53"/>
        <v>0</v>
      </c>
      <c r="X137" s="63">
        <f t="shared" si="53"/>
        <v>0</v>
      </c>
      <c r="Y137" s="63">
        <f t="shared" si="53"/>
        <v>0</v>
      </c>
      <c r="Z137" s="63">
        <f t="shared" si="53"/>
        <v>0</v>
      </c>
      <c r="AA137" s="63">
        <f t="shared" si="53"/>
        <v>0</v>
      </c>
      <c r="AB137" s="63">
        <f t="shared" si="53"/>
        <v>0</v>
      </c>
      <c r="AC137" s="63">
        <f t="shared" si="53"/>
        <v>0</v>
      </c>
      <c r="AD137" s="63">
        <f t="shared" si="53"/>
        <v>0</v>
      </c>
      <c r="AE137" s="63">
        <f t="shared" si="53"/>
        <v>0</v>
      </c>
      <c r="AF137" s="63">
        <f>SUM(H137:AE137)</f>
        <v>0</v>
      </c>
      <c r="AG137" s="58" t="str">
        <f>IF(ABS(AF137-F137)&lt;1,"ok","err")</f>
        <v>ok</v>
      </c>
    </row>
    <row r="138" spans="1:33">
      <c r="A138" s="68"/>
      <c r="B138" s="60"/>
      <c r="F138" s="76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58"/>
    </row>
    <row r="139" spans="1:33">
      <c r="A139" s="60" t="s">
        <v>680</v>
      </c>
      <c r="B139" s="60"/>
      <c r="F139" s="76">
        <f>SUM(F134:F137)</f>
        <v>0</v>
      </c>
      <c r="H139" s="62">
        <f t="shared" ref="H139:M139" si="54">SUM(H134:H137)</f>
        <v>0</v>
      </c>
      <c r="I139" s="62">
        <f t="shared" si="54"/>
        <v>0</v>
      </c>
      <c r="J139" s="62">
        <f t="shared" si="54"/>
        <v>0</v>
      </c>
      <c r="K139" s="62">
        <f t="shared" si="54"/>
        <v>0</v>
      </c>
      <c r="L139" s="62">
        <f t="shared" si="54"/>
        <v>0</v>
      </c>
      <c r="M139" s="62">
        <f t="shared" si="54"/>
        <v>0</v>
      </c>
      <c r="N139" s="62">
        <f>SUM(N134:N137)</f>
        <v>0</v>
      </c>
      <c r="O139" s="62">
        <f>SUM(O134:O137)</f>
        <v>0</v>
      </c>
      <c r="P139" s="62">
        <f>SUM(P134:P137)</f>
        <v>0</v>
      </c>
      <c r="Q139" s="62">
        <f t="shared" ref="Q139:AB139" si="55">SUM(Q134:Q137)</f>
        <v>0</v>
      </c>
      <c r="R139" s="62">
        <f t="shared" si="55"/>
        <v>0</v>
      </c>
      <c r="S139" s="62">
        <f t="shared" si="55"/>
        <v>0</v>
      </c>
      <c r="T139" s="62">
        <f t="shared" si="55"/>
        <v>0</v>
      </c>
      <c r="U139" s="62">
        <f t="shared" si="55"/>
        <v>0</v>
      </c>
      <c r="V139" s="62">
        <f t="shared" si="55"/>
        <v>0</v>
      </c>
      <c r="W139" s="62">
        <f t="shared" si="55"/>
        <v>0</v>
      </c>
      <c r="X139" s="62">
        <f t="shared" si="55"/>
        <v>0</v>
      </c>
      <c r="Y139" s="62">
        <f t="shared" si="55"/>
        <v>0</v>
      </c>
      <c r="Z139" s="62">
        <f t="shared" si="55"/>
        <v>0</v>
      </c>
      <c r="AA139" s="62">
        <f t="shared" si="55"/>
        <v>0</v>
      </c>
      <c r="AB139" s="62">
        <f t="shared" si="55"/>
        <v>0</v>
      </c>
      <c r="AC139" s="62">
        <f>SUM(AC134:AC137)</f>
        <v>0</v>
      </c>
      <c r="AD139" s="62">
        <f>SUM(AD134:AD137)</f>
        <v>0</v>
      </c>
      <c r="AE139" s="62">
        <f>SUM(AE134:AE137)</f>
        <v>0</v>
      </c>
      <c r="AF139" s="63">
        <f>SUM(H139:AE139)</f>
        <v>0</v>
      </c>
      <c r="AG139" s="58" t="str">
        <f>IF(ABS(AF139-F139)&lt;1,"ok","err")</f>
        <v>ok</v>
      </c>
    </row>
    <row r="140" spans="1:33">
      <c r="A140" s="68"/>
      <c r="B140" s="60"/>
      <c r="F140" s="76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58"/>
    </row>
    <row r="141" spans="1:33" ht="14.1">
      <c r="A141" s="65" t="s">
        <v>907</v>
      </c>
      <c r="B141" s="60"/>
      <c r="C141" s="44" t="s">
        <v>908</v>
      </c>
      <c r="F141" s="80">
        <f>F110+F117+F123-F124-F131-F139</f>
        <v>3460077816.160141</v>
      </c>
      <c r="G141" s="64"/>
      <c r="H141" s="64">
        <f t="shared" ref="H141:M141" si="56">H98-H108+H117+H123-H124-H131-H139</f>
        <v>2009588145.2784369</v>
      </c>
      <c r="I141" s="64">
        <f t="shared" si="56"/>
        <v>0</v>
      </c>
      <c r="J141" s="64">
        <f t="shared" si="56"/>
        <v>0</v>
      </c>
      <c r="K141" s="64">
        <f t="shared" si="56"/>
        <v>78365698.835726827</v>
      </c>
      <c r="L141" s="64">
        <f t="shared" si="56"/>
        <v>0</v>
      </c>
      <c r="M141" s="64">
        <f t="shared" si="56"/>
        <v>0</v>
      </c>
      <c r="N141" s="64">
        <f>N98-N108+N117+N123-N124-N131-N139</f>
        <v>346878037.48055124</v>
      </c>
      <c r="O141" s="64">
        <f>O98-O108+O117+O123-O124-O131-O139</f>
        <v>0</v>
      </c>
      <c r="P141" s="64">
        <f>P98-P108+P117+P123-P124-P131-P139</f>
        <v>0</v>
      </c>
      <c r="Q141" s="64">
        <f t="shared" ref="Q141:AB141" si="57">Q98-Q108+Q117+Q123-Q124-Q131-Q139</f>
        <v>0</v>
      </c>
      <c r="R141" s="64">
        <f t="shared" si="57"/>
        <v>127246319.14306201</v>
      </c>
      <c r="S141" s="64">
        <f t="shared" si="57"/>
        <v>0</v>
      </c>
      <c r="T141" s="64">
        <f t="shared" si="57"/>
        <v>194814176.9478766</v>
      </c>
      <c r="U141" s="64">
        <f t="shared" si="57"/>
        <v>318901473.53138095</v>
      </c>
      <c r="V141" s="64">
        <f t="shared" si="57"/>
        <v>54455747.298117355</v>
      </c>
      <c r="W141" s="64">
        <f t="shared" si="57"/>
        <v>93072232.121397987</v>
      </c>
      <c r="X141" s="64">
        <f t="shared" si="57"/>
        <v>66122625.303167246</v>
      </c>
      <c r="Y141" s="64">
        <f t="shared" si="57"/>
        <v>36857274.11199981</v>
      </c>
      <c r="Z141" s="64">
        <f t="shared" si="57"/>
        <v>23551953.643023651</v>
      </c>
      <c r="AA141" s="64">
        <f t="shared" si="57"/>
        <v>26834744.844464965</v>
      </c>
      <c r="AB141" s="64">
        <f t="shared" si="57"/>
        <v>77771356.537982255</v>
      </c>
      <c r="AC141" s="64">
        <f>AC98-AC108+AC117+AC123-AC124-AC131-AC139</f>
        <v>4604270.2204592507</v>
      </c>
      <c r="AD141" s="64">
        <f>AD98-AD108+AD117+AD123-AD124-AD131-AD139</f>
        <v>1013760.8624949354</v>
      </c>
      <c r="AE141" s="64">
        <f>AE98-AE108+AE117+AE123-AE124-AE131-AE139</f>
        <v>0</v>
      </c>
      <c r="AF141" s="63">
        <f>SUM(H141:AE141)</f>
        <v>3460077816.1601424</v>
      </c>
      <c r="AG141" s="58" t="str">
        <f>IF(ABS(AF141-F141)&lt;1,"ok","err")</f>
        <v>ok</v>
      </c>
    </row>
    <row r="142" spans="1:33">
      <c r="A142" s="60"/>
      <c r="F142" s="80"/>
      <c r="W142" s="44"/>
      <c r="AG142" s="58"/>
    </row>
    <row r="143" spans="1:33">
      <c r="A143" s="60"/>
      <c r="W143" s="44"/>
      <c r="AG143" s="58"/>
    </row>
    <row r="144" spans="1:33" ht="14.1">
      <c r="A144" s="59" t="s">
        <v>899</v>
      </c>
      <c r="W144" s="44"/>
      <c r="AG144" s="58"/>
    </row>
    <row r="145" spans="1:33" ht="14.1">
      <c r="A145" s="59"/>
      <c r="W145" s="44"/>
      <c r="AG145" s="58"/>
    </row>
    <row r="146" spans="1:33" ht="14.1">
      <c r="A146" s="65" t="s">
        <v>207</v>
      </c>
      <c r="W146" s="44"/>
      <c r="AG146" s="58"/>
    </row>
    <row r="147" spans="1:33">
      <c r="A147" s="60">
        <v>500</v>
      </c>
      <c r="B147" s="44" t="s">
        <v>199</v>
      </c>
      <c r="C147" s="44" t="s">
        <v>200</v>
      </c>
      <c r="D147" s="44" t="s">
        <v>629</v>
      </c>
      <c r="F147" s="76">
        <v>5359918.9999999898</v>
      </c>
      <c r="H147" s="63">
        <f t="shared" ref="H147:Q154" si="58">IF(VLOOKUP($D147,$C$6:$AE$653,H$2,)=0,0,((VLOOKUP($D147,$C$6:$AE$653,H$2,)/VLOOKUP($D147,$C$6:$AE$653,4,))*$F147))</f>
        <v>4681924.591937134</v>
      </c>
      <c r="I147" s="63">
        <f t="shared" si="58"/>
        <v>0</v>
      </c>
      <c r="J147" s="63">
        <f t="shared" si="58"/>
        <v>0</v>
      </c>
      <c r="K147" s="63">
        <f t="shared" si="58"/>
        <v>677994.40806285548</v>
      </c>
      <c r="L147" s="63">
        <f t="shared" si="58"/>
        <v>0</v>
      </c>
      <c r="M147" s="63">
        <f t="shared" si="58"/>
        <v>0</v>
      </c>
      <c r="N147" s="63">
        <f t="shared" si="58"/>
        <v>0</v>
      </c>
      <c r="O147" s="63">
        <f t="shared" si="58"/>
        <v>0</v>
      </c>
      <c r="P147" s="63">
        <f t="shared" si="58"/>
        <v>0</v>
      </c>
      <c r="Q147" s="63">
        <f t="shared" si="58"/>
        <v>0</v>
      </c>
      <c r="R147" s="63">
        <f t="shared" ref="R147:AE154" si="59">IF(VLOOKUP($D147,$C$6:$AE$653,R$2,)=0,0,((VLOOKUP($D147,$C$6:$AE$653,R$2,)/VLOOKUP($D147,$C$6:$AE$653,4,))*$F147))</f>
        <v>0</v>
      </c>
      <c r="S147" s="63">
        <f t="shared" si="59"/>
        <v>0</v>
      </c>
      <c r="T147" s="63">
        <f t="shared" si="59"/>
        <v>0</v>
      </c>
      <c r="U147" s="63">
        <f t="shared" si="59"/>
        <v>0</v>
      </c>
      <c r="V147" s="63">
        <f t="shared" si="59"/>
        <v>0</v>
      </c>
      <c r="W147" s="63">
        <f t="shared" si="59"/>
        <v>0</v>
      </c>
      <c r="X147" s="63">
        <f t="shared" si="59"/>
        <v>0</v>
      </c>
      <c r="Y147" s="63">
        <f t="shared" si="59"/>
        <v>0</v>
      </c>
      <c r="Z147" s="63">
        <f t="shared" si="59"/>
        <v>0</v>
      </c>
      <c r="AA147" s="63">
        <f t="shared" si="59"/>
        <v>0</v>
      </c>
      <c r="AB147" s="63">
        <f t="shared" si="59"/>
        <v>0</v>
      </c>
      <c r="AC147" s="63">
        <f t="shared" si="59"/>
        <v>0</v>
      </c>
      <c r="AD147" s="63">
        <f t="shared" si="59"/>
        <v>0</v>
      </c>
      <c r="AE147" s="63">
        <f t="shared" si="59"/>
        <v>0</v>
      </c>
      <c r="AF147" s="63">
        <f t="shared" ref="AF147:AF154" si="60">SUM(H147:AE147)</f>
        <v>5359918.9999999898</v>
      </c>
      <c r="AG147" s="58" t="str">
        <f t="shared" ref="AG147:AG154" si="61">IF(ABS(AF147-F147)&lt;1,"ok","err")</f>
        <v>ok</v>
      </c>
    </row>
    <row r="148" spans="1:33">
      <c r="A148" s="275">
        <v>501</v>
      </c>
      <c r="B148" s="44" t="s">
        <v>201</v>
      </c>
      <c r="C148" s="44" t="s">
        <v>202</v>
      </c>
      <c r="D148" s="44" t="s">
        <v>854</v>
      </c>
      <c r="F148" s="79">
        <f>235364259.070788+18801513</f>
        <v>254165772.070788</v>
      </c>
      <c r="H148" s="63">
        <f t="shared" si="58"/>
        <v>0</v>
      </c>
      <c r="I148" s="63">
        <f t="shared" si="58"/>
        <v>0</v>
      </c>
      <c r="J148" s="63">
        <f t="shared" si="58"/>
        <v>0</v>
      </c>
      <c r="K148" s="63">
        <f t="shared" si="58"/>
        <v>254165772.070788</v>
      </c>
      <c r="L148" s="63">
        <f t="shared" si="58"/>
        <v>0</v>
      </c>
      <c r="M148" s="63">
        <f t="shared" si="58"/>
        <v>0</v>
      </c>
      <c r="N148" s="63">
        <f t="shared" si="58"/>
        <v>0</v>
      </c>
      <c r="O148" s="63">
        <f t="shared" si="58"/>
        <v>0</v>
      </c>
      <c r="P148" s="63">
        <f t="shared" si="58"/>
        <v>0</v>
      </c>
      <c r="Q148" s="63">
        <f t="shared" si="58"/>
        <v>0</v>
      </c>
      <c r="R148" s="63">
        <f t="shared" si="59"/>
        <v>0</v>
      </c>
      <c r="S148" s="63">
        <f t="shared" si="59"/>
        <v>0</v>
      </c>
      <c r="T148" s="63">
        <f t="shared" si="59"/>
        <v>0</v>
      </c>
      <c r="U148" s="63">
        <f t="shared" si="59"/>
        <v>0</v>
      </c>
      <c r="V148" s="63">
        <f t="shared" si="59"/>
        <v>0</v>
      </c>
      <c r="W148" s="63">
        <f t="shared" si="59"/>
        <v>0</v>
      </c>
      <c r="X148" s="63">
        <f t="shared" si="59"/>
        <v>0</v>
      </c>
      <c r="Y148" s="63">
        <f t="shared" si="59"/>
        <v>0</v>
      </c>
      <c r="Z148" s="63">
        <f t="shared" si="59"/>
        <v>0</v>
      </c>
      <c r="AA148" s="63">
        <f t="shared" si="59"/>
        <v>0</v>
      </c>
      <c r="AB148" s="63">
        <f t="shared" si="59"/>
        <v>0</v>
      </c>
      <c r="AC148" s="63">
        <f t="shared" si="59"/>
        <v>0</v>
      </c>
      <c r="AD148" s="63">
        <f t="shared" si="59"/>
        <v>0</v>
      </c>
      <c r="AE148" s="63">
        <f t="shared" si="59"/>
        <v>0</v>
      </c>
      <c r="AF148" s="63">
        <f t="shared" si="60"/>
        <v>254165772.070788</v>
      </c>
      <c r="AG148" s="58" t="str">
        <f t="shared" si="61"/>
        <v>ok</v>
      </c>
    </row>
    <row r="149" spans="1:33">
      <c r="A149" s="60">
        <v>502</v>
      </c>
      <c r="B149" s="44" t="s">
        <v>203</v>
      </c>
      <c r="C149" s="44" t="s">
        <v>204</v>
      </c>
      <c r="D149" s="44" t="s">
        <v>624</v>
      </c>
      <c r="F149" s="79">
        <f>19277414-592250</f>
        <v>18685164</v>
      </c>
      <c r="H149" s="63">
        <f t="shared" si="58"/>
        <v>18685164</v>
      </c>
      <c r="I149" s="63">
        <f t="shared" si="58"/>
        <v>0</v>
      </c>
      <c r="J149" s="63">
        <f t="shared" si="58"/>
        <v>0</v>
      </c>
      <c r="K149" s="63">
        <f t="shared" si="58"/>
        <v>0</v>
      </c>
      <c r="L149" s="63">
        <f t="shared" si="58"/>
        <v>0</v>
      </c>
      <c r="M149" s="63">
        <f t="shared" si="58"/>
        <v>0</v>
      </c>
      <c r="N149" s="63">
        <f t="shared" si="58"/>
        <v>0</v>
      </c>
      <c r="O149" s="63">
        <f t="shared" si="58"/>
        <v>0</v>
      </c>
      <c r="P149" s="63">
        <f t="shared" si="58"/>
        <v>0</v>
      </c>
      <c r="Q149" s="63">
        <f t="shared" si="58"/>
        <v>0</v>
      </c>
      <c r="R149" s="63">
        <f t="shared" si="59"/>
        <v>0</v>
      </c>
      <c r="S149" s="63">
        <f t="shared" si="59"/>
        <v>0</v>
      </c>
      <c r="T149" s="63">
        <f t="shared" si="59"/>
        <v>0</v>
      </c>
      <c r="U149" s="63">
        <f t="shared" si="59"/>
        <v>0</v>
      </c>
      <c r="V149" s="63">
        <f t="shared" si="59"/>
        <v>0</v>
      </c>
      <c r="W149" s="63">
        <f t="shared" si="59"/>
        <v>0</v>
      </c>
      <c r="X149" s="63">
        <f t="shared" si="59"/>
        <v>0</v>
      </c>
      <c r="Y149" s="63">
        <f t="shared" si="59"/>
        <v>0</v>
      </c>
      <c r="Z149" s="63">
        <f t="shared" si="59"/>
        <v>0</v>
      </c>
      <c r="AA149" s="63">
        <f t="shared" si="59"/>
        <v>0</v>
      </c>
      <c r="AB149" s="63">
        <f t="shared" si="59"/>
        <v>0</v>
      </c>
      <c r="AC149" s="63">
        <f t="shared" si="59"/>
        <v>0</v>
      </c>
      <c r="AD149" s="63">
        <f t="shared" si="59"/>
        <v>0</v>
      </c>
      <c r="AE149" s="63">
        <f t="shared" si="59"/>
        <v>0</v>
      </c>
      <c r="AF149" s="63">
        <f t="shared" si="60"/>
        <v>18685164</v>
      </c>
      <c r="AG149" s="58" t="str">
        <f t="shared" si="61"/>
        <v>ok</v>
      </c>
    </row>
    <row r="150" spans="1:33">
      <c r="A150" s="60">
        <v>504</v>
      </c>
      <c r="B150" s="60" t="s">
        <v>1176</v>
      </c>
      <c r="C150" s="44" t="s">
        <v>1174</v>
      </c>
      <c r="D150" s="44" t="s">
        <v>624</v>
      </c>
      <c r="F150" s="79">
        <v>0</v>
      </c>
      <c r="H150" s="63">
        <f t="shared" si="58"/>
        <v>0</v>
      </c>
      <c r="I150" s="63">
        <f t="shared" si="58"/>
        <v>0</v>
      </c>
      <c r="J150" s="63">
        <f t="shared" si="58"/>
        <v>0</v>
      </c>
      <c r="K150" s="63">
        <f t="shared" si="58"/>
        <v>0</v>
      </c>
      <c r="L150" s="63">
        <f t="shared" si="58"/>
        <v>0</v>
      </c>
      <c r="M150" s="63">
        <f t="shared" si="58"/>
        <v>0</v>
      </c>
      <c r="N150" s="63">
        <f t="shared" si="58"/>
        <v>0</v>
      </c>
      <c r="O150" s="63">
        <f t="shared" si="58"/>
        <v>0</v>
      </c>
      <c r="P150" s="63">
        <f t="shared" si="58"/>
        <v>0</v>
      </c>
      <c r="Q150" s="63">
        <f t="shared" si="58"/>
        <v>0</v>
      </c>
      <c r="R150" s="63">
        <f t="shared" si="59"/>
        <v>0</v>
      </c>
      <c r="S150" s="63">
        <f t="shared" si="59"/>
        <v>0</v>
      </c>
      <c r="T150" s="63">
        <f t="shared" si="59"/>
        <v>0</v>
      </c>
      <c r="U150" s="63">
        <f t="shared" si="59"/>
        <v>0</v>
      </c>
      <c r="V150" s="63">
        <f t="shared" si="59"/>
        <v>0</v>
      </c>
      <c r="W150" s="63">
        <f t="shared" si="59"/>
        <v>0</v>
      </c>
      <c r="X150" s="63">
        <f t="shared" si="59"/>
        <v>0</v>
      </c>
      <c r="Y150" s="63">
        <f t="shared" si="59"/>
        <v>0</v>
      </c>
      <c r="Z150" s="63">
        <f t="shared" si="59"/>
        <v>0</v>
      </c>
      <c r="AA150" s="63">
        <f t="shared" si="59"/>
        <v>0</v>
      </c>
      <c r="AB150" s="63">
        <f t="shared" si="59"/>
        <v>0</v>
      </c>
      <c r="AC150" s="63">
        <f t="shared" si="59"/>
        <v>0</v>
      </c>
      <c r="AD150" s="63">
        <f t="shared" si="59"/>
        <v>0</v>
      </c>
      <c r="AE150" s="63">
        <f t="shared" si="59"/>
        <v>0</v>
      </c>
      <c r="AF150" s="63">
        <f>SUM(H150:AE150)</f>
        <v>0</v>
      </c>
      <c r="AG150" s="58" t="str">
        <f>IF(ABS(AF150-F150)&lt;1,"ok","err")</f>
        <v>ok</v>
      </c>
    </row>
    <row r="151" spans="1:33">
      <c r="A151" s="60">
        <v>505</v>
      </c>
      <c r="B151" s="44" t="s">
        <v>205</v>
      </c>
      <c r="C151" s="44" t="s">
        <v>206</v>
      </c>
      <c r="D151" s="44" t="s">
        <v>624</v>
      </c>
      <c r="F151" s="79">
        <v>2353024</v>
      </c>
      <c r="H151" s="63">
        <f t="shared" si="58"/>
        <v>2353024</v>
      </c>
      <c r="I151" s="63">
        <f t="shared" si="58"/>
        <v>0</v>
      </c>
      <c r="J151" s="63">
        <f t="shared" si="58"/>
        <v>0</v>
      </c>
      <c r="K151" s="63">
        <f t="shared" si="58"/>
        <v>0</v>
      </c>
      <c r="L151" s="63">
        <f t="shared" si="58"/>
        <v>0</v>
      </c>
      <c r="M151" s="63">
        <f t="shared" si="58"/>
        <v>0</v>
      </c>
      <c r="N151" s="63">
        <f t="shared" si="58"/>
        <v>0</v>
      </c>
      <c r="O151" s="63">
        <f t="shared" si="58"/>
        <v>0</v>
      </c>
      <c r="P151" s="63">
        <f t="shared" si="58"/>
        <v>0</v>
      </c>
      <c r="Q151" s="63">
        <f t="shared" si="58"/>
        <v>0</v>
      </c>
      <c r="R151" s="63">
        <f t="shared" si="59"/>
        <v>0</v>
      </c>
      <c r="S151" s="63">
        <f t="shared" si="59"/>
        <v>0</v>
      </c>
      <c r="T151" s="63">
        <f t="shared" si="59"/>
        <v>0</v>
      </c>
      <c r="U151" s="63">
        <f t="shared" si="59"/>
        <v>0</v>
      </c>
      <c r="V151" s="63">
        <f t="shared" si="59"/>
        <v>0</v>
      </c>
      <c r="W151" s="63">
        <f t="shared" si="59"/>
        <v>0</v>
      </c>
      <c r="X151" s="63">
        <f t="shared" si="59"/>
        <v>0</v>
      </c>
      <c r="Y151" s="63">
        <f t="shared" si="59"/>
        <v>0</v>
      </c>
      <c r="Z151" s="63">
        <f t="shared" si="59"/>
        <v>0</v>
      </c>
      <c r="AA151" s="63">
        <f t="shared" si="59"/>
        <v>0</v>
      </c>
      <c r="AB151" s="63">
        <f t="shared" si="59"/>
        <v>0</v>
      </c>
      <c r="AC151" s="63">
        <f t="shared" si="59"/>
        <v>0</v>
      </c>
      <c r="AD151" s="63">
        <f t="shared" si="59"/>
        <v>0</v>
      </c>
      <c r="AE151" s="63">
        <f t="shared" si="59"/>
        <v>0</v>
      </c>
      <c r="AF151" s="63">
        <f t="shared" si="60"/>
        <v>2353024</v>
      </c>
      <c r="AG151" s="58" t="str">
        <f t="shared" si="61"/>
        <v>ok</v>
      </c>
    </row>
    <row r="152" spans="1:33">
      <c r="A152" s="60">
        <v>506</v>
      </c>
      <c r="B152" s="44" t="s">
        <v>208</v>
      </c>
      <c r="C152" s="44" t="s">
        <v>209</v>
      </c>
      <c r="D152" s="44" t="s">
        <v>624</v>
      </c>
      <c r="F152" s="79">
        <v>16437786</v>
      </c>
      <c r="H152" s="63">
        <f t="shared" si="58"/>
        <v>16437786</v>
      </c>
      <c r="I152" s="63">
        <f t="shared" si="58"/>
        <v>0</v>
      </c>
      <c r="J152" s="63">
        <f t="shared" si="58"/>
        <v>0</v>
      </c>
      <c r="K152" s="63">
        <f t="shared" si="58"/>
        <v>0</v>
      </c>
      <c r="L152" s="63">
        <f t="shared" si="58"/>
        <v>0</v>
      </c>
      <c r="M152" s="63">
        <f t="shared" si="58"/>
        <v>0</v>
      </c>
      <c r="N152" s="63">
        <f t="shared" si="58"/>
        <v>0</v>
      </c>
      <c r="O152" s="63">
        <f t="shared" si="58"/>
        <v>0</v>
      </c>
      <c r="P152" s="63">
        <f t="shared" si="58"/>
        <v>0</v>
      </c>
      <c r="Q152" s="63">
        <f t="shared" si="58"/>
        <v>0</v>
      </c>
      <c r="R152" s="63">
        <f t="shared" si="59"/>
        <v>0</v>
      </c>
      <c r="S152" s="63">
        <f t="shared" si="59"/>
        <v>0</v>
      </c>
      <c r="T152" s="63">
        <f t="shared" si="59"/>
        <v>0</v>
      </c>
      <c r="U152" s="63">
        <f t="shared" si="59"/>
        <v>0</v>
      </c>
      <c r="V152" s="63">
        <f t="shared" si="59"/>
        <v>0</v>
      </c>
      <c r="W152" s="63">
        <f t="shared" si="59"/>
        <v>0</v>
      </c>
      <c r="X152" s="63">
        <f t="shared" si="59"/>
        <v>0</v>
      </c>
      <c r="Y152" s="63">
        <f t="shared" si="59"/>
        <v>0</v>
      </c>
      <c r="Z152" s="63">
        <f t="shared" si="59"/>
        <v>0</v>
      </c>
      <c r="AA152" s="63">
        <f t="shared" si="59"/>
        <v>0</v>
      </c>
      <c r="AB152" s="63">
        <f t="shared" si="59"/>
        <v>0</v>
      </c>
      <c r="AC152" s="63">
        <f t="shared" si="59"/>
        <v>0</v>
      </c>
      <c r="AD152" s="63">
        <f t="shared" si="59"/>
        <v>0</v>
      </c>
      <c r="AE152" s="63">
        <f t="shared" si="59"/>
        <v>0</v>
      </c>
      <c r="AF152" s="63">
        <f t="shared" si="60"/>
        <v>16437786</v>
      </c>
      <c r="AG152" s="58" t="str">
        <f t="shared" si="61"/>
        <v>ok</v>
      </c>
    </row>
    <row r="153" spans="1:33">
      <c r="A153" s="60">
        <v>507</v>
      </c>
      <c r="B153" s="44" t="s">
        <v>928</v>
      </c>
      <c r="C153" s="44" t="s">
        <v>332</v>
      </c>
      <c r="D153" s="44" t="s">
        <v>624</v>
      </c>
      <c r="F153" s="79">
        <v>0</v>
      </c>
      <c r="H153" s="63">
        <f t="shared" si="58"/>
        <v>0</v>
      </c>
      <c r="I153" s="63">
        <f t="shared" si="58"/>
        <v>0</v>
      </c>
      <c r="J153" s="63">
        <f t="shared" si="58"/>
        <v>0</v>
      </c>
      <c r="K153" s="63">
        <f t="shared" si="58"/>
        <v>0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 t="shared" si="58"/>
        <v>0</v>
      </c>
      <c r="P153" s="63">
        <f t="shared" si="58"/>
        <v>0</v>
      </c>
      <c r="Q153" s="63">
        <f t="shared" si="58"/>
        <v>0</v>
      </c>
      <c r="R153" s="63">
        <f t="shared" si="59"/>
        <v>0</v>
      </c>
      <c r="S153" s="63">
        <f t="shared" si="59"/>
        <v>0</v>
      </c>
      <c r="T153" s="63">
        <f t="shared" si="59"/>
        <v>0</v>
      </c>
      <c r="U153" s="63">
        <f t="shared" si="59"/>
        <v>0</v>
      </c>
      <c r="V153" s="63">
        <f t="shared" si="59"/>
        <v>0</v>
      </c>
      <c r="W153" s="63">
        <f t="shared" si="59"/>
        <v>0</v>
      </c>
      <c r="X153" s="63">
        <f t="shared" si="59"/>
        <v>0</v>
      </c>
      <c r="Y153" s="63">
        <f t="shared" si="59"/>
        <v>0</v>
      </c>
      <c r="Z153" s="63">
        <f t="shared" si="59"/>
        <v>0</v>
      </c>
      <c r="AA153" s="63">
        <f t="shared" si="59"/>
        <v>0</v>
      </c>
      <c r="AB153" s="63">
        <f t="shared" si="59"/>
        <v>0</v>
      </c>
      <c r="AC153" s="63">
        <f t="shared" si="59"/>
        <v>0</v>
      </c>
      <c r="AD153" s="63">
        <f t="shared" si="59"/>
        <v>0</v>
      </c>
      <c r="AE153" s="63">
        <f t="shared" si="59"/>
        <v>0</v>
      </c>
      <c r="AF153" s="63">
        <f>SUM(H153:AE153)</f>
        <v>0</v>
      </c>
      <c r="AG153" s="58" t="str">
        <f t="shared" si="61"/>
        <v>ok</v>
      </c>
    </row>
    <row r="154" spans="1:33">
      <c r="A154" s="60">
        <v>509</v>
      </c>
      <c r="B154" s="44" t="s">
        <v>575</v>
      </c>
      <c r="C154" s="44" t="s">
        <v>574</v>
      </c>
      <c r="D154" s="44" t="s">
        <v>624</v>
      </c>
      <c r="F154" s="79">
        <v>0</v>
      </c>
      <c r="H154" s="63">
        <f t="shared" si="58"/>
        <v>0</v>
      </c>
      <c r="I154" s="63">
        <f t="shared" si="58"/>
        <v>0</v>
      </c>
      <c r="J154" s="63">
        <f t="shared" si="58"/>
        <v>0</v>
      </c>
      <c r="K154" s="63">
        <f t="shared" si="58"/>
        <v>0</v>
      </c>
      <c r="L154" s="63">
        <f t="shared" si="58"/>
        <v>0</v>
      </c>
      <c r="M154" s="63">
        <f t="shared" si="58"/>
        <v>0</v>
      </c>
      <c r="N154" s="63">
        <f t="shared" si="58"/>
        <v>0</v>
      </c>
      <c r="O154" s="63">
        <f t="shared" si="58"/>
        <v>0</v>
      </c>
      <c r="P154" s="63">
        <f t="shared" si="58"/>
        <v>0</v>
      </c>
      <c r="Q154" s="63">
        <f t="shared" si="58"/>
        <v>0</v>
      </c>
      <c r="R154" s="63">
        <f t="shared" si="59"/>
        <v>0</v>
      </c>
      <c r="S154" s="63">
        <f t="shared" si="59"/>
        <v>0</v>
      </c>
      <c r="T154" s="63">
        <f t="shared" si="59"/>
        <v>0</v>
      </c>
      <c r="U154" s="63">
        <f t="shared" si="59"/>
        <v>0</v>
      </c>
      <c r="V154" s="63">
        <f t="shared" si="59"/>
        <v>0</v>
      </c>
      <c r="W154" s="63">
        <f t="shared" si="59"/>
        <v>0</v>
      </c>
      <c r="X154" s="63">
        <f t="shared" si="59"/>
        <v>0</v>
      </c>
      <c r="Y154" s="63">
        <f t="shared" si="59"/>
        <v>0</v>
      </c>
      <c r="Z154" s="63">
        <f t="shared" si="59"/>
        <v>0</v>
      </c>
      <c r="AA154" s="63">
        <f t="shared" si="59"/>
        <v>0</v>
      </c>
      <c r="AB154" s="63">
        <f t="shared" si="59"/>
        <v>0</v>
      </c>
      <c r="AC154" s="63">
        <f t="shared" si="59"/>
        <v>0</v>
      </c>
      <c r="AD154" s="63">
        <f t="shared" si="59"/>
        <v>0</v>
      </c>
      <c r="AE154" s="63">
        <f t="shared" si="59"/>
        <v>0</v>
      </c>
      <c r="AF154" s="63">
        <f t="shared" si="60"/>
        <v>0</v>
      </c>
      <c r="AG154" s="58" t="str">
        <f t="shared" si="61"/>
        <v>ok</v>
      </c>
    </row>
    <row r="155" spans="1:33">
      <c r="A155" s="60"/>
      <c r="F155" s="76"/>
      <c r="W155" s="44"/>
      <c r="AG155" s="58"/>
    </row>
    <row r="156" spans="1:33">
      <c r="A156" s="60"/>
      <c r="B156" s="44" t="s">
        <v>210</v>
      </c>
      <c r="F156" s="76">
        <f>SUM(F147:F155)</f>
        <v>297001665.07078803</v>
      </c>
      <c r="H156" s="62">
        <f>SUM(H147:H155)</f>
        <v>42157898.591937132</v>
      </c>
      <c r="I156" s="62">
        <f t="shared" ref="I156:AF156" si="62">SUM(I147:I155)</f>
        <v>0</v>
      </c>
      <c r="J156" s="62">
        <f t="shared" si="62"/>
        <v>0</v>
      </c>
      <c r="K156" s="62">
        <f t="shared" si="62"/>
        <v>254843766.47885084</v>
      </c>
      <c r="L156" s="62">
        <f t="shared" si="62"/>
        <v>0</v>
      </c>
      <c r="M156" s="62">
        <f t="shared" si="62"/>
        <v>0</v>
      </c>
      <c r="N156" s="62">
        <f t="shared" si="62"/>
        <v>0</v>
      </c>
      <c r="O156" s="62">
        <f>SUM(O147:O155)</f>
        <v>0</v>
      </c>
      <c r="P156" s="62">
        <f>SUM(P147:P155)</f>
        <v>0</v>
      </c>
      <c r="Q156" s="62">
        <f t="shared" si="62"/>
        <v>0</v>
      </c>
      <c r="R156" s="62">
        <f t="shared" si="62"/>
        <v>0</v>
      </c>
      <c r="S156" s="62">
        <f t="shared" si="62"/>
        <v>0</v>
      </c>
      <c r="T156" s="62">
        <f t="shared" si="62"/>
        <v>0</v>
      </c>
      <c r="U156" s="62">
        <f>SUM(U147:U155)</f>
        <v>0</v>
      </c>
      <c r="V156" s="62">
        <f>SUM(V147:V155)</f>
        <v>0</v>
      </c>
      <c r="W156" s="62">
        <f>SUM(W147:W155)</f>
        <v>0</v>
      </c>
      <c r="X156" s="62">
        <f t="shared" si="62"/>
        <v>0</v>
      </c>
      <c r="Y156" s="62">
        <f t="shared" si="62"/>
        <v>0</v>
      </c>
      <c r="Z156" s="62">
        <f>SUM(Z147:Z155)</f>
        <v>0</v>
      </c>
      <c r="AA156" s="62">
        <f>SUM(AA147:AA155)</f>
        <v>0</v>
      </c>
      <c r="AB156" s="62">
        <f t="shared" si="62"/>
        <v>0</v>
      </c>
      <c r="AC156" s="62">
        <f t="shared" si="62"/>
        <v>0</v>
      </c>
      <c r="AD156" s="62">
        <f t="shared" si="62"/>
        <v>0</v>
      </c>
      <c r="AE156" s="62">
        <f t="shared" si="62"/>
        <v>0</v>
      </c>
      <c r="AF156" s="62">
        <f t="shared" si="62"/>
        <v>297001665.07078803</v>
      </c>
      <c r="AG156" s="58" t="str">
        <f>IF(ABS(AF156-F156)&lt;1,"ok","err")</f>
        <v>ok</v>
      </c>
    </row>
    <row r="157" spans="1:33">
      <c r="A157" s="60"/>
      <c r="F157" s="76"/>
      <c r="W157" s="44"/>
      <c r="AG157" s="58"/>
    </row>
    <row r="158" spans="1:33" ht="14.1">
      <c r="A158" s="65" t="s">
        <v>211</v>
      </c>
      <c r="F158" s="76"/>
      <c r="W158" s="44"/>
      <c r="AG158" s="58"/>
    </row>
    <row r="159" spans="1:33">
      <c r="A159" s="60">
        <v>510</v>
      </c>
      <c r="B159" s="44" t="s">
        <v>214</v>
      </c>
      <c r="C159" s="44" t="s">
        <v>212</v>
      </c>
      <c r="D159" s="44" t="s">
        <v>86</v>
      </c>
      <c r="F159" s="76">
        <v>8141536</v>
      </c>
      <c r="H159" s="63">
        <f t="shared" ref="H159:Q163" si="63">IF(VLOOKUP($D159,$C$6:$AE$653,H$2,)=0,0,((VLOOKUP($D159,$C$6:$AE$653,H$2,)/VLOOKUP($D159,$C$6:$AE$653,4,))*$F159))</f>
        <v>31953.473259009832</v>
      </c>
      <c r="I159" s="63">
        <f t="shared" si="63"/>
        <v>0</v>
      </c>
      <c r="J159" s="63">
        <f t="shared" si="63"/>
        <v>0</v>
      </c>
      <c r="K159" s="63">
        <f t="shared" si="63"/>
        <v>8109582.5267409896</v>
      </c>
      <c r="L159" s="63">
        <f t="shared" si="63"/>
        <v>0</v>
      </c>
      <c r="M159" s="63">
        <f t="shared" si="63"/>
        <v>0</v>
      </c>
      <c r="N159" s="63">
        <f t="shared" si="63"/>
        <v>0</v>
      </c>
      <c r="O159" s="63">
        <f t="shared" si="63"/>
        <v>0</v>
      </c>
      <c r="P159" s="63">
        <f t="shared" si="63"/>
        <v>0</v>
      </c>
      <c r="Q159" s="63">
        <f t="shared" si="63"/>
        <v>0</v>
      </c>
      <c r="R159" s="63">
        <f t="shared" ref="R159:AE163" si="64">IF(VLOOKUP($D159,$C$6:$AE$653,R$2,)=0,0,((VLOOKUP($D159,$C$6:$AE$653,R$2,)/VLOOKUP($D159,$C$6:$AE$653,4,))*$F159))</f>
        <v>0</v>
      </c>
      <c r="S159" s="63">
        <f t="shared" si="64"/>
        <v>0</v>
      </c>
      <c r="T159" s="63">
        <f t="shared" si="64"/>
        <v>0</v>
      </c>
      <c r="U159" s="63">
        <f t="shared" si="64"/>
        <v>0</v>
      </c>
      <c r="V159" s="63">
        <f t="shared" si="64"/>
        <v>0</v>
      </c>
      <c r="W159" s="63">
        <f t="shared" si="64"/>
        <v>0</v>
      </c>
      <c r="X159" s="63">
        <f t="shared" si="64"/>
        <v>0</v>
      </c>
      <c r="Y159" s="63">
        <f t="shared" si="64"/>
        <v>0</v>
      </c>
      <c r="Z159" s="63">
        <f t="shared" si="64"/>
        <v>0</v>
      </c>
      <c r="AA159" s="63">
        <f t="shared" si="64"/>
        <v>0</v>
      </c>
      <c r="AB159" s="63">
        <f t="shared" si="64"/>
        <v>0</v>
      </c>
      <c r="AC159" s="63">
        <f t="shared" si="64"/>
        <v>0</v>
      </c>
      <c r="AD159" s="63">
        <f t="shared" si="64"/>
        <v>0</v>
      </c>
      <c r="AE159" s="63">
        <f t="shared" si="64"/>
        <v>0</v>
      </c>
      <c r="AF159" s="63">
        <f>SUM(H159:AE159)</f>
        <v>8141535.9999999991</v>
      </c>
      <c r="AG159" s="58" t="str">
        <f>IF(ABS(AF159-F159)&lt;1,"ok","err")</f>
        <v>ok</v>
      </c>
    </row>
    <row r="160" spans="1:33">
      <c r="A160" s="60">
        <v>511</v>
      </c>
      <c r="B160" s="44" t="s">
        <v>213</v>
      </c>
      <c r="C160" s="44" t="s">
        <v>215</v>
      </c>
      <c r="D160" s="44" t="s">
        <v>624</v>
      </c>
      <c r="F160" s="79">
        <v>3444669</v>
      </c>
      <c r="H160" s="63">
        <f t="shared" si="63"/>
        <v>3444669</v>
      </c>
      <c r="I160" s="63">
        <f t="shared" si="63"/>
        <v>0</v>
      </c>
      <c r="J160" s="63">
        <f t="shared" si="63"/>
        <v>0</v>
      </c>
      <c r="K160" s="63">
        <f t="shared" si="63"/>
        <v>0</v>
      </c>
      <c r="L160" s="63">
        <f t="shared" si="63"/>
        <v>0</v>
      </c>
      <c r="M160" s="63">
        <f t="shared" si="63"/>
        <v>0</v>
      </c>
      <c r="N160" s="63">
        <f t="shared" si="63"/>
        <v>0</v>
      </c>
      <c r="O160" s="63">
        <f t="shared" si="63"/>
        <v>0</v>
      </c>
      <c r="P160" s="63">
        <f t="shared" si="63"/>
        <v>0</v>
      </c>
      <c r="Q160" s="63">
        <f t="shared" si="63"/>
        <v>0</v>
      </c>
      <c r="R160" s="63">
        <f t="shared" si="64"/>
        <v>0</v>
      </c>
      <c r="S160" s="63">
        <f t="shared" si="64"/>
        <v>0</v>
      </c>
      <c r="T160" s="63">
        <f t="shared" si="64"/>
        <v>0</v>
      </c>
      <c r="U160" s="63">
        <f t="shared" si="64"/>
        <v>0</v>
      </c>
      <c r="V160" s="63">
        <f t="shared" si="64"/>
        <v>0</v>
      </c>
      <c r="W160" s="63">
        <f t="shared" si="64"/>
        <v>0</v>
      </c>
      <c r="X160" s="63">
        <f t="shared" si="64"/>
        <v>0</v>
      </c>
      <c r="Y160" s="63">
        <f t="shared" si="64"/>
        <v>0</v>
      </c>
      <c r="Z160" s="63">
        <f t="shared" si="64"/>
        <v>0</v>
      </c>
      <c r="AA160" s="63">
        <f t="shared" si="64"/>
        <v>0</v>
      </c>
      <c r="AB160" s="63">
        <f t="shared" si="64"/>
        <v>0</v>
      </c>
      <c r="AC160" s="63">
        <f t="shared" si="64"/>
        <v>0</v>
      </c>
      <c r="AD160" s="63">
        <f t="shared" si="64"/>
        <v>0</v>
      </c>
      <c r="AE160" s="63">
        <f t="shared" si="64"/>
        <v>0</v>
      </c>
      <c r="AF160" s="63">
        <f>SUM(H160:AE160)</f>
        <v>3444669</v>
      </c>
      <c r="AG160" s="58" t="str">
        <f>IF(ABS(AF160-F160)&lt;1,"ok","err")</f>
        <v>ok</v>
      </c>
    </row>
    <row r="161" spans="1:33">
      <c r="A161" s="60">
        <v>512</v>
      </c>
      <c r="B161" s="44" t="s">
        <v>216</v>
      </c>
      <c r="C161" s="44" t="s">
        <v>218</v>
      </c>
      <c r="D161" s="44" t="s">
        <v>854</v>
      </c>
      <c r="F161" s="79">
        <f>35468576-1126079</f>
        <v>34342497</v>
      </c>
      <c r="H161" s="63">
        <f t="shared" si="63"/>
        <v>0</v>
      </c>
      <c r="I161" s="63">
        <f t="shared" si="63"/>
        <v>0</v>
      </c>
      <c r="J161" s="63">
        <f t="shared" si="63"/>
        <v>0</v>
      </c>
      <c r="K161" s="63">
        <f t="shared" si="63"/>
        <v>34342497</v>
      </c>
      <c r="L161" s="63">
        <f t="shared" si="63"/>
        <v>0</v>
      </c>
      <c r="M161" s="63">
        <f t="shared" si="63"/>
        <v>0</v>
      </c>
      <c r="N161" s="63">
        <f t="shared" si="63"/>
        <v>0</v>
      </c>
      <c r="O161" s="63">
        <f t="shared" si="63"/>
        <v>0</v>
      </c>
      <c r="P161" s="63">
        <f t="shared" si="63"/>
        <v>0</v>
      </c>
      <c r="Q161" s="63">
        <f t="shared" si="63"/>
        <v>0</v>
      </c>
      <c r="R161" s="63">
        <f t="shared" si="64"/>
        <v>0</v>
      </c>
      <c r="S161" s="63">
        <f t="shared" si="64"/>
        <v>0</v>
      </c>
      <c r="T161" s="63">
        <f t="shared" si="64"/>
        <v>0</v>
      </c>
      <c r="U161" s="63">
        <f t="shared" si="64"/>
        <v>0</v>
      </c>
      <c r="V161" s="63">
        <f t="shared" si="64"/>
        <v>0</v>
      </c>
      <c r="W161" s="63">
        <f t="shared" si="64"/>
        <v>0</v>
      </c>
      <c r="X161" s="63">
        <f t="shared" si="64"/>
        <v>0</v>
      </c>
      <c r="Y161" s="63">
        <f t="shared" si="64"/>
        <v>0</v>
      </c>
      <c r="Z161" s="63">
        <f t="shared" si="64"/>
        <v>0</v>
      </c>
      <c r="AA161" s="63">
        <f t="shared" si="64"/>
        <v>0</v>
      </c>
      <c r="AB161" s="63">
        <f t="shared" si="64"/>
        <v>0</v>
      </c>
      <c r="AC161" s="63">
        <f t="shared" si="64"/>
        <v>0</v>
      </c>
      <c r="AD161" s="63">
        <f t="shared" si="64"/>
        <v>0</v>
      </c>
      <c r="AE161" s="63">
        <f t="shared" si="64"/>
        <v>0</v>
      </c>
      <c r="AF161" s="63">
        <f>SUM(H161:AE161)</f>
        <v>34342497</v>
      </c>
      <c r="AG161" s="58" t="str">
        <f>IF(ABS(AF161-F161)&lt;1,"ok","err")</f>
        <v>ok</v>
      </c>
    </row>
    <row r="162" spans="1:33">
      <c r="A162" s="60">
        <v>513</v>
      </c>
      <c r="B162" s="44" t="s">
        <v>217</v>
      </c>
      <c r="C162" s="44" t="s">
        <v>219</v>
      </c>
      <c r="D162" s="44" t="s">
        <v>854</v>
      </c>
      <c r="F162" s="79">
        <v>14018415</v>
      </c>
      <c r="H162" s="63">
        <f t="shared" si="63"/>
        <v>0</v>
      </c>
      <c r="I162" s="63">
        <f t="shared" si="63"/>
        <v>0</v>
      </c>
      <c r="J162" s="63">
        <f t="shared" si="63"/>
        <v>0</v>
      </c>
      <c r="K162" s="63">
        <f t="shared" si="63"/>
        <v>14018415</v>
      </c>
      <c r="L162" s="63">
        <f t="shared" si="63"/>
        <v>0</v>
      </c>
      <c r="M162" s="63">
        <f t="shared" si="63"/>
        <v>0</v>
      </c>
      <c r="N162" s="63">
        <f t="shared" si="63"/>
        <v>0</v>
      </c>
      <c r="O162" s="63">
        <f t="shared" si="63"/>
        <v>0</v>
      </c>
      <c r="P162" s="63">
        <f t="shared" si="63"/>
        <v>0</v>
      </c>
      <c r="Q162" s="63">
        <f t="shared" si="63"/>
        <v>0</v>
      </c>
      <c r="R162" s="63">
        <f t="shared" si="64"/>
        <v>0</v>
      </c>
      <c r="S162" s="63">
        <f t="shared" si="64"/>
        <v>0</v>
      </c>
      <c r="T162" s="63">
        <f t="shared" si="64"/>
        <v>0</v>
      </c>
      <c r="U162" s="63">
        <f t="shared" si="64"/>
        <v>0</v>
      </c>
      <c r="V162" s="63">
        <f t="shared" si="64"/>
        <v>0</v>
      </c>
      <c r="W162" s="63">
        <f t="shared" si="64"/>
        <v>0</v>
      </c>
      <c r="X162" s="63">
        <f t="shared" si="64"/>
        <v>0</v>
      </c>
      <c r="Y162" s="63">
        <f t="shared" si="64"/>
        <v>0</v>
      </c>
      <c r="Z162" s="63">
        <f t="shared" si="64"/>
        <v>0</v>
      </c>
      <c r="AA162" s="63">
        <f t="shared" si="64"/>
        <v>0</v>
      </c>
      <c r="AB162" s="63">
        <f t="shared" si="64"/>
        <v>0</v>
      </c>
      <c r="AC162" s="63">
        <f t="shared" si="64"/>
        <v>0</v>
      </c>
      <c r="AD162" s="63">
        <f t="shared" si="64"/>
        <v>0</v>
      </c>
      <c r="AE162" s="63">
        <f t="shared" si="64"/>
        <v>0</v>
      </c>
      <c r="AF162" s="63">
        <f>SUM(H162:AE162)</f>
        <v>14018415</v>
      </c>
      <c r="AG162" s="58" t="str">
        <f>IF(ABS(AF162-F162)&lt;1,"ok","err")</f>
        <v>ok</v>
      </c>
    </row>
    <row r="163" spans="1:33">
      <c r="A163" s="60">
        <v>514</v>
      </c>
      <c r="B163" s="44" t="s">
        <v>220</v>
      </c>
      <c r="C163" s="44" t="s">
        <v>221</v>
      </c>
      <c r="D163" s="44" t="s">
        <v>854</v>
      </c>
      <c r="F163" s="79">
        <v>1551793</v>
      </c>
      <c r="H163" s="63">
        <f t="shared" si="63"/>
        <v>0</v>
      </c>
      <c r="I163" s="63">
        <f t="shared" si="63"/>
        <v>0</v>
      </c>
      <c r="J163" s="63">
        <f t="shared" si="63"/>
        <v>0</v>
      </c>
      <c r="K163" s="63">
        <f t="shared" si="63"/>
        <v>1551793</v>
      </c>
      <c r="L163" s="63">
        <f t="shared" si="63"/>
        <v>0</v>
      </c>
      <c r="M163" s="63">
        <f t="shared" si="63"/>
        <v>0</v>
      </c>
      <c r="N163" s="63">
        <f t="shared" si="63"/>
        <v>0</v>
      </c>
      <c r="O163" s="63">
        <f t="shared" si="63"/>
        <v>0</v>
      </c>
      <c r="P163" s="63">
        <f t="shared" si="63"/>
        <v>0</v>
      </c>
      <c r="Q163" s="63">
        <f t="shared" si="63"/>
        <v>0</v>
      </c>
      <c r="R163" s="63">
        <f t="shared" si="64"/>
        <v>0</v>
      </c>
      <c r="S163" s="63">
        <f t="shared" si="64"/>
        <v>0</v>
      </c>
      <c r="T163" s="63">
        <f t="shared" si="64"/>
        <v>0</v>
      </c>
      <c r="U163" s="63">
        <f t="shared" si="64"/>
        <v>0</v>
      </c>
      <c r="V163" s="63">
        <f t="shared" si="64"/>
        <v>0</v>
      </c>
      <c r="W163" s="63">
        <f t="shared" si="64"/>
        <v>0</v>
      </c>
      <c r="X163" s="63">
        <f t="shared" si="64"/>
        <v>0</v>
      </c>
      <c r="Y163" s="63">
        <f t="shared" si="64"/>
        <v>0</v>
      </c>
      <c r="Z163" s="63">
        <f t="shared" si="64"/>
        <v>0</v>
      </c>
      <c r="AA163" s="63">
        <f t="shared" si="64"/>
        <v>0</v>
      </c>
      <c r="AB163" s="63">
        <f t="shared" si="64"/>
        <v>0</v>
      </c>
      <c r="AC163" s="63">
        <f t="shared" si="64"/>
        <v>0</v>
      </c>
      <c r="AD163" s="63">
        <f t="shared" si="64"/>
        <v>0</v>
      </c>
      <c r="AE163" s="63">
        <f t="shared" si="64"/>
        <v>0</v>
      </c>
      <c r="AF163" s="63">
        <f>SUM(H163:AE163)</f>
        <v>1551793</v>
      </c>
      <c r="AG163" s="58" t="str">
        <f>IF(ABS(AF163-F163)&lt;1,"ok","err")</f>
        <v>ok</v>
      </c>
    </row>
    <row r="164" spans="1:33">
      <c r="A164" s="60"/>
      <c r="F164" s="76"/>
      <c r="W164" s="44"/>
      <c r="AF164" s="63"/>
      <c r="AG164" s="58"/>
    </row>
    <row r="165" spans="1:33">
      <c r="A165" s="60"/>
      <c r="B165" s="44" t="s">
        <v>222</v>
      </c>
      <c r="F165" s="76">
        <f>SUM(F159:F164)</f>
        <v>61498910</v>
      </c>
      <c r="H165" s="62">
        <f t="shared" ref="H165:M165" si="65">SUM(H159:H164)</f>
        <v>3476622.4732590099</v>
      </c>
      <c r="I165" s="62">
        <f t="shared" si="65"/>
        <v>0</v>
      </c>
      <c r="J165" s="62">
        <f t="shared" si="65"/>
        <v>0</v>
      </c>
      <c r="K165" s="62">
        <f t="shared" si="65"/>
        <v>58022287.526740991</v>
      </c>
      <c r="L165" s="62">
        <f t="shared" si="65"/>
        <v>0</v>
      </c>
      <c r="M165" s="62">
        <f t="shared" si="65"/>
        <v>0</v>
      </c>
      <c r="N165" s="62">
        <f>SUM(N159:N164)</f>
        <v>0</v>
      </c>
      <c r="O165" s="62">
        <f>SUM(O159:O164)</f>
        <v>0</v>
      </c>
      <c r="P165" s="62">
        <f>SUM(P159:P164)</f>
        <v>0</v>
      </c>
      <c r="Q165" s="62">
        <f t="shared" ref="Q165:AB165" si="66">SUM(Q159:Q164)</f>
        <v>0</v>
      </c>
      <c r="R165" s="62">
        <f t="shared" si="66"/>
        <v>0</v>
      </c>
      <c r="S165" s="62">
        <f t="shared" si="66"/>
        <v>0</v>
      </c>
      <c r="T165" s="62">
        <f t="shared" si="66"/>
        <v>0</v>
      </c>
      <c r="U165" s="62">
        <f t="shared" si="66"/>
        <v>0</v>
      </c>
      <c r="V165" s="62">
        <f t="shared" si="66"/>
        <v>0</v>
      </c>
      <c r="W165" s="62">
        <f t="shared" si="66"/>
        <v>0</v>
      </c>
      <c r="X165" s="62">
        <f t="shared" si="66"/>
        <v>0</v>
      </c>
      <c r="Y165" s="62">
        <f t="shared" si="66"/>
        <v>0</v>
      </c>
      <c r="Z165" s="62">
        <f t="shared" si="66"/>
        <v>0</v>
      </c>
      <c r="AA165" s="62">
        <f t="shared" si="66"/>
        <v>0</v>
      </c>
      <c r="AB165" s="62">
        <f t="shared" si="66"/>
        <v>0</v>
      </c>
      <c r="AC165" s="62">
        <f>SUM(AC159:AC164)</f>
        <v>0</v>
      </c>
      <c r="AD165" s="62">
        <f>SUM(AD159:AD164)</f>
        <v>0</v>
      </c>
      <c r="AE165" s="62">
        <f>SUM(AE159:AE164)</f>
        <v>0</v>
      </c>
      <c r="AF165" s="63">
        <f>SUM(H165:AE165)</f>
        <v>61498910</v>
      </c>
      <c r="AG165" s="58" t="str">
        <f>IF(ABS(AF165-F165)&lt;1,"ok","err")</f>
        <v>ok</v>
      </c>
    </row>
    <row r="166" spans="1:33">
      <c r="A166" s="60"/>
      <c r="F166" s="76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58"/>
    </row>
    <row r="167" spans="1:33">
      <c r="A167" s="60"/>
      <c r="B167" s="44" t="s">
        <v>223</v>
      </c>
      <c r="F167" s="173">
        <f>F156+F165</f>
        <v>358500575.07078803</v>
      </c>
      <c r="H167" s="62">
        <f t="shared" ref="H167:M167" si="67">H156+H165</f>
        <v>45634521.065196142</v>
      </c>
      <c r="I167" s="62">
        <f t="shared" si="67"/>
        <v>0</v>
      </c>
      <c r="J167" s="62">
        <f t="shared" si="67"/>
        <v>0</v>
      </c>
      <c r="K167" s="62">
        <f t="shared" si="67"/>
        <v>312866054.00559181</v>
      </c>
      <c r="L167" s="62">
        <f t="shared" si="67"/>
        <v>0</v>
      </c>
      <c r="M167" s="62">
        <f t="shared" si="67"/>
        <v>0</v>
      </c>
      <c r="N167" s="62">
        <f>N156+N165</f>
        <v>0</v>
      </c>
      <c r="O167" s="62">
        <f>O156+O165</f>
        <v>0</v>
      </c>
      <c r="P167" s="62">
        <f>P156+P165</f>
        <v>0</v>
      </c>
      <c r="Q167" s="62">
        <f t="shared" ref="Q167:AB167" si="68">Q156+Q165</f>
        <v>0</v>
      </c>
      <c r="R167" s="62">
        <f t="shared" si="68"/>
        <v>0</v>
      </c>
      <c r="S167" s="62">
        <f t="shared" si="68"/>
        <v>0</v>
      </c>
      <c r="T167" s="62">
        <f t="shared" si="68"/>
        <v>0</v>
      </c>
      <c r="U167" s="62">
        <f t="shared" si="68"/>
        <v>0</v>
      </c>
      <c r="V167" s="62">
        <f t="shared" si="68"/>
        <v>0</v>
      </c>
      <c r="W167" s="62">
        <f t="shared" si="68"/>
        <v>0</v>
      </c>
      <c r="X167" s="62">
        <f t="shared" si="68"/>
        <v>0</v>
      </c>
      <c r="Y167" s="62">
        <f t="shared" si="68"/>
        <v>0</v>
      </c>
      <c r="Z167" s="62">
        <f t="shared" si="68"/>
        <v>0</v>
      </c>
      <c r="AA167" s="62">
        <f t="shared" si="68"/>
        <v>0</v>
      </c>
      <c r="AB167" s="62">
        <f t="shared" si="68"/>
        <v>0</v>
      </c>
      <c r="AC167" s="62">
        <f>AC156+AC165</f>
        <v>0</v>
      </c>
      <c r="AD167" s="62">
        <f>AD156+AD165</f>
        <v>0</v>
      </c>
      <c r="AE167" s="62">
        <f>AE156+AE165</f>
        <v>0</v>
      </c>
      <c r="AF167" s="63">
        <f>SUM(H167:AE167)</f>
        <v>358500575.07078797</v>
      </c>
      <c r="AG167" s="58" t="str">
        <f>IF(ABS(AF167-F167)&lt;1,"ok","err")</f>
        <v>ok</v>
      </c>
    </row>
    <row r="168" spans="1:33">
      <c r="A168" s="60"/>
      <c r="F168" s="76"/>
      <c r="W168" s="44"/>
      <c r="AG168" s="58"/>
    </row>
    <row r="169" spans="1:33" ht="14.1">
      <c r="A169" s="65" t="s">
        <v>309</v>
      </c>
      <c r="W169" s="44"/>
      <c r="AG169" s="58"/>
    </row>
    <row r="170" spans="1:33">
      <c r="A170" s="70">
        <v>535</v>
      </c>
      <c r="B170" s="44" t="s">
        <v>199</v>
      </c>
      <c r="C170" s="44" t="s">
        <v>319</v>
      </c>
      <c r="D170" s="44" t="s">
        <v>630</v>
      </c>
      <c r="F170" s="76">
        <v>116778</v>
      </c>
      <c r="H170" s="63">
        <f t="shared" ref="H170:Q175" si="69">IF(VLOOKUP($D170,$C$6:$AE$653,H$2,)=0,0,((VLOOKUP($D170,$C$6:$AE$653,H$2,)/VLOOKUP($D170,$C$6:$AE$653,4,))*$F170))</f>
        <v>116778</v>
      </c>
      <c r="I170" s="63">
        <f t="shared" si="69"/>
        <v>0</v>
      </c>
      <c r="J170" s="63">
        <f t="shared" si="69"/>
        <v>0</v>
      </c>
      <c r="K170" s="63">
        <f t="shared" si="69"/>
        <v>0</v>
      </c>
      <c r="L170" s="63">
        <f t="shared" si="69"/>
        <v>0</v>
      </c>
      <c r="M170" s="63">
        <f t="shared" si="69"/>
        <v>0</v>
      </c>
      <c r="N170" s="63">
        <f t="shared" si="69"/>
        <v>0</v>
      </c>
      <c r="O170" s="63">
        <f t="shared" si="69"/>
        <v>0</v>
      </c>
      <c r="P170" s="63">
        <f t="shared" si="69"/>
        <v>0</v>
      </c>
      <c r="Q170" s="63">
        <f t="shared" si="69"/>
        <v>0</v>
      </c>
      <c r="R170" s="63">
        <f t="shared" ref="R170:AE175" si="70">IF(VLOOKUP($D170,$C$6:$AE$653,R$2,)=0,0,((VLOOKUP($D170,$C$6:$AE$653,R$2,)/VLOOKUP($D170,$C$6:$AE$653,4,))*$F170))</f>
        <v>0</v>
      </c>
      <c r="S170" s="63">
        <f t="shared" si="70"/>
        <v>0</v>
      </c>
      <c r="T170" s="63">
        <f t="shared" si="70"/>
        <v>0</v>
      </c>
      <c r="U170" s="63">
        <f t="shared" si="70"/>
        <v>0</v>
      </c>
      <c r="V170" s="63">
        <f t="shared" si="70"/>
        <v>0</v>
      </c>
      <c r="W170" s="63">
        <f t="shared" si="70"/>
        <v>0</v>
      </c>
      <c r="X170" s="63">
        <f t="shared" si="70"/>
        <v>0</v>
      </c>
      <c r="Y170" s="63">
        <f t="shared" si="70"/>
        <v>0</v>
      </c>
      <c r="Z170" s="63">
        <f t="shared" si="70"/>
        <v>0</v>
      </c>
      <c r="AA170" s="63">
        <f t="shared" si="70"/>
        <v>0</v>
      </c>
      <c r="AB170" s="63">
        <f t="shared" si="70"/>
        <v>0</v>
      </c>
      <c r="AC170" s="63">
        <f t="shared" si="70"/>
        <v>0</v>
      </c>
      <c r="AD170" s="63">
        <f t="shared" si="70"/>
        <v>0</v>
      </c>
      <c r="AE170" s="63">
        <f t="shared" si="70"/>
        <v>0</v>
      </c>
      <c r="AF170" s="63">
        <f t="shared" ref="AF170:AF175" si="71">SUM(H170:AE170)</f>
        <v>116778</v>
      </c>
      <c r="AG170" s="58" t="str">
        <f t="shared" ref="AG170:AG175" si="72">IF(ABS(AF170-F170)&lt;1,"ok","err")</f>
        <v>ok</v>
      </c>
    </row>
    <row r="171" spans="1:33">
      <c r="A171" s="276">
        <v>536</v>
      </c>
      <c r="B171" s="44" t="s">
        <v>316</v>
      </c>
      <c r="C171" s="44" t="s">
        <v>320</v>
      </c>
      <c r="D171" s="44" t="s">
        <v>624</v>
      </c>
      <c r="F171" s="79">
        <v>43212</v>
      </c>
      <c r="H171" s="63">
        <f t="shared" si="69"/>
        <v>43212</v>
      </c>
      <c r="I171" s="63">
        <f t="shared" si="69"/>
        <v>0</v>
      </c>
      <c r="J171" s="63">
        <f t="shared" si="69"/>
        <v>0</v>
      </c>
      <c r="K171" s="63">
        <f t="shared" si="69"/>
        <v>0</v>
      </c>
      <c r="L171" s="63">
        <f t="shared" si="69"/>
        <v>0</v>
      </c>
      <c r="M171" s="63">
        <f t="shared" si="69"/>
        <v>0</v>
      </c>
      <c r="N171" s="63">
        <f t="shared" si="69"/>
        <v>0</v>
      </c>
      <c r="O171" s="63">
        <f t="shared" si="69"/>
        <v>0</v>
      </c>
      <c r="P171" s="63">
        <f t="shared" si="69"/>
        <v>0</v>
      </c>
      <c r="Q171" s="63">
        <f t="shared" si="69"/>
        <v>0</v>
      </c>
      <c r="R171" s="63">
        <f t="shared" si="70"/>
        <v>0</v>
      </c>
      <c r="S171" s="63">
        <f t="shared" si="70"/>
        <v>0</v>
      </c>
      <c r="T171" s="63">
        <f t="shared" si="70"/>
        <v>0</v>
      </c>
      <c r="U171" s="63">
        <f t="shared" si="70"/>
        <v>0</v>
      </c>
      <c r="V171" s="63">
        <f t="shared" si="70"/>
        <v>0</v>
      </c>
      <c r="W171" s="63">
        <f t="shared" si="70"/>
        <v>0</v>
      </c>
      <c r="X171" s="63">
        <f t="shared" si="70"/>
        <v>0</v>
      </c>
      <c r="Y171" s="63">
        <f t="shared" si="70"/>
        <v>0</v>
      </c>
      <c r="Z171" s="63">
        <f t="shared" si="70"/>
        <v>0</v>
      </c>
      <c r="AA171" s="63">
        <f t="shared" si="70"/>
        <v>0</v>
      </c>
      <c r="AB171" s="63">
        <f t="shared" si="70"/>
        <v>0</v>
      </c>
      <c r="AC171" s="63">
        <f t="shared" si="70"/>
        <v>0</v>
      </c>
      <c r="AD171" s="63">
        <f t="shared" si="70"/>
        <v>0</v>
      </c>
      <c r="AE171" s="63">
        <f t="shared" si="70"/>
        <v>0</v>
      </c>
      <c r="AF171" s="63">
        <f t="shared" si="71"/>
        <v>43212</v>
      </c>
      <c r="AG171" s="58" t="str">
        <f t="shared" si="72"/>
        <v>ok</v>
      </c>
    </row>
    <row r="172" spans="1:33">
      <c r="A172" s="60">
        <v>537</v>
      </c>
      <c r="B172" s="44" t="s">
        <v>315</v>
      </c>
      <c r="C172" s="44" t="s">
        <v>321</v>
      </c>
      <c r="D172" s="44" t="s">
        <v>624</v>
      </c>
      <c r="F172" s="79">
        <v>0</v>
      </c>
      <c r="H172" s="63">
        <f t="shared" si="69"/>
        <v>0</v>
      </c>
      <c r="I172" s="63">
        <f t="shared" si="69"/>
        <v>0</v>
      </c>
      <c r="J172" s="63">
        <f t="shared" si="69"/>
        <v>0</v>
      </c>
      <c r="K172" s="63">
        <f t="shared" si="69"/>
        <v>0</v>
      </c>
      <c r="L172" s="63">
        <f t="shared" si="69"/>
        <v>0</v>
      </c>
      <c r="M172" s="63">
        <f t="shared" si="69"/>
        <v>0</v>
      </c>
      <c r="N172" s="63">
        <f t="shared" si="69"/>
        <v>0</v>
      </c>
      <c r="O172" s="63">
        <f t="shared" si="69"/>
        <v>0</v>
      </c>
      <c r="P172" s="63">
        <f t="shared" si="69"/>
        <v>0</v>
      </c>
      <c r="Q172" s="63">
        <f t="shared" si="69"/>
        <v>0</v>
      </c>
      <c r="R172" s="63">
        <f t="shared" si="70"/>
        <v>0</v>
      </c>
      <c r="S172" s="63">
        <f t="shared" si="70"/>
        <v>0</v>
      </c>
      <c r="T172" s="63">
        <f t="shared" si="70"/>
        <v>0</v>
      </c>
      <c r="U172" s="63">
        <f t="shared" si="70"/>
        <v>0</v>
      </c>
      <c r="V172" s="63">
        <f t="shared" si="70"/>
        <v>0</v>
      </c>
      <c r="W172" s="63">
        <f t="shared" si="70"/>
        <v>0</v>
      </c>
      <c r="X172" s="63">
        <f t="shared" si="70"/>
        <v>0</v>
      </c>
      <c r="Y172" s="63">
        <f t="shared" si="70"/>
        <v>0</v>
      </c>
      <c r="Z172" s="63">
        <f t="shared" si="70"/>
        <v>0</v>
      </c>
      <c r="AA172" s="63">
        <f t="shared" si="70"/>
        <v>0</v>
      </c>
      <c r="AB172" s="63">
        <f t="shared" si="70"/>
        <v>0</v>
      </c>
      <c r="AC172" s="63">
        <f t="shared" si="70"/>
        <v>0</v>
      </c>
      <c r="AD172" s="63">
        <f t="shared" si="70"/>
        <v>0</v>
      </c>
      <c r="AE172" s="63">
        <f t="shared" si="70"/>
        <v>0</v>
      </c>
      <c r="AF172" s="63">
        <f t="shared" si="71"/>
        <v>0</v>
      </c>
      <c r="AG172" s="58" t="str">
        <f t="shared" si="72"/>
        <v>ok</v>
      </c>
    </row>
    <row r="173" spans="1:33">
      <c r="A173" s="275">
        <v>538</v>
      </c>
      <c r="B173" s="44" t="s">
        <v>205</v>
      </c>
      <c r="C173" s="44" t="s">
        <v>322</v>
      </c>
      <c r="D173" s="44" t="s">
        <v>624</v>
      </c>
      <c r="F173" s="79">
        <v>324155</v>
      </c>
      <c r="H173" s="63">
        <f t="shared" si="69"/>
        <v>324155</v>
      </c>
      <c r="I173" s="63">
        <f t="shared" si="69"/>
        <v>0</v>
      </c>
      <c r="J173" s="63">
        <f t="shared" si="69"/>
        <v>0</v>
      </c>
      <c r="K173" s="63">
        <f t="shared" si="69"/>
        <v>0</v>
      </c>
      <c r="L173" s="63">
        <f t="shared" si="69"/>
        <v>0</v>
      </c>
      <c r="M173" s="63">
        <f t="shared" si="69"/>
        <v>0</v>
      </c>
      <c r="N173" s="63">
        <f t="shared" si="69"/>
        <v>0</v>
      </c>
      <c r="O173" s="63">
        <f t="shared" si="69"/>
        <v>0</v>
      </c>
      <c r="P173" s="63">
        <f t="shared" si="69"/>
        <v>0</v>
      </c>
      <c r="Q173" s="63">
        <f t="shared" si="69"/>
        <v>0</v>
      </c>
      <c r="R173" s="63">
        <f t="shared" si="70"/>
        <v>0</v>
      </c>
      <c r="S173" s="63">
        <f t="shared" si="70"/>
        <v>0</v>
      </c>
      <c r="T173" s="63">
        <f t="shared" si="70"/>
        <v>0</v>
      </c>
      <c r="U173" s="63">
        <f t="shared" si="70"/>
        <v>0</v>
      </c>
      <c r="V173" s="63">
        <f t="shared" si="70"/>
        <v>0</v>
      </c>
      <c r="W173" s="63">
        <f t="shared" si="70"/>
        <v>0</v>
      </c>
      <c r="X173" s="63">
        <f t="shared" si="70"/>
        <v>0</v>
      </c>
      <c r="Y173" s="63">
        <f t="shared" si="70"/>
        <v>0</v>
      </c>
      <c r="Z173" s="63">
        <f t="shared" si="70"/>
        <v>0</v>
      </c>
      <c r="AA173" s="63">
        <f t="shared" si="70"/>
        <v>0</v>
      </c>
      <c r="AB173" s="63">
        <f t="shared" si="70"/>
        <v>0</v>
      </c>
      <c r="AC173" s="63">
        <f t="shared" si="70"/>
        <v>0</v>
      </c>
      <c r="AD173" s="63">
        <f t="shared" si="70"/>
        <v>0</v>
      </c>
      <c r="AE173" s="63">
        <f t="shared" si="70"/>
        <v>0</v>
      </c>
      <c r="AF173" s="63">
        <f t="shared" si="71"/>
        <v>324155</v>
      </c>
      <c r="AG173" s="58" t="str">
        <f t="shared" si="72"/>
        <v>ok</v>
      </c>
    </row>
    <row r="174" spans="1:33">
      <c r="A174" s="60">
        <v>539</v>
      </c>
      <c r="B174" s="44" t="s">
        <v>317</v>
      </c>
      <c r="C174" s="44" t="s">
        <v>323</v>
      </c>
      <c r="D174" s="44" t="s">
        <v>624</v>
      </c>
      <c r="F174" s="79">
        <v>213613</v>
      </c>
      <c r="H174" s="63">
        <f t="shared" si="69"/>
        <v>213613</v>
      </c>
      <c r="I174" s="63">
        <f t="shared" si="69"/>
        <v>0</v>
      </c>
      <c r="J174" s="63">
        <f t="shared" si="69"/>
        <v>0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 t="shared" si="69"/>
        <v>0</v>
      </c>
      <c r="O174" s="63">
        <f t="shared" si="69"/>
        <v>0</v>
      </c>
      <c r="P174" s="63">
        <f t="shared" si="69"/>
        <v>0</v>
      </c>
      <c r="Q174" s="63">
        <f t="shared" si="69"/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 t="shared" si="70"/>
        <v>0</v>
      </c>
      <c r="AD174" s="63">
        <f t="shared" si="70"/>
        <v>0</v>
      </c>
      <c r="AE174" s="63">
        <f t="shared" si="70"/>
        <v>0</v>
      </c>
      <c r="AF174" s="63">
        <f t="shared" si="71"/>
        <v>213613</v>
      </c>
      <c r="AG174" s="58" t="str">
        <f t="shared" si="72"/>
        <v>ok</v>
      </c>
    </row>
    <row r="175" spans="1:33">
      <c r="A175" s="275">
        <v>540</v>
      </c>
      <c r="B175" s="44" t="s">
        <v>928</v>
      </c>
      <c r="D175" s="44" t="s">
        <v>624</v>
      </c>
      <c r="F175" s="79">
        <v>568902</v>
      </c>
      <c r="H175" s="63">
        <f t="shared" si="69"/>
        <v>568902</v>
      </c>
      <c r="I175" s="63">
        <f t="shared" si="69"/>
        <v>0</v>
      </c>
      <c r="J175" s="63">
        <f t="shared" si="69"/>
        <v>0</v>
      </c>
      <c r="K175" s="63">
        <f t="shared" si="69"/>
        <v>0</v>
      </c>
      <c r="L175" s="63">
        <f t="shared" si="69"/>
        <v>0</v>
      </c>
      <c r="M175" s="63">
        <f t="shared" si="69"/>
        <v>0</v>
      </c>
      <c r="N175" s="63">
        <f t="shared" si="69"/>
        <v>0</v>
      </c>
      <c r="O175" s="63">
        <f t="shared" si="69"/>
        <v>0</v>
      </c>
      <c r="P175" s="63">
        <f t="shared" si="69"/>
        <v>0</v>
      </c>
      <c r="Q175" s="63">
        <f t="shared" si="69"/>
        <v>0</v>
      </c>
      <c r="R175" s="63">
        <f t="shared" si="70"/>
        <v>0</v>
      </c>
      <c r="S175" s="63">
        <f t="shared" si="70"/>
        <v>0</v>
      </c>
      <c r="T175" s="63">
        <f t="shared" si="70"/>
        <v>0</v>
      </c>
      <c r="U175" s="63">
        <f t="shared" si="70"/>
        <v>0</v>
      </c>
      <c r="V175" s="63">
        <f t="shared" si="70"/>
        <v>0</v>
      </c>
      <c r="W175" s="63">
        <f t="shared" si="70"/>
        <v>0</v>
      </c>
      <c r="X175" s="63">
        <f t="shared" si="70"/>
        <v>0</v>
      </c>
      <c r="Y175" s="63">
        <f t="shared" si="70"/>
        <v>0</v>
      </c>
      <c r="Z175" s="63">
        <f t="shared" si="70"/>
        <v>0</v>
      </c>
      <c r="AA175" s="63">
        <f t="shared" si="70"/>
        <v>0</v>
      </c>
      <c r="AB175" s="63">
        <f t="shared" si="70"/>
        <v>0</v>
      </c>
      <c r="AC175" s="63">
        <f t="shared" si="70"/>
        <v>0</v>
      </c>
      <c r="AD175" s="63">
        <f t="shared" si="70"/>
        <v>0</v>
      </c>
      <c r="AE175" s="63">
        <f t="shared" si="70"/>
        <v>0</v>
      </c>
      <c r="AF175" s="63">
        <f t="shared" si="71"/>
        <v>568902</v>
      </c>
      <c r="AG175" s="58" t="str">
        <f t="shared" si="72"/>
        <v>ok</v>
      </c>
    </row>
    <row r="176" spans="1:33">
      <c r="A176" s="60"/>
      <c r="F176" s="79"/>
      <c r="W176" s="44"/>
      <c r="AF176" s="63"/>
      <c r="AG176" s="58"/>
    </row>
    <row r="177" spans="1:33">
      <c r="A177" s="60"/>
      <c r="B177" s="44" t="s">
        <v>312</v>
      </c>
      <c r="F177" s="76">
        <f>SUM(F170:F176)</f>
        <v>1266660</v>
      </c>
      <c r="H177" s="62">
        <f t="shared" ref="H177:M177" si="73">SUM(H170:H176)</f>
        <v>1266660</v>
      </c>
      <c r="I177" s="62">
        <f t="shared" si="73"/>
        <v>0</v>
      </c>
      <c r="J177" s="62">
        <f t="shared" si="73"/>
        <v>0</v>
      </c>
      <c r="K177" s="62">
        <f t="shared" si="73"/>
        <v>0</v>
      </c>
      <c r="L177" s="62">
        <f t="shared" si="73"/>
        <v>0</v>
      </c>
      <c r="M177" s="62">
        <f t="shared" si="73"/>
        <v>0</v>
      </c>
      <c r="N177" s="62">
        <f>SUM(N170:N176)</f>
        <v>0</v>
      </c>
      <c r="O177" s="62">
        <f>SUM(O170:O176)</f>
        <v>0</v>
      </c>
      <c r="P177" s="62">
        <f>SUM(P170:P176)</f>
        <v>0</v>
      </c>
      <c r="Q177" s="62">
        <f t="shared" ref="Q177:AB177" si="74">SUM(Q170:Q176)</f>
        <v>0</v>
      </c>
      <c r="R177" s="62">
        <f t="shared" si="74"/>
        <v>0</v>
      </c>
      <c r="S177" s="62">
        <f t="shared" si="74"/>
        <v>0</v>
      </c>
      <c r="T177" s="62">
        <f t="shared" si="74"/>
        <v>0</v>
      </c>
      <c r="U177" s="62">
        <f t="shared" si="74"/>
        <v>0</v>
      </c>
      <c r="V177" s="62">
        <f t="shared" si="74"/>
        <v>0</v>
      </c>
      <c r="W177" s="62">
        <f t="shared" si="74"/>
        <v>0</v>
      </c>
      <c r="X177" s="62">
        <f t="shared" si="74"/>
        <v>0</v>
      </c>
      <c r="Y177" s="62">
        <f t="shared" si="74"/>
        <v>0</v>
      </c>
      <c r="Z177" s="62">
        <f t="shared" si="74"/>
        <v>0</v>
      </c>
      <c r="AA177" s="62">
        <f t="shared" si="74"/>
        <v>0</v>
      </c>
      <c r="AB177" s="62">
        <f t="shared" si="74"/>
        <v>0</v>
      </c>
      <c r="AC177" s="62">
        <f>SUM(AC170:AC176)</f>
        <v>0</v>
      </c>
      <c r="AD177" s="62">
        <f>SUM(AD170:AD176)</f>
        <v>0</v>
      </c>
      <c r="AE177" s="62">
        <f>SUM(AE170:AE176)</f>
        <v>0</v>
      </c>
      <c r="AF177" s="63">
        <f>SUM(H177:AE177)</f>
        <v>1266660</v>
      </c>
      <c r="AG177" s="58" t="str">
        <f>IF(ABS(AF177-F177)&lt;1,"ok","err")</f>
        <v>ok</v>
      </c>
    </row>
    <row r="178" spans="1:33">
      <c r="A178" s="60"/>
      <c r="F178" s="76"/>
      <c r="W178" s="44"/>
      <c r="AG178" s="58"/>
    </row>
    <row r="179" spans="1:33" ht="14.1">
      <c r="A179" s="65" t="s">
        <v>310</v>
      </c>
      <c r="F179" s="76"/>
      <c r="W179" s="44"/>
      <c r="AG179" s="58"/>
    </row>
    <row r="180" spans="1:33">
      <c r="A180" s="70">
        <v>541</v>
      </c>
      <c r="B180" s="44" t="s">
        <v>214</v>
      </c>
      <c r="C180" s="44" t="s">
        <v>324</v>
      </c>
      <c r="D180" s="44" t="s">
        <v>631</v>
      </c>
      <c r="F180" s="76">
        <v>0</v>
      </c>
      <c r="H180" s="63">
        <f t="shared" ref="H180:Q184" si="75">IF(VLOOKUP($D180,$C$6:$AE$653,H$2,)=0,0,((VLOOKUP($D180,$C$6:$AE$653,H$2,)/VLOOKUP($D180,$C$6:$AE$653,4,))*$F180))</f>
        <v>0</v>
      </c>
      <c r="I180" s="63">
        <f t="shared" si="75"/>
        <v>0</v>
      </c>
      <c r="J180" s="63">
        <f t="shared" si="75"/>
        <v>0</v>
      </c>
      <c r="K180" s="63">
        <f t="shared" si="75"/>
        <v>0</v>
      </c>
      <c r="L180" s="63">
        <f t="shared" si="75"/>
        <v>0</v>
      </c>
      <c r="M180" s="63">
        <f t="shared" si="75"/>
        <v>0</v>
      </c>
      <c r="N180" s="63">
        <f t="shared" si="75"/>
        <v>0</v>
      </c>
      <c r="O180" s="63">
        <f t="shared" si="75"/>
        <v>0</v>
      </c>
      <c r="P180" s="63">
        <f t="shared" si="75"/>
        <v>0</v>
      </c>
      <c r="Q180" s="63">
        <f t="shared" si="75"/>
        <v>0</v>
      </c>
      <c r="R180" s="63">
        <f t="shared" ref="R180:AE184" si="76">IF(VLOOKUP($D180,$C$6:$AE$653,R$2,)=0,0,((VLOOKUP($D180,$C$6:$AE$653,R$2,)/VLOOKUP($D180,$C$6:$AE$653,4,))*$F180))</f>
        <v>0</v>
      </c>
      <c r="S180" s="63">
        <f t="shared" si="76"/>
        <v>0</v>
      </c>
      <c r="T180" s="63">
        <f t="shared" si="76"/>
        <v>0</v>
      </c>
      <c r="U180" s="63">
        <f t="shared" si="76"/>
        <v>0</v>
      </c>
      <c r="V180" s="63">
        <f t="shared" si="76"/>
        <v>0</v>
      </c>
      <c r="W180" s="63">
        <f t="shared" si="76"/>
        <v>0</v>
      </c>
      <c r="X180" s="63">
        <f t="shared" si="76"/>
        <v>0</v>
      </c>
      <c r="Y180" s="63">
        <f t="shared" si="76"/>
        <v>0</v>
      </c>
      <c r="Z180" s="63">
        <f t="shared" si="76"/>
        <v>0</v>
      </c>
      <c r="AA180" s="63">
        <f t="shared" si="76"/>
        <v>0</v>
      </c>
      <c r="AB180" s="63">
        <f t="shared" si="76"/>
        <v>0</v>
      </c>
      <c r="AC180" s="63">
        <f t="shared" si="76"/>
        <v>0</v>
      </c>
      <c r="AD180" s="63">
        <f t="shared" si="76"/>
        <v>0</v>
      </c>
      <c r="AE180" s="63">
        <f t="shared" si="76"/>
        <v>0</v>
      </c>
      <c r="AF180" s="63">
        <f>SUM(H180:AE180)</f>
        <v>0</v>
      </c>
      <c r="AG180" s="58" t="str">
        <f>IF(ABS(AF180-F180)&lt;1,"ok","err")</f>
        <v>ok</v>
      </c>
    </row>
    <row r="181" spans="1:33">
      <c r="A181" s="70">
        <v>542</v>
      </c>
      <c r="B181" s="44" t="s">
        <v>213</v>
      </c>
      <c r="C181" s="44" t="s">
        <v>325</v>
      </c>
      <c r="D181" s="44" t="s">
        <v>624</v>
      </c>
      <c r="F181" s="79">
        <v>323993</v>
      </c>
      <c r="H181" s="63">
        <f t="shared" si="75"/>
        <v>323993</v>
      </c>
      <c r="I181" s="63">
        <f t="shared" si="75"/>
        <v>0</v>
      </c>
      <c r="J181" s="63">
        <f t="shared" si="75"/>
        <v>0</v>
      </c>
      <c r="K181" s="63">
        <f t="shared" si="75"/>
        <v>0</v>
      </c>
      <c r="L181" s="63">
        <f t="shared" si="75"/>
        <v>0</v>
      </c>
      <c r="M181" s="63">
        <f t="shared" si="75"/>
        <v>0</v>
      </c>
      <c r="N181" s="63">
        <f t="shared" si="75"/>
        <v>0</v>
      </c>
      <c r="O181" s="63">
        <f t="shared" si="75"/>
        <v>0</v>
      </c>
      <c r="P181" s="63">
        <f t="shared" si="75"/>
        <v>0</v>
      </c>
      <c r="Q181" s="63">
        <f t="shared" si="75"/>
        <v>0</v>
      </c>
      <c r="R181" s="63">
        <f t="shared" si="76"/>
        <v>0</v>
      </c>
      <c r="S181" s="63">
        <f t="shared" si="76"/>
        <v>0</v>
      </c>
      <c r="T181" s="63">
        <f t="shared" si="76"/>
        <v>0</v>
      </c>
      <c r="U181" s="63">
        <f t="shared" si="76"/>
        <v>0</v>
      </c>
      <c r="V181" s="63">
        <f t="shared" si="76"/>
        <v>0</v>
      </c>
      <c r="W181" s="63">
        <f t="shared" si="76"/>
        <v>0</v>
      </c>
      <c r="X181" s="63">
        <f t="shared" si="76"/>
        <v>0</v>
      </c>
      <c r="Y181" s="63">
        <f t="shared" si="76"/>
        <v>0</v>
      </c>
      <c r="Z181" s="63">
        <f t="shared" si="76"/>
        <v>0</v>
      </c>
      <c r="AA181" s="63">
        <f t="shared" si="76"/>
        <v>0</v>
      </c>
      <c r="AB181" s="63">
        <f t="shared" si="76"/>
        <v>0</v>
      </c>
      <c r="AC181" s="63">
        <f t="shared" si="76"/>
        <v>0</v>
      </c>
      <c r="AD181" s="63">
        <f t="shared" si="76"/>
        <v>0</v>
      </c>
      <c r="AE181" s="63">
        <f t="shared" si="76"/>
        <v>0</v>
      </c>
      <c r="AF181" s="63">
        <f>SUM(H181:AE181)</f>
        <v>323993</v>
      </c>
      <c r="AG181" s="58" t="str">
        <f>IF(ABS(AF181-F181)&lt;1,"ok","err")</f>
        <v>ok</v>
      </c>
    </row>
    <row r="182" spans="1:33">
      <c r="A182" s="70">
        <v>543</v>
      </c>
      <c r="B182" s="44" t="s">
        <v>311</v>
      </c>
      <c r="C182" s="44" t="s">
        <v>326</v>
      </c>
      <c r="D182" s="44" t="s">
        <v>624</v>
      </c>
      <c r="F182" s="79">
        <v>222489</v>
      </c>
      <c r="H182" s="63">
        <f t="shared" si="75"/>
        <v>222489</v>
      </c>
      <c r="I182" s="63">
        <f t="shared" si="75"/>
        <v>0</v>
      </c>
      <c r="J182" s="63">
        <f t="shared" si="75"/>
        <v>0</v>
      </c>
      <c r="K182" s="63">
        <f t="shared" si="75"/>
        <v>0</v>
      </c>
      <c r="L182" s="63">
        <f t="shared" si="75"/>
        <v>0</v>
      </c>
      <c r="M182" s="63">
        <f t="shared" si="75"/>
        <v>0</v>
      </c>
      <c r="N182" s="63">
        <f t="shared" si="75"/>
        <v>0</v>
      </c>
      <c r="O182" s="63">
        <f t="shared" si="75"/>
        <v>0</v>
      </c>
      <c r="P182" s="63">
        <f t="shared" si="75"/>
        <v>0</v>
      </c>
      <c r="Q182" s="63">
        <f t="shared" si="75"/>
        <v>0</v>
      </c>
      <c r="R182" s="63">
        <f t="shared" si="76"/>
        <v>0</v>
      </c>
      <c r="S182" s="63">
        <f t="shared" si="76"/>
        <v>0</v>
      </c>
      <c r="T182" s="63">
        <f t="shared" si="76"/>
        <v>0</v>
      </c>
      <c r="U182" s="63">
        <f t="shared" si="76"/>
        <v>0</v>
      </c>
      <c r="V182" s="63">
        <f t="shared" si="76"/>
        <v>0</v>
      </c>
      <c r="W182" s="63">
        <f t="shared" si="76"/>
        <v>0</v>
      </c>
      <c r="X182" s="63">
        <f t="shared" si="76"/>
        <v>0</v>
      </c>
      <c r="Y182" s="63">
        <f t="shared" si="76"/>
        <v>0</v>
      </c>
      <c r="Z182" s="63">
        <f t="shared" si="76"/>
        <v>0</v>
      </c>
      <c r="AA182" s="63">
        <f t="shared" si="76"/>
        <v>0</v>
      </c>
      <c r="AB182" s="63">
        <f t="shared" si="76"/>
        <v>0</v>
      </c>
      <c r="AC182" s="63">
        <f t="shared" si="76"/>
        <v>0</v>
      </c>
      <c r="AD182" s="63">
        <f t="shared" si="76"/>
        <v>0</v>
      </c>
      <c r="AE182" s="63">
        <f t="shared" si="76"/>
        <v>0</v>
      </c>
      <c r="AF182" s="63">
        <f>SUM(H182:AE182)</f>
        <v>222489</v>
      </c>
      <c r="AG182" s="58" t="str">
        <f>IF(ABS(AF182-F182)&lt;1,"ok","err")</f>
        <v>ok</v>
      </c>
    </row>
    <row r="183" spans="1:33">
      <c r="A183" s="60">
        <v>544</v>
      </c>
      <c r="B183" s="44" t="s">
        <v>217</v>
      </c>
      <c r="C183" s="44" t="s">
        <v>327</v>
      </c>
      <c r="D183" s="44" t="s">
        <v>854</v>
      </c>
      <c r="F183" s="79">
        <v>327894</v>
      </c>
      <c r="H183" s="63">
        <f t="shared" si="75"/>
        <v>0</v>
      </c>
      <c r="I183" s="63">
        <f t="shared" si="75"/>
        <v>0</v>
      </c>
      <c r="J183" s="63">
        <f t="shared" si="75"/>
        <v>0</v>
      </c>
      <c r="K183" s="63">
        <f t="shared" si="75"/>
        <v>327894</v>
      </c>
      <c r="L183" s="63">
        <f t="shared" si="75"/>
        <v>0</v>
      </c>
      <c r="M183" s="63">
        <f t="shared" si="75"/>
        <v>0</v>
      </c>
      <c r="N183" s="63">
        <f t="shared" si="75"/>
        <v>0</v>
      </c>
      <c r="O183" s="63">
        <f t="shared" si="75"/>
        <v>0</v>
      </c>
      <c r="P183" s="63">
        <f t="shared" si="75"/>
        <v>0</v>
      </c>
      <c r="Q183" s="63">
        <f t="shared" si="75"/>
        <v>0</v>
      </c>
      <c r="R183" s="63">
        <f t="shared" si="76"/>
        <v>0</v>
      </c>
      <c r="S183" s="63">
        <f t="shared" si="76"/>
        <v>0</v>
      </c>
      <c r="T183" s="63">
        <f t="shared" si="76"/>
        <v>0</v>
      </c>
      <c r="U183" s="63">
        <f t="shared" si="76"/>
        <v>0</v>
      </c>
      <c r="V183" s="63">
        <f t="shared" si="76"/>
        <v>0</v>
      </c>
      <c r="W183" s="63">
        <f t="shared" si="76"/>
        <v>0</v>
      </c>
      <c r="X183" s="63">
        <f t="shared" si="76"/>
        <v>0</v>
      </c>
      <c r="Y183" s="63">
        <f t="shared" si="76"/>
        <v>0</v>
      </c>
      <c r="Z183" s="63">
        <f t="shared" si="76"/>
        <v>0</v>
      </c>
      <c r="AA183" s="63">
        <f t="shared" si="76"/>
        <v>0</v>
      </c>
      <c r="AB183" s="63">
        <f t="shared" si="76"/>
        <v>0</v>
      </c>
      <c r="AC183" s="63">
        <f t="shared" si="76"/>
        <v>0</v>
      </c>
      <c r="AD183" s="63">
        <f t="shared" si="76"/>
        <v>0</v>
      </c>
      <c r="AE183" s="63">
        <f t="shared" si="76"/>
        <v>0</v>
      </c>
      <c r="AF183" s="63">
        <f>SUM(H183:AE183)</f>
        <v>327894</v>
      </c>
      <c r="AG183" s="58" t="str">
        <f>IF(ABS(AF183-F183)&lt;1,"ok","err")</f>
        <v>ok</v>
      </c>
    </row>
    <row r="184" spans="1:33">
      <c r="A184" s="60">
        <v>545</v>
      </c>
      <c r="B184" s="44" t="s">
        <v>318</v>
      </c>
      <c r="C184" s="44" t="s">
        <v>328</v>
      </c>
      <c r="D184" s="44" t="s">
        <v>854</v>
      </c>
      <c r="F184" s="79">
        <v>56196</v>
      </c>
      <c r="H184" s="63">
        <f t="shared" si="75"/>
        <v>0</v>
      </c>
      <c r="I184" s="63">
        <f t="shared" si="75"/>
        <v>0</v>
      </c>
      <c r="J184" s="63">
        <f t="shared" si="75"/>
        <v>0</v>
      </c>
      <c r="K184" s="63">
        <f t="shared" si="75"/>
        <v>56196</v>
      </c>
      <c r="L184" s="63">
        <f t="shared" si="75"/>
        <v>0</v>
      </c>
      <c r="M184" s="63">
        <f t="shared" si="75"/>
        <v>0</v>
      </c>
      <c r="N184" s="63">
        <f t="shared" si="75"/>
        <v>0</v>
      </c>
      <c r="O184" s="63">
        <f t="shared" si="75"/>
        <v>0</v>
      </c>
      <c r="P184" s="63">
        <f t="shared" si="75"/>
        <v>0</v>
      </c>
      <c r="Q184" s="63">
        <f t="shared" si="75"/>
        <v>0</v>
      </c>
      <c r="R184" s="63">
        <f t="shared" si="76"/>
        <v>0</v>
      </c>
      <c r="S184" s="63">
        <f t="shared" si="76"/>
        <v>0</v>
      </c>
      <c r="T184" s="63">
        <f t="shared" si="76"/>
        <v>0</v>
      </c>
      <c r="U184" s="63">
        <f t="shared" si="76"/>
        <v>0</v>
      </c>
      <c r="V184" s="63">
        <f t="shared" si="76"/>
        <v>0</v>
      </c>
      <c r="W184" s="63">
        <f t="shared" si="76"/>
        <v>0</v>
      </c>
      <c r="X184" s="63">
        <f t="shared" si="76"/>
        <v>0</v>
      </c>
      <c r="Y184" s="63">
        <f t="shared" si="76"/>
        <v>0</v>
      </c>
      <c r="Z184" s="63">
        <f t="shared" si="76"/>
        <v>0</v>
      </c>
      <c r="AA184" s="63">
        <f t="shared" si="76"/>
        <v>0</v>
      </c>
      <c r="AB184" s="63">
        <f t="shared" si="76"/>
        <v>0</v>
      </c>
      <c r="AC184" s="63">
        <f t="shared" si="76"/>
        <v>0</v>
      </c>
      <c r="AD184" s="63">
        <f t="shared" si="76"/>
        <v>0</v>
      </c>
      <c r="AE184" s="63">
        <f t="shared" si="76"/>
        <v>0</v>
      </c>
      <c r="AF184" s="63">
        <f>SUM(H184:AE184)</f>
        <v>56196</v>
      </c>
      <c r="AG184" s="58" t="str">
        <f>IF(ABS(AF184-F184)&lt;1,"ok","err")</f>
        <v>ok</v>
      </c>
    </row>
    <row r="185" spans="1:33">
      <c r="A185" s="60"/>
      <c r="F185" s="76"/>
      <c r="W185" s="44"/>
      <c r="AG185" s="58"/>
    </row>
    <row r="186" spans="1:33">
      <c r="A186" s="60"/>
      <c r="B186" s="44" t="s">
        <v>314</v>
      </c>
      <c r="F186" s="76">
        <f>SUM(F180:F185)</f>
        <v>930572</v>
      </c>
      <c r="H186" s="62">
        <f t="shared" ref="H186:M186" si="77">SUM(H180:H185)</f>
        <v>546482</v>
      </c>
      <c r="I186" s="62">
        <f t="shared" si="77"/>
        <v>0</v>
      </c>
      <c r="J186" s="62">
        <f t="shared" si="77"/>
        <v>0</v>
      </c>
      <c r="K186" s="62">
        <f t="shared" si="77"/>
        <v>384090</v>
      </c>
      <c r="L186" s="62">
        <f t="shared" si="77"/>
        <v>0</v>
      </c>
      <c r="M186" s="62">
        <f t="shared" si="77"/>
        <v>0</v>
      </c>
      <c r="N186" s="62">
        <f>SUM(N180:N185)</f>
        <v>0</v>
      </c>
      <c r="O186" s="62">
        <f>SUM(O180:O185)</f>
        <v>0</v>
      </c>
      <c r="P186" s="62">
        <f>SUM(P180:P185)</f>
        <v>0</v>
      </c>
      <c r="Q186" s="62">
        <f t="shared" ref="Q186:AB186" si="78">SUM(Q180:Q185)</f>
        <v>0</v>
      </c>
      <c r="R186" s="62">
        <f t="shared" si="78"/>
        <v>0</v>
      </c>
      <c r="S186" s="62">
        <f t="shared" si="78"/>
        <v>0</v>
      </c>
      <c r="T186" s="62">
        <f t="shared" si="78"/>
        <v>0</v>
      </c>
      <c r="U186" s="62">
        <f t="shared" si="78"/>
        <v>0</v>
      </c>
      <c r="V186" s="62">
        <f t="shared" si="78"/>
        <v>0</v>
      </c>
      <c r="W186" s="62">
        <f t="shared" si="78"/>
        <v>0</v>
      </c>
      <c r="X186" s="62">
        <f t="shared" si="78"/>
        <v>0</v>
      </c>
      <c r="Y186" s="62">
        <f t="shared" si="78"/>
        <v>0</v>
      </c>
      <c r="Z186" s="62">
        <f t="shared" si="78"/>
        <v>0</v>
      </c>
      <c r="AA186" s="62">
        <f t="shared" si="78"/>
        <v>0</v>
      </c>
      <c r="AB186" s="62">
        <f t="shared" si="78"/>
        <v>0</v>
      </c>
      <c r="AC186" s="62">
        <f>SUM(AC180:AC185)</f>
        <v>0</v>
      </c>
      <c r="AD186" s="62">
        <f>SUM(AD180:AD185)</f>
        <v>0</v>
      </c>
      <c r="AE186" s="62">
        <f>SUM(AE180:AE185)</f>
        <v>0</v>
      </c>
      <c r="AF186" s="63">
        <f>SUM(H186:AE186)</f>
        <v>930572</v>
      </c>
      <c r="AG186" s="58" t="str">
        <f>IF(ABS(AF186-F186)&lt;1,"ok","err")</f>
        <v>ok</v>
      </c>
    </row>
    <row r="187" spans="1:33">
      <c r="A187" s="60"/>
      <c r="F187" s="76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58"/>
    </row>
    <row r="188" spans="1:33">
      <c r="A188" s="60"/>
      <c r="B188" s="44" t="s">
        <v>313</v>
      </c>
      <c r="F188" s="173">
        <f>F177+F186</f>
        <v>2197232</v>
      </c>
      <c r="H188" s="62">
        <f t="shared" ref="H188:M188" si="79">H177+H186</f>
        <v>1813142</v>
      </c>
      <c r="I188" s="62">
        <f t="shared" si="79"/>
        <v>0</v>
      </c>
      <c r="J188" s="62">
        <f t="shared" si="79"/>
        <v>0</v>
      </c>
      <c r="K188" s="62">
        <f t="shared" si="79"/>
        <v>384090</v>
      </c>
      <c r="L188" s="62">
        <f t="shared" si="79"/>
        <v>0</v>
      </c>
      <c r="M188" s="62">
        <f t="shared" si="79"/>
        <v>0</v>
      </c>
      <c r="N188" s="62">
        <f>N177+N186</f>
        <v>0</v>
      </c>
      <c r="O188" s="62">
        <f>O177+O186</f>
        <v>0</v>
      </c>
      <c r="P188" s="62">
        <f>P177+P186</f>
        <v>0</v>
      </c>
      <c r="Q188" s="62">
        <f t="shared" ref="Q188:AB188" si="80">Q177+Q186</f>
        <v>0</v>
      </c>
      <c r="R188" s="62">
        <f t="shared" si="80"/>
        <v>0</v>
      </c>
      <c r="S188" s="62">
        <f t="shared" si="80"/>
        <v>0</v>
      </c>
      <c r="T188" s="62">
        <f t="shared" si="80"/>
        <v>0</v>
      </c>
      <c r="U188" s="62">
        <f t="shared" si="80"/>
        <v>0</v>
      </c>
      <c r="V188" s="62">
        <f t="shared" si="80"/>
        <v>0</v>
      </c>
      <c r="W188" s="62">
        <f t="shared" si="80"/>
        <v>0</v>
      </c>
      <c r="X188" s="62">
        <f t="shared" si="80"/>
        <v>0</v>
      </c>
      <c r="Y188" s="62">
        <f t="shared" si="80"/>
        <v>0</v>
      </c>
      <c r="Z188" s="62">
        <f t="shared" si="80"/>
        <v>0</v>
      </c>
      <c r="AA188" s="62">
        <f t="shared" si="80"/>
        <v>0</v>
      </c>
      <c r="AB188" s="62">
        <f t="shared" si="80"/>
        <v>0</v>
      </c>
      <c r="AC188" s="62">
        <f>AC177+AC186</f>
        <v>0</v>
      </c>
      <c r="AD188" s="62">
        <f>AD177+AD186</f>
        <v>0</v>
      </c>
      <c r="AE188" s="62">
        <f>AE177+AE186</f>
        <v>0</v>
      </c>
      <c r="AF188" s="63">
        <f>SUM(H188:AE188)</f>
        <v>2197232</v>
      </c>
      <c r="AG188" s="58" t="str">
        <f>IF(ABS(AF188-F188)&lt;1,"ok","err")</f>
        <v>ok</v>
      </c>
    </row>
    <row r="189" spans="1:33">
      <c r="A189" s="60"/>
      <c r="F189" s="76"/>
      <c r="W189" s="44"/>
      <c r="AG189" s="58"/>
    </row>
    <row r="190" spans="1:33" ht="14.1">
      <c r="A190" s="65" t="s">
        <v>224</v>
      </c>
      <c r="F190" s="76"/>
      <c r="W190" s="44"/>
      <c r="AG190" s="58"/>
    </row>
    <row r="191" spans="1:33">
      <c r="A191" s="60">
        <v>546</v>
      </c>
      <c r="B191" s="44" t="s">
        <v>199</v>
      </c>
      <c r="C191" s="44" t="s">
        <v>225</v>
      </c>
      <c r="D191" s="44" t="s">
        <v>632</v>
      </c>
      <c r="F191" s="76">
        <v>187484</v>
      </c>
      <c r="H191" s="63">
        <f t="shared" ref="H191:Q195" si="81">IF(VLOOKUP($D191,$C$6:$AE$653,H$2,)=0,0,((VLOOKUP($D191,$C$6:$AE$653,H$2,)/VLOOKUP($D191,$C$6:$AE$653,4,))*$F191))</f>
        <v>187484</v>
      </c>
      <c r="I191" s="63">
        <f t="shared" si="81"/>
        <v>0</v>
      </c>
      <c r="J191" s="63">
        <f t="shared" si="81"/>
        <v>0</v>
      </c>
      <c r="K191" s="63">
        <f t="shared" si="81"/>
        <v>0</v>
      </c>
      <c r="L191" s="63">
        <f t="shared" si="81"/>
        <v>0</v>
      </c>
      <c r="M191" s="63">
        <f t="shared" si="81"/>
        <v>0</v>
      </c>
      <c r="N191" s="63">
        <f t="shared" si="81"/>
        <v>0</v>
      </c>
      <c r="O191" s="63">
        <f t="shared" si="81"/>
        <v>0</v>
      </c>
      <c r="P191" s="63">
        <f t="shared" si="81"/>
        <v>0</v>
      </c>
      <c r="Q191" s="63">
        <f t="shared" si="81"/>
        <v>0</v>
      </c>
      <c r="R191" s="63">
        <f t="shared" ref="R191:AE195" si="82">IF(VLOOKUP($D191,$C$6:$AE$653,R$2,)=0,0,((VLOOKUP($D191,$C$6:$AE$653,R$2,)/VLOOKUP($D191,$C$6:$AE$653,4,))*$F191))</f>
        <v>0</v>
      </c>
      <c r="S191" s="63">
        <f t="shared" si="82"/>
        <v>0</v>
      </c>
      <c r="T191" s="63">
        <f t="shared" si="82"/>
        <v>0</v>
      </c>
      <c r="U191" s="63">
        <f t="shared" si="82"/>
        <v>0</v>
      </c>
      <c r="V191" s="63">
        <f t="shared" si="82"/>
        <v>0</v>
      </c>
      <c r="W191" s="63">
        <f t="shared" si="82"/>
        <v>0</v>
      </c>
      <c r="X191" s="63">
        <f t="shared" si="82"/>
        <v>0</v>
      </c>
      <c r="Y191" s="63">
        <f t="shared" si="82"/>
        <v>0</v>
      </c>
      <c r="Z191" s="63">
        <f t="shared" si="82"/>
        <v>0</v>
      </c>
      <c r="AA191" s="63">
        <f t="shared" si="82"/>
        <v>0</v>
      </c>
      <c r="AB191" s="63">
        <f t="shared" si="82"/>
        <v>0</v>
      </c>
      <c r="AC191" s="63">
        <f t="shared" si="82"/>
        <v>0</v>
      </c>
      <c r="AD191" s="63">
        <f t="shared" si="82"/>
        <v>0</v>
      </c>
      <c r="AE191" s="63">
        <f t="shared" si="82"/>
        <v>0</v>
      </c>
      <c r="AF191" s="63">
        <f>SUM(H191:AE191)</f>
        <v>187484</v>
      </c>
      <c r="AG191" s="58" t="str">
        <f>IF(ABS(AF191-F191)&lt;1,"ok","err")</f>
        <v>ok</v>
      </c>
    </row>
    <row r="192" spans="1:33">
      <c r="A192" s="60">
        <v>547</v>
      </c>
      <c r="B192" s="44" t="s">
        <v>201</v>
      </c>
      <c r="C192" s="44" t="s">
        <v>226</v>
      </c>
      <c r="D192" s="44" t="s">
        <v>854</v>
      </c>
      <c r="F192" s="79">
        <v>43921446.457389697</v>
      </c>
      <c r="H192" s="63">
        <f t="shared" si="81"/>
        <v>0</v>
      </c>
      <c r="I192" s="63">
        <f t="shared" si="81"/>
        <v>0</v>
      </c>
      <c r="J192" s="63">
        <f t="shared" si="81"/>
        <v>0</v>
      </c>
      <c r="K192" s="63">
        <f t="shared" si="81"/>
        <v>43921446.457389697</v>
      </c>
      <c r="L192" s="63">
        <f t="shared" si="81"/>
        <v>0</v>
      </c>
      <c r="M192" s="63">
        <f t="shared" si="81"/>
        <v>0</v>
      </c>
      <c r="N192" s="63">
        <f t="shared" si="81"/>
        <v>0</v>
      </c>
      <c r="O192" s="63">
        <f t="shared" si="81"/>
        <v>0</v>
      </c>
      <c r="P192" s="63">
        <f t="shared" si="81"/>
        <v>0</v>
      </c>
      <c r="Q192" s="63">
        <f t="shared" si="81"/>
        <v>0</v>
      </c>
      <c r="R192" s="63">
        <f t="shared" si="82"/>
        <v>0</v>
      </c>
      <c r="S192" s="63">
        <f t="shared" si="82"/>
        <v>0</v>
      </c>
      <c r="T192" s="63">
        <f t="shared" si="82"/>
        <v>0</v>
      </c>
      <c r="U192" s="63">
        <f t="shared" si="82"/>
        <v>0</v>
      </c>
      <c r="V192" s="63">
        <f t="shared" si="82"/>
        <v>0</v>
      </c>
      <c r="W192" s="63">
        <f t="shared" si="82"/>
        <v>0</v>
      </c>
      <c r="X192" s="63">
        <f t="shared" si="82"/>
        <v>0</v>
      </c>
      <c r="Y192" s="63">
        <f t="shared" si="82"/>
        <v>0</v>
      </c>
      <c r="Z192" s="63">
        <f t="shared" si="82"/>
        <v>0</v>
      </c>
      <c r="AA192" s="63">
        <f t="shared" si="82"/>
        <v>0</v>
      </c>
      <c r="AB192" s="63">
        <f t="shared" si="82"/>
        <v>0</v>
      </c>
      <c r="AC192" s="63">
        <f t="shared" si="82"/>
        <v>0</v>
      </c>
      <c r="AD192" s="63">
        <f t="shared" si="82"/>
        <v>0</v>
      </c>
      <c r="AE192" s="63">
        <f t="shared" si="82"/>
        <v>0</v>
      </c>
      <c r="AF192" s="63">
        <f>SUM(H192:AE192)</f>
        <v>43921446.457389697</v>
      </c>
      <c r="AG192" s="58" t="str">
        <f>IF(ABS(AF192-F192)&lt;1,"ok","err")</f>
        <v>ok</v>
      </c>
    </row>
    <row r="193" spans="1:33">
      <c r="A193" s="60">
        <v>548</v>
      </c>
      <c r="B193" s="44" t="s">
        <v>227</v>
      </c>
      <c r="C193" s="44" t="s">
        <v>228</v>
      </c>
      <c r="D193" s="44" t="s">
        <v>624</v>
      </c>
      <c r="F193" s="79">
        <v>300829</v>
      </c>
      <c r="H193" s="63">
        <f t="shared" si="81"/>
        <v>300829</v>
      </c>
      <c r="I193" s="63">
        <f t="shared" si="81"/>
        <v>0</v>
      </c>
      <c r="J193" s="63">
        <f t="shared" si="81"/>
        <v>0</v>
      </c>
      <c r="K193" s="63">
        <f t="shared" si="81"/>
        <v>0</v>
      </c>
      <c r="L193" s="63">
        <f t="shared" si="81"/>
        <v>0</v>
      </c>
      <c r="M193" s="63">
        <f t="shared" si="81"/>
        <v>0</v>
      </c>
      <c r="N193" s="63">
        <f t="shared" si="81"/>
        <v>0</v>
      </c>
      <c r="O193" s="63">
        <f t="shared" si="81"/>
        <v>0</v>
      </c>
      <c r="P193" s="63">
        <f t="shared" si="81"/>
        <v>0</v>
      </c>
      <c r="Q193" s="63">
        <f t="shared" si="81"/>
        <v>0</v>
      </c>
      <c r="R193" s="63">
        <f t="shared" si="82"/>
        <v>0</v>
      </c>
      <c r="S193" s="63">
        <f t="shared" si="82"/>
        <v>0</v>
      </c>
      <c r="T193" s="63">
        <f t="shared" si="82"/>
        <v>0</v>
      </c>
      <c r="U193" s="63">
        <f t="shared" si="82"/>
        <v>0</v>
      </c>
      <c r="V193" s="63">
        <f t="shared" si="82"/>
        <v>0</v>
      </c>
      <c r="W193" s="63">
        <f t="shared" si="82"/>
        <v>0</v>
      </c>
      <c r="X193" s="63">
        <f t="shared" si="82"/>
        <v>0</v>
      </c>
      <c r="Y193" s="63">
        <f t="shared" si="82"/>
        <v>0</v>
      </c>
      <c r="Z193" s="63">
        <f t="shared" si="82"/>
        <v>0</v>
      </c>
      <c r="AA193" s="63">
        <f t="shared" si="82"/>
        <v>0</v>
      </c>
      <c r="AB193" s="63">
        <f t="shared" si="82"/>
        <v>0</v>
      </c>
      <c r="AC193" s="63">
        <f t="shared" si="82"/>
        <v>0</v>
      </c>
      <c r="AD193" s="63">
        <f t="shared" si="82"/>
        <v>0</v>
      </c>
      <c r="AE193" s="63">
        <f t="shared" si="82"/>
        <v>0</v>
      </c>
      <c r="AF193" s="63">
        <f>SUM(H193:AE193)</f>
        <v>300829</v>
      </c>
      <c r="AG193" s="58" t="str">
        <f>IF(ABS(AF193-F193)&lt;1,"ok","err")</f>
        <v>ok</v>
      </c>
    </row>
    <row r="194" spans="1:33">
      <c r="A194" s="60">
        <v>549</v>
      </c>
      <c r="B194" s="44" t="s">
        <v>229</v>
      </c>
      <c r="C194" s="44" t="s">
        <v>230</v>
      </c>
      <c r="D194" s="44" t="s">
        <v>624</v>
      </c>
      <c r="F194" s="79">
        <v>1742424</v>
      </c>
      <c r="H194" s="63">
        <f t="shared" si="81"/>
        <v>1742424</v>
      </c>
      <c r="I194" s="63">
        <f t="shared" si="81"/>
        <v>0</v>
      </c>
      <c r="J194" s="63">
        <f t="shared" si="81"/>
        <v>0</v>
      </c>
      <c r="K194" s="63">
        <f t="shared" si="81"/>
        <v>0</v>
      </c>
      <c r="L194" s="63">
        <f t="shared" si="81"/>
        <v>0</v>
      </c>
      <c r="M194" s="63">
        <f t="shared" si="81"/>
        <v>0</v>
      </c>
      <c r="N194" s="63">
        <f t="shared" si="81"/>
        <v>0</v>
      </c>
      <c r="O194" s="63">
        <f t="shared" si="81"/>
        <v>0</v>
      </c>
      <c r="P194" s="63">
        <f t="shared" si="81"/>
        <v>0</v>
      </c>
      <c r="Q194" s="63">
        <f t="shared" si="81"/>
        <v>0</v>
      </c>
      <c r="R194" s="63">
        <f t="shared" si="82"/>
        <v>0</v>
      </c>
      <c r="S194" s="63">
        <f t="shared" si="82"/>
        <v>0</v>
      </c>
      <c r="T194" s="63">
        <f t="shared" si="82"/>
        <v>0</v>
      </c>
      <c r="U194" s="63">
        <f t="shared" si="82"/>
        <v>0</v>
      </c>
      <c r="V194" s="63">
        <f t="shared" si="82"/>
        <v>0</v>
      </c>
      <c r="W194" s="63">
        <f t="shared" si="82"/>
        <v>0</v>
      </c>
      <c r="X194" s="63">
        <f t="shared" si="82"/>
        <v>0</v>
      </c>
      <c r="Y194" s="63">
        <f t="shared" si="82"/>
        <v>0</v>
      </c>
      <c r="Z194" s="63">
        <f t="shared" si="82"/>
        <v>0</v>
      </c>
      <c r="AA194" s="63">
        <f t="shared" si="82"/>
        <v>0</v>
      </c>
      <c r="AB194" s="63">
        <f t="shared" si="82"/>
        <v>0</v>
      </c>
      <c r="AC194" s="63">
        <f t="shared" si="82"/>
        <v>0</v>
      </c>
      <c r="AD194" s="63">
        <f t="shared" si="82"/>
        <v>0</v>
      </c>
      <c r="AE194" s="63">
        <f t="shared" si="82"/>
        <v>0</v>
      </c>
      <c r="AF194" s="63">
        <f>SUM(H194:AE194)</f>
        <v>1742424</v>
      </c>
      <c r="AG194" s="58" t="str">
        <f>IF(ABS(AF194-F194)&lt;1,"ok","err")</f>
        <v>ok</v>
      </c>
    </row>
    <row r="195" spans="1:33">
      <c r="A195" s="60">
        <v>550</v>
      </c>
      <c r="B195" s="44" t="s">
        <v>928</v>
      </c>
      <c r="C195" s="44" t="s">
        <v>231</v>
      </c>
      <c r="D195" s="44" t="s">
        <v>624</v>
      </c>
      <c r="F195" s="79">
        <v>11652</v>
      </c>
      <c r="H195" s="63">
        <f t="shared" si="81"/>
        <v>11652</v>
      </c>
      <c r="I195" s="63">
        <f t="shared" si="81"/>
        <v>0</v>
      </c>
      <c r="J195" s="63">
        <f t="shared" si="81"/>
        <v>0</v>
      </c>
      <c r="K195" s="63">
        <f t="shared" si="81"/>
        <v>0</v>
      </c>
      <c r="L195" s="63">
        <f t="shared" si="81"/>
        <v>0</v>
      </c>
      <c r="M195" s="63">
        <f t="shared" si="81"/>
        <v>0</v>
      </c>
      <c r="N195" s="63">
        <f t="shared" si="81"/>
        <v>0</v>
      </c>
      <c r="O195" s="63">
        <f t="shared" si="81"/>
        <v>0</v>
      </c>
      <c r="P195" s="63">
        <f t="shared" si="81"/>
        <v>0</v>
      </c>
      <c r="Q195" s="63">
        <f t="shared" si="81"/>
        <v>0</v>
      </c>
      <c r="R195" s="63">
        <f t="shared" si="82"/>
        <v>0</v>
      </c>
      <c r="S195" s="63">
        <f t="shared" si="82"/>
        <v>0</v>
      </c>
      <c r="T195" s="63">
        <f t="shared" si="82"/>
        <v>0</v>
      </c>
      <c r="U195" s="63">
        <f t="shared" si="82"/>
        <v>0</v>
      </c>
      <c r="V195" s="63">
        <f t="shared" si="82"/>
        <v>0</v>
      </c>
      <c r="W195" s="63">
        <f t="shared" si="82"/>
        <v>0</v>
      </c>
      <c r="X195" s="63">
        <f t="shared" si="82"/>
        <v>0</v>
      </c>
      <c r="Y195" s="63">
        <f t="shared" si="82"/>
        <v>0</v>
      </c>
      <c r="Z195" s="63">
        <f t="shared" si="82"/>
        <v>0</v>
      </c>
      <c r="AA195" s="63">
        <f t="shared" si="82"/>
        <v>0</v>
      </c>
      <c r="AB195" s="63">
        <f t="shared" si="82"/>
        <v>0</v>
      </c>
      <c r="AC195" s="63">
        <f t="shared" si="82"/>
        <v>0</v>
      </c>
      <c r="AD195" s="63">
        <f t="shared" si="82"/>
        <v>0</v>
      </c>
      <c r="AE195" s="63">
        <f t="shared" si="82"/>
        <v>0</v>
      </c>
      <c r="AF195" s="63">
        <f>SUM(H195:AE195)</f>
        <v>11652</v>
      </c>
      <c r="AG195" s="58" t="str">
        <f>IF(ABS(AF195-F195)&lt;1,"ok","err")</f>
        <v>ok</v>
      </c>
    </row>
    <row r="196" spans="1:33">
      <c r="A196" s="60"/>
      <c r="F196" s="76"/>
      <c r="W196" s="44"/>
      <c r="AF196" s="63"/>
      <c r="AG196" s="58"/>
    </row>
    <row r="197" spans="1:33">
      <c r="A197" s="60"/>
      <c r="B197" s="44" t="s">
        <v>232</v>
      </c>
      <c r="F197" s="76">
        <f>SUM(F191:F196)</f>
        <v>46163835.457389697</v>
      </c>
      <c r="H197" s="62">
        <f t="shared" ref="H197:M197" si="83">SUM(H191:H196)</f>
        <v>2242389</v>
      </c>
      <c r="I197" s="62">
        <f t="shared" si="83"/>
        <v>0</v>
      </c>
      <c r="J197" s="62">
        <f t="shared" si="83"/>
        <v>0</v>
      </c>
      <c r="K197" s="62">
        <f t="shared" si="83"/>
        <v>43921446.457389697</v>
      </c>
      <c r="L197" s="62">
        <f t="shared" si="83"/>
        <v>0</v>
      </c>
      <c r="M197" s="62">
        <f t="shared" si="83"/>
        <v>0</v>
      </c>
      <c r="N197" s="62">
        <f>SUM(N191:N196)</f>
        <v>0</v>
      </c>
      <c r="O197" s="62">
        <f>SUM(O191:O196)</f>
        <v>0</v>
      </c>
      <c r="P197" s="62">
        <f>SUM(P191:P196)</f>
        <v>0</v>
      </c>
      <c r="Q197" s="62">
        <f t="shared" ref="Q197:AB197" si="84">SUM(Q191:Q196)</f>
        <v>0</v>
      </c>
      <c r="R197" s="62">
        <f t="shared" si="84"/>
        <v>0</v>
      </c>
      <c r="S197" s="62">
        <f t="shared" si="84"/>
        <v>0</v>
      </c>
      <c r="T197" s="62">
        <f t="shared" si="84"/>
        <v>0</v>
      </c>
      <c r="U197" s="62">
        <f t="shared" si="84"/>
        <v>0</v>
      </c>
      <c r="V197" s="62">
        <f t="shared" si="84"/>
        <v>0</v>
      </c>
      <c r="W197" s="62">
        <f t="shared" si="84"/>
        <v>0</v>
      </c>
      <c r="X197" s="62">
        <f t="shared" si="84"/>
        <v>0</v>
      </c>
      <c r="Y197" s="62">
        <f t="shared" si="84"/>
        <v>0</v>
      </c>
      <c r="Z197" s="62">
        <f t="shared" si="84"/>
        <v>0</v>
      </c>
      <c r="AA197" s="62">
        <f t="shared" si="84"/>
        <v>0</v>
      </c>
      <c r="AB197" s="62">
        <f t="shared" si="84"/>
        <v>0</v>
      </c>
      <c r="AC197" s="62">
        <f>SUM(AC191:AC196)</f>
        <v>0</v>
      </c>
      <c r="AD197" s="62">
        <f>SUM(AD191:AD196)</f>
        <v>0</v>
      </c>
      <c r="AE197" s="62">
        <f>SUM(AE191:AE196)</f>
        <v>0</v>
      </c>
      <c r="AF197" s="63">
        <f>SUM(H197:AE197)</f>
        <v>46163835.457389697</v>
      </c>
      <c r="AG197" s="58" t="str">
        <f>IF(ABS(AF197-F197)&lt;1,"ok","err")</f>
        <v>ok</v>
      </c>
    </row>
    <row r="198" spans="1:33">
      <c r="A198" s="60"/>
      <c r="F198" s="76"/>
      <c r="W198" s="44"/>
      <c r="AG198" s="58"/>
    </row>
    <row r="199" spans="1:33" ht="14.1">
      <c r="A199" s="59" t="s">
        <v>948</v>
      </c>
      <c r="F199" s="76"/>
      <c r="W199" s="44"/>
      <c r="AG199" s="58"/>
    </row>
    <row r="200" spans="1:33">
      <c r="A200" s="60"/>
      <c r="F200" s="76"/>
      <c r="W200" s="44"/>
      <c r="AG200" s="58"/>
    </row>
    <row r="201" spans="1:33" ht="14.1">
      <c r="A201" s="65" t="s">
        <v>233</v>
      </c>
      <c r="F201" s="76"/>
      <c r="W201" s="44"/>
      <c r="AG201" s="58"/>
    </row>
    <row r="202" spans="1:33">
      <c r="A202" s="60">
        <v>551</v>
      </c>
      <c r="B202" s="44" t="s">
        <v>214</v>
      </c>
      <c r="C202" s="44" t="s">
        <v>234</v>
      </c>
      <c r="D202" s="44" t="s">
        <v>624</v>
      </c>
      <c r="F202" s="76">
        <v>272764</v>
      </c>
      <c r="H202" s="63">
        <f t="shared" ref="H202:Q205" si="85">IF(VLOOKUP($D202,$C$6:$AE$653,H$2,)=0,0,((VLOOKUP($D202,$C$6:$AE$653,H$2,)/VLOOKUP($D202,$C$6:$AE$653,4,))*$F202))</f>
        <v>272764</v>
      </c>
      <c r="I202" s="63">
        <f t="shared" si="85"/>
        <v>0</v>
      </c>
      <c r="J202" s="63">
        <f t="shared" si="85"/>
        <v>0</v>
      </c>
      <c r="K202" s="63">
        <f t="shared" si="85"/>
        <v>0</v>
      </c>
      <c r="L202" s="63">
        <f t="shared" si="85"/>
        <v>0</v>
      </c>
      <c r="M202" s="63">
        <f t="shared" si="85"/>
        <v>0</v>
      </c>
      <c r="N202" s="63">
        <f t="shared" si="85"/>
        <v>0</v>
      </c>
      <c r="O202" s="63">
        <f t="shared" si="85"/>
        <v>0</v>
      </c>
      <c r="P202" s="63">
        <f t="shared" si="85"/>
        <v>0</v>
      </c>
      <c r="Q202" s="63">
        <f t="shared" si="85"/>
        <v>0</v>
      </c>
      <c r="R202" s="63">
        <f t="shared" ref="R202:AE205" si="86">IF(VLOOKUP($D202,$C$6:$AE$653,R$2,)=0,0,((VLOOKUP($D202,$C$6:$AE$653,R$2,)/VLOOKUP($D202,$C$6:$AE$653,4,))*$F202))</f>
        <v>0</v>
      </c>
      <c r="S202" s="63">
        <f t="shared" si="86"/>
        <v>0</v>
      </c>
      <c r="T202" s="63">
        <f t="shared" si="86"/>
        <v>0</v>
      </c>
      <c r="U202" s="63">
        <f t="shared" si="86"/>
        <v>0</v>
      </c>
      <c r="V202" s="63">
        <f t="shared" si="86"/>
        <v>0</v>
      </c>
      <c r="W202" s="63">
        <f t="shared" si="86"/>
        <v>0</v>
      </c>
      <c r="X202" s="63">
        <f t="shared" si="86"/>
        <v>0</v>
      </c>
      <c r="Y202" s="63">
        <f t="shared" si="86"/>
        <v>0</v>
      </c>
      <c r="Z202" s="63">
        <f t="shared" si="86"/>
        <v>0</v>
      </c>
      <c r="AA202" s="63">
        <f t="shared" si="86"/>
        <v>0</v>
      </c>
      <c r="AB202" s="63">
        <f t="shared" si="86"/>
        <v>0</v>
      </c>
      <c r="AC202" s="63">
        <f t="shared" si="86"/>
        <v>0</v>
      </c>
      <c r="AD202" s="63">
        <f t="shared" si="86"/>
        <v>0</v>
      </c>
      <c r="AE202" s="63">
        <f t="shared" si="86"/>
        <v>0</v>
      </c>
      <c r="AF202" s="63">
        <f>SUM(H202:AE202)</f>
        <v>272764</v>
      </c>
      <c r="AG202" s="58" t="str">
        <f>IF(ABS(AF202-F202)&lt;1,"ok","err")</f>
        <v>ok</v>
      </c>
    </row>
    <row r="203" spans="1:33">
      <c r="A203" s="60">
        <v>552</v>
      </c>
      <c r="B203" s="44" t="s">
        <v>213</v>
      </c>
      <c r="C203" s="44" t="s">
        <v>235</v>
      </c>
      <c r="D203" s="44" t="s">
        <v>624</v>
      </c>
      <c r="F203" s="79">
        <v>235911</v>
      </c>
      <c r="H203" s="63">
        <f t="shared" si="85"/>
        <v>235911</v>
      </c>
      <c r="I203" s="63">
        <f t="shared" si="85"/>
        <v>0</v>
      </c>
      <c r="J203" s="63">
        <f t="shared" si="85"/>
        <v>0</v>
      </c>
      <c r="K203" s="63">
        <f t="shared" si="85"/>
        <v>0</v>
      </c>
      <c r="L203" s="63">
        <f t="shared" si="85"/>
        <v>0</v>
      </c>
      <c r="M203" s="63">
        <f t="shared" si="85"/>
        <v>0</v>
      </c>
      <c r="N203" s="63">
        <f t="shared" si="85"/>
        <v>0</v>
      </c>
      <c r="O203" s="63">
        <f t="shared" si="85"/>
        <v>0</v>
      </c>
      <c r="P203" s="63">
        <f t="shared" si="85"/>
        <v>0</v>
      </c>
      <c r="Q203" s="63">
        <f t="shared" si="85"/>
        <v>0</v>
      </c>
      <c r="R203" s="63">
        <f t="shared" si="86"/>
        <v>0</v>
      </c>
      <c r="S203" s="63">
        <f t="shared" si="86"/>
        <v>0</v>
      </c>
      <c r="T203" s="63">
        <f t="shared" si="86"/>
        <v>0</v>
      </c>
      <c r="U203" s="63">
        <f t="shared" si="86"/>
        <v>0</v>
      </c>
      <c r="V203" s="63">
        <f t="shared" si="86"/>
        <v>0</v>
      </c>
      <c r="W203" s="63">
        <f t="shared" si="86"/>
        <v>0</v>
      </c>
      <c r="X203" s="63">
        <f t="shared" si="86"/>
        <v>0</v>
      </c>
      <c r="Y203" s="63">
        <f t="shared" si="86"/>
        <v>0</v>
      </c>
      <c r="Z203" s="63">
        <f t="shared" si="86"/>
        <v>0</v>
      </c>
      <c r="AA203" s="63">
        <f t="shared" si="86"/>
        <v>0</v>
      </c>
      <c r="AB203" s="63">
        <f t="shared" si="86"/>
        <v>0</v>
      </c>
      <c r="AC203" s="63">
        <f t="shared" si="86"/>
        <v>0</v>
      </c>
      <c r="AD203" s="63">
        <f t="shared" si="86"/>
        <v>0</v>
      </c>
      <c r="AE203" s="63">
        <f t="shared" si="86"/>
        <v>0</v>
      </c>
      <c r="AF203" s="63">
        <f>SUM(H203:AE203)</f>
        <v>235911</v>
      </c>
      <c r="AG203" s="58" t="str">
        <f>IF(ABS(AF203-F203)&lt;1,"ok","err")</f>
        <v>ok</v>
      </c>
    </row>
    <row r="204" spans="1:33">
      <c r="A204" s="60">
        <v>553</v>
      </c>
      <c r="B204" s="44" t="s">
        <v>236</v>
      </c>
      <c r="C204" s="44" t="s">
        <v>237</v>
      </c>
      <c r="D204" s="44" t="s">
        <v>624</v>
      </c>
      <c r="F204" s="79">
        <v>3098761</v>
      </c>
      <c r="H204" s="63">
        <f t="shared" si="85"/>
        <v>3098761</v>
      </c>
      <c r="I204" s="63">
        <f t="shared" si="85"/>
        <v>0</v>
      </c>
      <c r="J204" s="63">
        <f t="shared" si="85"/>
        <v>0</v>
      </c>
      <c r="K204" s="63">
        <f t="shared" si="85"/>
        <v>0</v>
      </c>
      <c r="L204" s="63">
        <f t="shared" si="85"/>
        <v>0</v>
      </c>
      <c r="M204" s="63">
        <f t="shared" si="85"/>
        <v>0</v>
      </c>
      <c r="N204" s="63">
        <f t="shared" si="85"/>
        <v>0</v>
      </c>
      <c r="O204" s="63">
        <f t="shared" si="85"/>
        <v>0</v>
      </c>
      <c r="P204" s="63">
        <f t="shared" si="85"/>
        <v>0</v>
      </c>
      <c r="Q204" s="63">
        <f t="shared" si="85"/>
        <v>0</v>
      </c>
      <c r="R204" s="63">
        <f t="shared" si="86"/>
        <v>0</v>
      </c>
      <c r="S204" s="63">
        <f t="shared" si="86"/>
        <v>0</v>
      </c>
      <c r="T204" s="63">
        <f t="shared" si="86"/>
        <v>0</v>
      </c>
      <c r="U204" s="63">
        <f t="shared" si="86"/>
        <v>0</v>
      </c>
      <c r="V204" s="63">
        <f t="shared" si="86"/>
        <v>0</v>
      </c>
      <c r="W204" s="63">
        <f t="shared" si="86"/>
        <v>0</v>
      </c>
      <c r="X204" s="63">
        <f t="shared" si="86"/>
        <v>0</v>
      </c>
      <c r="Y204" s="63">
        <f t="shared" si="86"/>
        <v>0</v>
      </c>
      <c r="Z204" s="63">
        <f t="shared" si="86"/>
        <v>0</v>
      </c>
      <c r="AA204" s="63">
        <f t="shared" si="86"/>
        <v>0</v>
      </c>
      <c r="AB204" s="63">
        <f t="shared" si="86"/>
        <v>0</v>
      </c>
      <c r="AC204" s="63">
        <f t="shared" si="86"/>
        <v>0</v>
      </c>
      <c r="AD204" s="63">
        <f t="shared" si="86"/>
        <v>0</v>
      </c>
      <c r="AE204" s="63">
        <f t="shared" si="86"/>
        <v>0</v>
      </c>
      <c r="AF204" s="63">
        <f>SUM(H204:AE204)</f>
        <v>3098761</v>
      </c>
      <c r="AG204" s="58" t="str">
        <f>IF(ABS(AF204-F204)&lt;1,"ok","err")</f>
        <v>ok</v>
      </c>
    </row>
    <row r="205" spans="1:33">
      <c r="A205" s="60">
        <v>554</v>
      </c>
      <c r="B205" s="44" t="s">
        <v>238</v>
      </c>
      <c r="C205" s="44" t="s">
        <v>239</v>
      </c>
      <c r="D205" s="44" t="s">
        <v>624</v>
      </c>
      <c r="F205" s="79">
        <v>1896208.99999999</v>
      </c>
      <c r="H205" s="63">
        <f t="shared" si="85"/>
        <v>1896208.99999999</v>
      </c>
      <c r="I205" s="63">
        <f t="shared" si="85"/>
        <v>0</v>
      </c>
      <c r="J205" s="63">
        <f t="shared" si="85"/>
        <v>0</v>
      </c>
      <c r="K205" s="63">
        <f t="shared" si="85"/>
        <v>0</v>
      </c>
      <c r="L205" s="63">
        <f t="shared" si="85"/>
        <v>0</v>
      </c>
      <c r="M205" s="63">
        <f t="shared" si="85"/>
        <v>0</v>
      </c>
      <c r="N205" s="63">
        <f t="shared" si="85"/>
        <v>0</v>
      </c>
      <c r="O205" s="63">
        <f t="shared" si="85"/>
        <v>0</v>
      </c>
      <c r="P205" s="63">
        <f t="shared" si="85"/>
        <v>0</v>
      </c>
      <c r="Q205" s="63">
        <f t="shared" si="85"/>
        <v>0</v>
      </c>
      <c r="R205" s="63">
        <f t="shared" si="86"/>
        <v>0</v>
      </c>
      <c r="S205" s="63">
        <f t="shared" si="86"/>
        <v>0</v>
      </c>
      <c r="T205" s="63">
        <f t="shared" si="86"/>
        <v>0</v>
      </c>
      <c r="U205" s="63">
        <f t="shared" si="86"/>
        <v>0</v>
      </c>
      <c r="V205" s="63">
        <f t="shared" si="86"/>
        <v>0</v>
      </c>
      <c r="W205" s="63">
        <f t="shared" si="86"/>
        <v>0</v>
      </c>
      <c r="X205" s="63">
        <f t="shared" si="86"/>
        <v>0</v>
      </c>
      <c r="Y205" s="63">
        <f t="shared" si="86"/>
        <v>0</v>
      </c>
      <c r="Z205" s="63">
        <f t="shared" si="86"/>
        <v>0</v>
      </c>
      <c r="AA205" s="63">
        <f t="shared" si="86"/>
        <v>0</v>
      </c>
      <c r="AB205" s="63">
        <f t="shared" si="86"/>
        <v>0</v>
      </c>
      <c r="AC205" s="63">
        <f t="shared" si="86"/>
        <v>0</v>
      </c>
      <c r="AD205" s="63">
        <f t="shared" si="86"/>
        <v>0</v>
      </c>
      <c r="AE205" s="63">
        <f t="shared" si="86"/>
        <v>0</v>
      </c>
      <c r="AF205" s="63">
        <f>SUM(H205:AE205)</f>
        <v>1896208.99999999</v>
      </c>
      <c r="AG205" s="58" t="str">
        <f>IF(ABS(AF205-F205)&lt;1,"ok","err")</f>
        <v>ok</v>
      </c>
    </row>
    <row r="206" spans="1:33">
      <c r="A206" s="60"/>
      <c r="F206" s="76"/>
      <c r="W206" s="44"/>
      <c r="AG206" s="58"/>
    </row>
    <row r="207" spans="1:33">
      <c r="A207" s="60"/>
      <c r="B207" s="44" t="s">
        <v>241</v>
      </c>
      <c r="F207" s="76">
        <f>SUM(F202:F206)</f>
        <v>5503644.9999999898</v>
      </c>
      <c r="H207" s="62">
        <f t="shared" ref="H207:M207" si="87">SUM(H202:H206)</f>
        <v>5503644.9999999898</v>
      </c>
      <c r="I207" s="62">
        <f t="shared" si="87"/>
        <v>0</v>
      </c>
      <c r="J207" s="62">
        <f t="shared" si="87"/>
        <v>0</v>
      </c>
      <c r="K207" s="62">
        <f t="shared" si="87"/>
        <v>0</v>
      </c>
      <c r="L207" s="62">
        <f t="shared" si="87"/>
        <v>0</v>
      </c>
      <c r="M207" s="62">
        <f t="shared" si="87"/>
        <v>0</v>
      </c>
      <c r="N207" s="62">
        <f>SUM(N202:N206)</f>
        <v>0</v>
      </c>
      <c r="O207" s="62">
        <f>SUM(O202:O206)</f>
        <v>0</v>
      </c>
      <c r="P207" s="62">
        <f>SUM(P202:P206)</f>
        <v>0</v>
      </c>
      <c r="Q207" s="62">
        <f t="shared" ref="Q207:AB207" si="88">SUM(Q202:Q206)</f>
        <v>0</v>
      </c>
      <c r="R207" s="62">
        <f t="shared" si="88"/>
        <v>0</v>
      </c>
      <c r="S207" s="62">
        <f t="shared" si="88"/>
        <v>0</v>
      </c>
      <c r="T207" s="62">
        <f t="shared" si="88"/>
        <v>0</v>
      </c>
      <c r="U207" s="62">
        <f t="shared" si="88"/>
        <v>0</v>
      </c>
      <c r="V207" s="62">
        <f t="shared" si="88"/>
        <v>0</v>
      </c>
      <c r="W207" s="62">
        <f t="shared" si="88"/>
        <v>0</v>
      </c>
      <c r="X207" s="62">
        <f t="shared" si="88"/>
        <v>0</v>
      </c>
      <c r="Y207" s="62">
        <f t="shared" si="88"/>
        <v>0</v>
      </c>
      <c r="Z207" s="62">
        <f t="shared" si="88"/>
        <v>0</v>
      </c>
      <c r="AA207" s="62">
        <f t="shared" si="88"/>
        <v>0</v>
      </c>
      <c r="AB207" s="62">
        <f t="shared" si="88"/>
        <v>0</v>
      </c>
      <c r="AC207" s="62">
        <f>SUM(AC202:AC206)</f>
        <v>0</v>
      </c>
      <c r="AD207" s="62">
        <f>SUM(AD202:AD206)</f>
        <v>0</v>
      </c>
      <c r="AE207" s="62">
        <f>SUM(AE202:AE206)</f>
        <v>0</v>
      </c>
      <c r="AF207" s="63">
        <f>SUM(H207:AE207)</f>
        <v>5503644.9999999898</v>
      </c>
      <c r="AG207" s="58" t="str">
        <f>IF(ABS(AF207-F207)&lt;1,"ok","err")</f>
        <v>ok</v>
      </c>
    </row>
    <row r="208" spans="1:33">
      <c r="A208" s="60"/>
      <c r="F208" s="76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58"/>
    </row>
    <row r="209" spans="1:33">
      <c r="A209" s="60"/>
      <c r="B209" s="44" t="s">
        <v>240</v>
      </c>
      <c r="F209" s="173">
        <f>F197+F207</f>
        <v>51667480.45738969</v>
      </c>
      <c r="H209" s="62">
        <f t="shared" ref="H209:M209" si="89">H197+H207</f>
        <v>7746033.9999999898</v>
      </c>
      <c r="I209" s="62">
        <f t="shared" si="89"/>
        <v>0</v>
      </c>
      <c r="J209" s="62">
        <f t="shared" si="89"/>
        <v>0</v>
      </c>
      <c r="K209" s="62">
        <f t="shared" si="89"/>
        <v>43921446.457389697</v>
      </c>
      <c r="L209" s="62">
        <f t="shared" si="89"/>
        <v>0</v>
      </c>
      <c r="M209" s="62">
        <f t="shared" si="89"/>
        <v>0</v>
      </c>
      <c r="N209" s="62">
        <f>N197+N207</f>
        <v>0</v>
      </c>
      <c r="O209" s="62">
        <f>O197+O207</f>
        <v>0</v>
      </c>
      <c r="P209" s="62">
        <f>P197+P207</f>
        <v>0</v>
      </c>
      <c r="Q209" s="62">
        <f t="shared" ref="Q209:AB209" si="90">Q197+Q207</f>
        <v>0</v>
      </c>
      <c r="R209" s="62">
        <f t="shared" si="90"/>
        <v>0</v>
      </c>
      <c r="S209" s="62">
        <f t="shared" si="90"/>
        <v>0</v>
      </c>
      <c r="T209" s="62">
        <f t="shared" si="90"/>
        <v>0</v>
      </c>
      <c r="U209" s="62">
        <f t="shared" si="90"/>
        <v>0</v>
      </c>
      <c r="V209" s="62">
        <f t="shared" si="90"/>
        <v>0</v>
      </c>
      <c r="W209" s="62">
        <f t="shared" si="90"/>
        <v>0</v>
      </c>
      <c r="X209" s="62">
        <f t="shared" si="90"/>
        <v>0</v>
      </c>
      <c r="Y209" s="62">
        <f t="shared" si="90"/>
        <v>0</v>
      </c>
      <c r="Z209" s="62">
        <f t="shared" si="90"/>
        <v>0</v>
      </c>
      <c r="AA209" s="62">
        <f t="shared" si="90"/>
        <v>0</v>
      </c>
      <c r="AB209" s="62">
        <f t="shared" si="90"/>
        <v>0</v>
      </c>
      <c r="AC209" s="62">
        <f>AC197+AC207</f>
        <v>0</v>
      </c>
      <c r="AD209" s="62">
        <f>AD197+AD207</f>
        <v>0</v>
      </c>
      <c r="AE209" s="62">
        <f>AE197+AE207</f>
        <v>0</v>
      </c>
      <c r="AF209" s="63">
        <f>SUM(H209:AE209)</f>
        <v>51667480.45738969</v>
      </c>
      <c r="AG209" s="58" t="str">
        <f>IF(ABS(AF209-F209)&lt;1,"ok","err")</f>
        <v>ok</v>
      </c>
    </row>
    <row r="210" spans="1:33">
      <c r="A210" s="60"/>
      <c r="F210" s="76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58"/>
    </row>
    <row r="211" spans="1:33">
      <c r="A211" s="60"/>
      <c r="B211" s="44" t="s">
        <v>242</v>
      </c>
      <c r="F211" s="76">
        <f>F167+F188+F209</f>
        <v>412365287.52817774</v>
      </c>
      <c r="H211" s="62">
        <f t="shared" ref="H211:M211" si="91">H167+H188+H209</f>
        <v>55193697.065196134</v>
      </c>
      <c r="I211" s="62">
        <f t="shared" si="91"/>
        <v>0</v>
      </c>
      <c r="J211" s="62">
        <f t="shared" si="91"/>
        <v>0</v>
      </c>
      <c r="K211" s="62">
        <f t="shared" si="91"/>
        <v>357171590.46298152</v>
      </c>
      <c r="L211" s="62">
        <f t="shared" si="91"/>
        <v>0</v>
      </c>
      <c r="M211" s="62">
        <f t="shared" si="91"/>
        <v>0</v>
      </c>
      <c r="N211" s="62">
        <f>N167+N188+N209</f>
        <v>0</v>
      </c>
      <c r="O211" s="62">
        <f>O167+O188+O209</f>
        <v>0</v>
      </c>
      <c r="P211" s="62">
        <f>P167+P188+P209</f>
        <v>0</v>
      </c>
      <c r="Q211" s="62">
        <f t="shared" ref="Q211:AB211" si="92">Q167+Q188+Q209</f>
        <v>0</v>
      </c>
      <c r="R211" s="62">
        <f t="shared" si="92"/>
        <v>0</v>
      </c>
      <c r="S211" s="62">
        <f t="shared" si="92"/>
        <v>0</v>
      </c>
      <c r="T211" s="62">
        <f t="shared" si="92"/>
        <v>0</v>
      </c>
      <c r="U211" s="62">
        <f t="shared" si="92"/>
        <v>0</v>
      </c>
      <c r="V211" s="62">
        <f t="shared" si="92"/>
        <v>0</v>
      </c>
      <c r="W211" s="62">
        <f t="shared" si="92"/>
        <v>0</v>
      </c>
      <c r="X211" s="62">
        <f t="shared" si="92"/>
        <v>0</v>
      </c>
      <c r="Y211" s="62">
        <f t="shared" si="92"/>
        <v>0</v>
      </c>
      <c r="Z211" s="62">
        <f t="shared" si="92"/>
        <v>0</v>
      </c>
      <c r="AA211" s="62">
        <f t="shared" si="92"/>
        <v>0</v>
      </c>
      <c r="AB211" s="62">
        <f t="shared" si="92"/>
        <v>0</v>
      </c>
      <c r="AC211" s="62">
        <f>AC167+AC188+AC209</f>
        <v>0</v>
      </c>
      <c r="AD211" s="62">
        <f>AD167+AD188+AD209</f>
        <v>0</v>
      </c>
      <c r="AE211" s="62">
        <f>AE167+AE188+AE209</f>
        <v>0</v>
      </c>
      <c r="AF211" s="63">
        <f>SUM(H211:AE211)</f>
        <v>412365287.52817768</v>
      </c>
      <c r="AG211" s="58" t="str">
        <f>IF(ABS(AF211-F211)&lt;1,"ok","err")</f>
        <v>ok</v>
      </c>
    </row>
    <row r="212" spans="1:33">
      <c r="A212" s="60"/>
      <c r="W212" s="44"/>
      <c r="AG212" s="58"/>
    </row>
    <row r="213" spans="1:33" ht="14.1">
      <c r="A213" s="65" t="s">
        <v>243</v>
      </c>
      <c r="W213" s="44"/>
      <c r="AG213" s="58"/>
    </row>
    <row r="214" spans="1:33">
      <c r="A214" s="60">
        <v>555</v>
      </c>
      <c r="B214" s="44" t="s">
        <v>1075</v>
      </c>
      <c r="C214" s="44" t="s">
        <v>6</v>
      </c>
      <c r="D214" s="44" t="s">
        <v>910</v>
      </c>
      <c r="F214" s="76">
        <f>44518297.2428655-1241626</f>
        <v>43276671.242865503</v>
      </c>
      <c r="G214" s="62"/>
      <c r="H214" s="63">
        <f t="shared" ref="H214:Q220" si="93">IF(VLOOKUP($D214,$C$6:$AE$653,H$2,)=0,0,((VLOOKUP($D214,$C$6:$AE$653,H$2,)/VLOOKUP($D214,$C$6:$AE$653,4,))*$F214))</f>
        <v>23686710.739299577</v>
      </c>
      <c r="I214" s="63">
        <f t="shared" si="93"/>
        <v>0</v>
      </c>
      <c r="J214" s="63">
        <f t="shared" si="93"/>
        <v>0</v>
      </c>
      <c r="K214" s="63">
        <f t="shared" si="93"/>
        <v>19589960.50356593</v>
      </c>
      <c r="L214" s="63">
        <f t="shared" si="93"/>
        <v>0</v>
      </c>
      <c r="M214" s="63">
        <f t="shared" si="93"/>
        <v>0</v>
      </c>
      <c r="N214" s="63">
        <f t="shared" si="93"/>
        <v>0</v>
      </c>
      <c r="O214" s="63">
        <f t="shared" si="93"/>
        <v>0</v>
      </c>
      <c r="P214" s="63">
        <f t="shared" si="93"/>
        <v>0</v>
      </c>
      <c r="Q214" s="63">
        <f t="shared" si="93"/>
        <v>0</v>
      </c>
      <c r="R214" s="63">
        <f t="shared" ref="R214:AE220" si="94">IF(VLOOKUP($D214,$C$6:$AE$653,R$2,)=0,0,((VLOOKUP($D214,$C$6:$AE$653,R$2,)/VLOOKUP($D214,$C$6:$AE$653,4,))*$F214))</f>
        <v>0</v>
      </c>
      <c r="S214" s="63">
        <f t="shared" si="94"/>
        <v>0</v>
      </c>
      <c r="T214" s="63">
        <f t="shared" si="94"/>
        <v>0</v>
      </c>
      <c r="U214" s="63">
        <f t="shared" si="94"/>
        <v>0</v>
      </c>
      <c r="V214" s="63">
        <f t="shared" si="94"/>
        <v>0</v>
      </c>
      <c r="W214" s="63">
        <f t="shared" si="94"/>
        <v>0</v>
      </c>
      <c r="X214" s="63">
        <f t="shared" si="94"/>
        <v>0</v>
      </c>
      <c r="Y214" s="63">
        <f t="shared" si="94"/>
        <v>0</v>
      </c>
      <c r="Z214" s="63">
        <f t="shared" si="94"/>
        <v>0</v>
      </c>
      <c r="AA214" s="63">
        <f t="shared" si="94"/>
        <v>0</v>
      </c>
      <c r="AB214" s="63">
        <f t="shared" si="94"/>
        <v>0</v>
      </c>
      <c r="AC214" s="63">
        <f t="shared" si="94"/>
        <v>0</v>
      </c>
      <c r="AD214" s="63">
        <f t="shared" si="94"/>
        <v>0</v>
      </c>
      <c r="AE214" s="63">
        <f t="shared" si="94"/>
        <v>0</v>
      </c>
      <c r="AF214" s="63">
        <f t="shared" ref="AF214:AF220" si="95">SUM(H214:AE214)</f>
        <v>43276671.242865503</v>
      </c>
      <c r="AG214" s="58" t="str">
        <f t="shared" ref="AG214:AG220" si="96">IF(ABS(AF214-F214)&lt;1,"ok","err")</f>
        <v>ok</v>
      </c>
    </row>
    <row r="215" spans="1:33">
      <c r="A215" s="60">
        <v>555</v>
      </c>
      <c r="B215" s="44" t="s">
        <v>244</v>
      </c>
      <c r="C215" s="44" t="s">
        <v>245</v>
      </c>
      <c r="D215" s="44" t="s">
        <v>910</v>
      </c>
      <c r="F215" s="79">
        <v>0</v>
      </c>
      <c r="G215" s="62"/>
      <c r="H215" s="63">
        <f t="shared" si="93"/>
        <v>0</v>
      </c>
      <c r="I215" s="63">
        <f t="shared" si="93"/>
        <v>0</v>
      </c>
      <c r="J215" s="63">
        <f t="shared" si="93"/>
        <v>0</v>
      </c>
      <c r="K215" s="63">
        <f t="shared" si="93"/>
        <v>0</v>
      </c>
      <c r="L215" s="63">
        <f t="shared" si="93"/>
        <v>0</v>
      </c>
      <c r="M215" s="63">
        <f t="shared" si="93"/>
        <v>0</v>
      </c>
      <c r="N215" s="63">
        <f t="shared" si="93"/>
        <v>0</v>
      </c>
      <c r="O215" s="63">
        <f t="shared" si="93"/>
        <v>0</v>
      </c>
      <c r="P215" s="63">
        <f t="shared" si="93"/>
        <v>0</v>
      </c>
      <c r="Q215" s="63">
        <f t="shared" si="93"/>
        <v>0</v>
      </c>
      <c r="R215" s="63">
        <f t="shared" si="94"/>
        <v>0</v>
      </c>
      <c r="S215" s="63">
        <f t="shared" si="94"/>
        <v>0</v>
      </c>
      <c r="T215" s="63">
        <f t="shared" si="94"/>
        <v>0</v>
      </c>
      <c r="U215" s="63">
        <f t="shared" si="94"/>
        <v>0</v>
      </c>
      <c r="V215" s="63">
        <f t="shared" si="94"/>
        <v>0</v>
      </c>
      <c r="W215" s="63">
        <f t="shared" si="94"/>
        <v>0</v>
      </c>
      <c r="X215" s="63">
        <f t="shared" si="94"/>
        <v>0</v>
      </c>
      <c r="Y215" s="63">
        <f t="shared" si="94"/>
        <v>0</v>
      </c>
      <c r="Z215" s="63">
        <f t="shared" si="94"/>
        <v>0</v>
      </c>
      <c r="AA215" s="63">
        <f t="shared" si="94"/>
        <v>0</v>
      </c>
      <c r="AB215" s="63">
        <f t="shared" si="94"/>
        <v>0</v>
      </c>
      <c r="AC215" s="63">
        <f t="shared" si="94"/>
        <v>0</v>
      </c>
      <c r="AD215" s="63">
        <f t="shared" si="94"/>
        <v>0</v>
      </c>
      <c r="AE215" s="63">
        <f t="shared" si="94"/>
        <v>0</v>
      </c>
      <c r="AF215" s="63">
        <f t="shared" si="95"/>
        <v>0</v>
      </c>
      <c r="AG215" s="58" t="str">
        <f t="shared" si="96"/>
        <v>ok</v>
      </c>
    </row>
    <row r="216" spans="1:33">
      <c r="A216" s="60">
        <v>555</v>
      </c>
      <c r="B216" s="44" t="s">
        <v>246</v>
      </c>
      <c r="C216" s="44" t="s">
        <v>247</v>
      </c>
      <c r="D216" s="44" t="s">
        <v>910</v>
      </c>
      <c r="F216" s="79">
        <v>0</v>
      </c>
      <c r="G216" s="62"/>
      <c r="H216" s="63">
        <f t="shared" si="93"/>
        <v>0</v>
      </c>
      <c r="I216" s="63">
        <f t="shared" si="93"/>
        <v>0</v>
      </c>
      <c r="J216" s="63">
        <f t="shared" si="93"/>
        <v>0</v>
      </c>
      <c r="K216" s="63">
        <f t="shared" si="93"/>
        <v>0</v>
      </c>
      <c r="L216" s="63">
        <f t="shared" si="93"/>
        <v>0</v>
      </c>
      <c r="M216" s="63">
        <f t="shared" si="93"/>
        <v>0</v>
      </c>
      <c r="N216" s="63">
        <f t="shared" si="93"/>
        <v>0</v>
      </c>
      <c r="O216" s="63">
        <f t="shared" si="93"/>
        <v>0</v>
      </c>
      <c r="P216" s="63">
        <f t="shared" si="93"/>
        <v>0</v>
      </c>
      <c r="Q216" s="63">
        <f t="shared" si="93"/>
        <v>0</v>
      </c>
      <c r="R216" s="63">
        <f t="shared" si="94"/>
        <v>0</v>
      </c>
      <c r="S216" s="63">
        <f t="shared" si="94"/>
        <v>0</v>
      </c>
      <c r="T216" s="63">
        <f t="shared" si="94"/>
        <v>0</v>
      </c>
      <c r="U216" s="63">
        <f t="shared" si="94"/>
        <v>0</v>
      </c>
      <c r="V216" s="63">
        <f t="shared" si="94"/>
        <v>0</v>
      </c>
      <c r="W216" s="63">
        <f t="shared" si="94"/>
        <v>0</v>
      </c>
      <c r="X216" s="63">
        <f t="shared" si="94"/>
        <v>0</v>
      </c>
      <c r="Y216" s="63">
        <f t="shared" si="94"/>
        <v>0</v>
      </c>
      <c r="Z216" s="63">
        <f t="shared" si="94"/>
        <v>0</v>
      </c>
      <c r="AA216" s="63">
        <f t="shared" si="94"/>
        <v>0</v>
      </c>
      <c r="AB216" s="63">
        <f t="shared" si="94"/>
        <v>0</v>
      </c>
      <c r="AC216" s="63">
        <f t="shared" si="94"/>
        <v>0</v>
      </c>
      <c r="AD216" s="63">
        <f t="shared" si="94"/>
        <v>0</v>
      </c>
      <c r="AE216" s="63">
        <f t="shared" si="94"/>
        <v>0</v>
      </c>
      <c r="AF216" s="63">
        <f t="shared" si="95"/>
        <v>0</v>
      </c>
      <c r="AG216" s="58" t="str">
        <f t="shared" si="96"/>
        <v>ok</v>
      </c>
    </row>
    <row r="217" spans="1:33">
      <c r="A217" s="60">
        <v>555</v>
      </c>
      <c r="B217" s="44" t="s">
        <v>248</v>
      </c>
      <c r="C217" s="44" t="s">
        <v>249</v>
      </c>
      <c r="D217" s="44" t="s">
        <v>910</v>
      </c>
      <c r="F217" s="79">
        <v>0</v>
      </c>
      <c r="G217" s="62"/>
      <c r="H217" s="63">
        <f t="shared" si="93"/>
        <v>0</v>
      </c>
      <c r="I217" s="63">
        <f t="shared" si="93"/>
        <v>0</v>
      </c>
      <c r="J217" s="63">
        <f t="shared" si="93"/>
        <v>0</v>
      </c>
      <c r="K217" s="63">
        <f t="shared" si="93"/>
        <v>0</v>
      </c>
      <c r="L217" s="63">
        <f t="shared" si="93"/>
        <v>0</v>
      </c>
      <c r="M217" s="63">
        <f t="shared" si="93"/>
        <v>0</v>
      </c>
      <c r="N217" s="63">
        <f t="shared" si="93"/>
        <v>0</v>
      </c>
      <c r="O217" s="63">
        <f t="shared" si="93"/>
        <v>0</v>
      </c>
      <c r="P217" s="63">
        <f t="shared" si="93"/>
        <v>0</v>
      </c>
      <c r="Q217" s="63">
        <f t="shared" si="93"/>
        <v>0</v>
      </c>
      <c r="R217" s="63">
        <f t="shared" si="94"/>
        <v>0</v>
      </c>
      <c r="S217" s="63">
        <f t="shared" si="94"/>
        <v>0</v>
      </c>
      <c r="T217" s="63">
        <f t="shared" si="94"/>
        <v>0</v>
      </c>
      <c r="U217" s="63">
        <f t="shared" si="94"/>
        <v>0</v>
      </c>
      <c r="V217" s="63">
        <f t="shared" si="94"/>
        <v>0</v>
      </c>
      <c r="W217" s="63">
        <f t="shared" si="94"/>
        <v>0</v>
      </c>
      <c r="X217" s="63">
        <f t="shared" si="94"/>
        <v>0</v>
      </c>
      <c r="Y217" s="63">
        <f t="shared" si="94"/>
        <v>0</v>
      </c>
      <c r="Z217" s="63">
        <f t="shared" si="94"/>
        <v>0</v>
      </c>
      <c r="AA217" s="63">
        <f t="shared" si="94"/>
        <v>0</v>
      </c>
      <c r="AB217" s="63">
        <f t="shared" si="94"/>
        <v>0</v>
      </c>
      <c r="AC217" s="63">
        <f t="shared" si="94"/>
        <v>0</v>
      </c>
      <c r="AD217" s="63">
        <f t="shared" si="94"/>
        <v>0</v>
      </c>
      <c r="AE217" s="63">
        <f t="shared" si="94"/>
        <v>0</v>
      </c>
      <c r="AF217" s="63">
        <f t="shared" si="95"/>
        <v>0</v>
      </c>
      <c r="AG217" s="58" t="str">
        <f t="shared" si="96"/>
        <v>ok</v>
      </c>
    </row>
    <row r="218" spans="1:33">
      <c r="A218" s="60">
        <v>556</v>
      </c>
      <c r="B218" s="44" t="s">
        <v>250</v>
      </c>
      <c r="C218" s="44" t="s">
        <v>251</v>
      </c>
      <c r="D218" s="44" t="s">
        <v>624</v>
      </c>
      <c r="F218" s="79">
        <v>1775596.99999999</v>
      </c>
      <c r="G218" s="62"/>
      <c r="H218" s="63">
        <f t="shared" si="93"/>
        <v>1775596.99999999</v>
      </c>
      <c r="I218" s="63">
        <f t="shared" si="93"/>
        <v>0</v>
      </c>
      <c r="J218" s="63">
        <f t="shared" si="93"/>
        <v>0</v>
      </c>
      <c r="K218" s="63">
        <f t="shared" si="93"/>
        <v>0</v>
      </c>
      <c r="L218" s="63">
        <f t="shared" si="93"/>
        <v>0</v>
      </c>
      <c r="M218" s="63">
        <f t="shared" si="93"/>
        <v>0</v>
      </c>
      <c r="N218" s="63">
        <f t="shared" si="93"/>
        <v>0</v>
      </c>
      <c r="O218" s="63">
        <f t="shared" si="93"/>
        <v>0</v>
      </c>
      <c r="P218" s="63">
        <f t="shared" si="93"/>
        <v>0</v>
      </c>
      <c r="Q218" s="63">
        <f t="shared" si="93"/>
        <v>0</v>
      </c>
      <c r="R218" s="63">
        <f t="shared" si="94"/>
        <v>0</v>
      </c>
      <c r="S218" s="63">
        <f t="shared" si="94"/>
        <v>0</v>
      </c>
      <c r="T218" s="63">
        <f t="shared" si="94"/>
        <v>0</v>
      </c>
      <c r="U218" s="63">
        <f t="shared" si="94"/>
        <v>0</v>
      </c>
      <c r="V218" s="63">
        <f t="shared" si="94"/>
        <v>0</v>
      </c>
      <c r="W218" s="63">
        <f t="shared" si="94"/>
        <v>0</v>
      </c>
      <c r="X218" s="63">
        <f t="shared" si="94"/>
        <v>0</v>
      </c>
      <c r="Y218" s="63">
        <f t="shared" si="94"/>
        <v>0</v>
      </c>
      <c r="Z218" s="63">
        <f t="shared" si="94"/>
        <v>0</v>
      </c>
      <c r="AA218" s="63">
        <f t="shared" si="94"/>
        <v>0</v>
      </c>
      <c r="AB218" s="63">
        <f t="shared" si="94"/>
        <v>0</v>
      </c>
      <c r="AC218" s="63">
        <f t="shared" si="94"/>
        <v>0</v>
      </c>
      <c r="AD218" s="63">
        <f t="shared" si="94"/>
        <v>0</v>
      </c>
      <c r="AE218" s="63">
        <f t="shared" si="94"/>
        <v>0</v>
      </c>
      <c r="AF218" s="63">
        <f t="shared" si="95"/>
        <v>1775596.99999999</v>
      </c>
      <c r="AG218" s="58" t="str">
        <f t="shared" si="96"/>
        <v>ok</v>
      </c>
    </row>
    <row r="219" spans="1:33">
      <c r="A219" s="60">
        <v>557</v>
      </c>
      <c r="B219" s="44" t="s">
        <v>7</v>
      </c>
      <c r="C219" s="44" t="s">
        <v>8</v>
      </c>
      <c r="D219" s="44" t="s">
        <v>624</v>
      </c>
      <c r="F219" s="79">
        <f>194885-71936</f>
        <v>122949</v>
      </c>
      <c r="G219" s="62"/>
      <c r="H219" s="63">
        <f t="shared" si="93"/>
        <v>122949</v>
      </c>
      <c r="I219" s="63">
        <f t="shared" si="93"/>
        <v>0</v>
      </c>
      <c r="J219" s="63">
        <f t="shared" si="93"/>
        <v>0</v>
      </c>
      <c r="K219" s="63">
        <f t="shared" si="93"/>
        <v>0</v>
      </c>
      <c r="L219" s="63">
        <f t="shared" si="93"/>
        <v>0</v>
      </c>
      <c r="M219" s="63">
        <f t="shared" si="93"/>
        <v>0</v>
      </c>
      <c r="N219" s="63">
        <f t="shared" si="93"/>
        <v>0</v>
      </c>
      <c r="O219" s="63">
        <f t="shared" si="93"/>
        <v>0</v>
      </c>
      <c r="P219" s="63">
        <f t="shared" si="93"/>
        <v>0</v>
      </c>
      <c r="Q219" s="63">
        <f t="shared" si="93"/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 t="shared" si="94"/>
        <v>0</v>
      </c>
      <c r="AD219" s="63">
        <f t="shared" si="94"/>
        <v>0</v>
      </c>
      <c r="AE219" s="63">
        <f t="shared" si="94"/>
        <v>0</v>
      </c>
      <c r="AF219" s="63">
        <f>SUM(H219:AE219)</f>
        <v>122949</v>
      </c>
      <c r="AG219" s="58" t="str">
        <f t="shared" si="96"/>
        <v>ok</v>
      </c>
    </row>
    <row r="220" spans="1:33">
      <c r="A220" s="60">
        <v>558</v>
      </c>
      <c r="B220" s="44" t="s">
        <v>643</v>
      </c>
      <c r="C220" s="44" t="s">
        <v>576</v>
      </c>
      <c r="D220" s="44" t="s">
        <v>854</v>
      </c>
      <c r="F220" s="79">
        <v>0</v>
      </c>
      <c r="G220" s="62"/>
      <c r="H220" s="63">
        <f t="shared" si="93"/>
        <v>0</v>
      </c>
      <c r="I220" s="63">
        <f t="shared" si="93"/>
        <v>0</v>
      </c>
      <c r="J220" s="63">
        <f t="shared" si="93"/>
        <v>0</v>
      </c>
      <c r="K220" s="63">
        <f t="shared" si="93"/>
        <v>0</v>
      </c>
      <c r="L220" s="63">
        <f t="shared" si="93"/>
        <v>0</v>
      </c>
      <c r="M220" s="63">
        <f t="shared" si="93"/>
        <v>0</v>
      </c>
      <c r="N220" s="63">
        <f t="shared" si="93"/>
        <v>0</v>
      </c>
      <c r="O220" s="63">
        <f t="shared" si="93"/>
        <v>0</v>
      </c>
      <c r="P220" s="63">
        <f t="shared" si="93"/>
        <v>0</v>
      </c>
      <c r="Q220" s="63">
        <f t="shared" si="93"/>
        <v>0</v>
      </c>
      <c r="R220" s="63">
        <f t="shared" si="94"/>
        <v>0</v>
      </c>
      <c r="S220" s="63">
        <f t="shared" si="94"/>
        <v>0</v>
      </c>
      <c r="T220" s="63">
        <f t="shared" si="94"/>
        <v>0</v>
      </c>
      <c r="U220" s="63">
        <f t="shared" si="94"/>
        <v>0</v>
      </c>
      <c r="V220" s="63">
        <f t="shared" si="94"/>
        <v>0</v>
      </c>
      <c r="W220" s="63">
        <f t="shared" si="94"/>
        <v>0</v>
      </c>
      <c r="X220" s="63">
        <f t="shared" si="94"/>
        <v>0</v>
      </c>
      <c r="Y220" s="63">
        <f t="shared" si="94"/>
        <v>0</v>
      </c>
      <c r="Z220" s="63">
        <f t="shared" si="94"/>
        <v>0</v>
      </c>
      <c r="AA220" s="63">
        <f t="shared" si="94"/>
        <v>0</v>
      </c>
      <c r="AB220" s="63">
        <f t="shared" si="94"/>
        <v>0</v>
      </c>
      <c r="AC220" s="63">
        <f t="shared" si="94"/>
        <v>0</v>
      </c>
      <c r="AD220" s="63">
        <f t="shared" si="94"/>
        <v>0</v>
      </c>
      <c r="AE220" s="63">
        <f t="shared" si="94"/>
        <v>0</v>
      </c>
      <c r="AF220" s="63">
        <f t="shared" si="95"/>
        <v>0</v>
      </c>
      <c r="AG220" s="58" t="str">
        <f t="shared" si="96"/>
        <v>ok</v>
      </c>
    </row>
    <row r="221" spans="1:33">
      <c r="A221" s="60"/>
      <c r="F221" s="79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58"/>
    </row>
    <row r="222" spans="1:33">
      <c r="A222" s="60"/>
      <c r="B222" s="44" t="s">
        <v>265</v>
      </c>
      <c r="C222" s="44" t="s">
        <v>9</v>
      </c>
      <c r="F222" s="76">
        <f>SUM(F214:F221)</f>
        <v>45175217.242865495</v>
      </c>
      <c r="G222" s="62"/>
      <c r="H222" s="62">
        <f t="shared" ref="H222:M222" si="97">SUM(H214:H221)</f>
        <v>25585256.739299566</v>
      </c>
      <c r="I222" s="62">
        <f t="shared" si="97"/>
        <v>0</v>
      </c>
      <c r="J222" s="62">
        <f t="shared" si="97"/>
        <v>0</v>
      </c>
      <c r="K222" s="62">
        <f t="shared" si="97"/>
        <v>19589960.50356593</v>
      </c>
      <c r="L222" s="62">
        <f t="shared" si="97"/>
        <v>0</v>
      </c>
      <c r="M222" s="62">
        <f t="shared" si="97"/>
        <v>0</v>
      </c>
      <c r="N222" s="62">
        <f>SUM(N214:N221)</f>
        <v>0</v>
      </c>
      <c r="O222" s="62">
        <f>SUM(O214:O221)</f>
        <v>0</v>
      </c>
      <c r="P222" s="62">
        <f>SUM(P214:P221)</f>
        <v>0</v>
      </c>
      <c r="Q222" s="62">
        <f t="shared" ref="Q222:AB222" si="98">SUM(Q214:Q221)</f>
        <v>0</v>
      </c>
      <c r="R222" s="62">
        <f t="shared" si="98"/>
        <v>0</v>
      </c>
      <c r="S222" s="62">
        <f t="shared" si="98"/>
        <v>0</v>
      </c>
      <c r="T222" s="62">
        <f t="shared" si="98"/>
        <v>0</v>
      </c>
      <c r="U222" s="62">
        <f t="shared" si="98"/>
        <v>0</v>
      </c>
      <c r="V222" s="62">
        <f t="shared" si="98"/>
        <v>0</v>
      </c>
      <c r="W222" s="62">
        <f t="shared" si="98"/>
        <v>0</v>
      </c>
      <c r="X222" s="62">
        <f t="shared" si="98"/>
        <v>0</v>
      </c>
      <c r="Y222" s="62">
        <f t="shared" si="98"/>
        <v>0</v>
      </c>
      <c r="Z222" s="62">
        <f t="shared" si="98"/>
        <v>0</v>
      </c>
      <c r="AA222" s="62">
        <f t="shared" si="98"/>
        <v>0</v>
      </c>
      <c r="AB222" s="62">
        <f t="shared" si="98"/>
        <v>0</v>
      </c>
      <c r="AC222" s="62">
        <f>SUM(AC214:AC221)</f>
        <v>0</v>
      </c>
      <c r="AD222" s="62">
        <f>SUM(AD214:AD221)</f>
        <v>0</v>
      </c>
      <c r="AE222" s="62">
        <f>SUM(AE214:AE221)</f>
        <v>0</v>
      </c>
      <c r="AF222" s="63">
        <f>SUM(H222:AE222)</f>
        <v>45175217.242865495</v>
      </c>
      <c r="AG222" s="58" t="str">
        <f>IF(ABS(AF222-F222)&lt;1,"ok","err")</f>
        <v>ok</v>
      </c>
    </row>
    <row r="223" spans="1:33">
      <c r="A223" s="60"/>
      <c r="F223" s="76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58"/>
    </row>
    <row r="224" spans="1:33">
      <c r="A224" s="60"/>
      <c r="B224" s="44" t="s">
        <v>252</v>
      </c>
      <c r="F224" s="173">
        <f>F211+F222</f>
        <v>457540504.77104324</v>
      </c>
      <c r="G224" s="62"/>
      <c r="H224" s="62">
        <f t="shared" ref="H224:M224" si="99">H211+H222</f>
        <v>80778953.804495692</v>
      </c>
      <c r="I224" s="62">
        <f t="shared" si="99"/>
        <v>0</v>
      </c>
      <c r="J224" s="62">
        <f t="shared" si="99"/>
        <v>0</v>
      </c>
      <c r="K224" s="62">
        <f t="shared" si="99"/>
        <v>376761550.96654743</v>
      </c>
      <c r="L224" s="62">
        <f t="shared" si="99"/>
        <v>0</v>
      </c>
      <c r="M224" s="62">
        <f t="shared" si="99"/>
        <v>0</v>
      </c>
      <c r="N224" s="62">
        <f>N211+N222</f>
        <v>0</v>
      </c>
      <c r="O224" s="62">
        <f>O211+O222</f>
        <v>0</v>
      </c>
      <c r="P224" s="62">
        <f>P211+P222</f>
        <v>0</v>
      </c>
      <c r="Q224" s="62">
        <f t="shared" ref="Q224:AB224" si="100">Q211+Q222</f>
        <v>0</v>
      </c>
      <c r="R224" s="62">
        <f t="shared" si="100"/>
        <v>0</v>
      </c>
      <c r="S224" s="62">
        <f t="shared" si="100"/>
        <v>0</v>
      </c>
      <c r="T224" s="62">
        <f t="shared" si="100"/>
        <v>0</v>
      </c>
      <c r="U224" s="62">
        <f t="shared" si="100"/>
        <v>0</v>
      </c>
      <c r="V224" s="62">
        <f t="shared" si="100"/>
        <v>0</v>
      </c>
      <c r="W224" s="62">
        <f t="shared" si="100"/>
        <v>0</v>
      </c>
      <c r="X224" s="62">
        <f t="shared" si="100"/>
        <v>0</v>
      </c>
      <c r="Y224" s="62">
        <f t="shared" si="100"/>
        <v>0</v>
      </c>
      <c r="Z224" s="62">
        <f t="shared" si="100"/>
        <v>0</v>
      </c>
      <c r="AA224" s="62">
        <f t="shared" si="100"/>
        <v>0</v>
      </c>
      <c r="AB224" s="62">
        <f t="shared" si="100"/>
        <v>0</v>
      </c>
      <c r="AC224" s="62">
        <f>AC211+AC222</f>
        <v>0</v>
      </c>
      <c r="AD224" s="62">
        <f>AD211+AD222</f>
        <v>0</v>
      </c>
      <c r="AE224" s="62">
        <f>AE211+AE222</f>
        <v>0</v>
      </c>
      <c r="AF224" s="63">
        <f>SUM(H224:AE224)</f>
        <v>457540504.77104312</v>
      </c>
      <c r="AG224" s="58" t="str">
        <f>IF(ABS(AF224-F224)&lt;1,"ok","err")</f>
        <v>ok</v>
      </c>
    </row>
    <row r="225" spans="1:33">
      <c r="A225" s="60"/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 ht="14.1">
      <c r="A226" s="65" t="s">
        <v>1067</v>
      </c>
      <c r="F226" s="76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58"/>
    </row>
    <row r="227" spans="1:33">
      <c r="A227" s="60">
        <v>560</v>
      </c>
      <c r="B227" s="44" t="s">
        <v>1070</v>
      </c>
      <c r="C227" s="44" t="s">
        <v>11</v>
      </c>
      <c r="D227" s="44" t="s">
        <v>644</v>
      </c>
      <c r="F227" s="76">
        <v>1374229</v>
      </c>
      <c r="G227" s="62"/>
      <c r="H227" s="63">
        <f t="shared" ref="H227:Q240" si="101">IF(VLOOKUP($D227,$C$6:$AE$653,H$2,)=0,0,((VLOOKUP($D227,$C$6:$AE$653,H$2,)/VLOOKUP($D227,$C$6:$AE$653,4,))*$F227))</f>
        <v>0</v>
      </c>
      <c r="I227" s="63">
        <f t="shared" si="101"/>
        <v>0</v>
      </c>
      <c r="J227" s="63">
        <f t="shared" si="101"/>
        <v>0</v>
      </c>
      <c r="K227" s="63">
        <f t="shared" si="101"/>
        <v>0</v>
      </c>
      <c r="L227" s="63">
        <f t="shared" si="101"/>
        <v>0</v>
      </c>
      <c r="M227" s="63">
        <f t="shared" si="101"/>
        <v>0</v>
      </c>
      <c r="N227" s="63">
        <f t="shared" si="101"/>
        <v>1374229</v>
      </c>
      <c r="O227" s="63">
        <f t="shared" si="101"/>
        <v>0</v>
      </c>
      <c r="P227" s="63">
        <f t="shared" si="101"/>
        <v>0</v>
      </c>
      <c r="Q227" s="63">
        <f t="shared" si="101"/>
        <v>0</v>
      </c>
      <c r="R227" s="63">
        <f t="shared" ref="R227:AE240" si="102">IF(VLOOKUP($D227,$C$6:$AE$653,R$2,)=0,0,((VLOOKUP($D227,$C$6:$AE$653,R$2,)/VLOOKUP($D227,$C$6:$AE$653,4,))*$F227))</f>
        <v>0</v>
      </c>
      <c r="S227" s="63">
        <f t="shared" si="102"/>
        <v>0</v>
      </c>
      <c r="T227" s="63">
        <f t="shared" si="102"/>
        <v>0</v>
      </c>
      <c r="U227" s="63">
        <f t="shared" si="102"/>
        <v>0</v>
      </c>
      <c r="V227" s="63">
        <f t="shared" si="102"/>
        <v>0</v>
      </c>
      <c r="W227" s="63">
        <f t="shared" si="102"/>
        <v>0</v>
      </c>
      <c r="X227" s="63">
        <f t="shared" si="102"/>
        <v>0</v>
      </c>
      <c r="Y227" s="63">
        <f t="shared" si="102"/>
        <v>0</v>
      </c>
      <c r="Z227" s="63">
        <f t="shared" si="102"/>
        <v>0</v>
      </c>
      <c r="AA227" s="63">
        <f t="shared" si="102"/>
        <v>0</v>
      </c>
      <c r="AB227" s="63">
        <f t="shared" si="102"/>
        <v>0</v>
      </c>
      <c r="AC227" s="63">
        <f t="shared" si="102"/>
        <v>0</v>
      </c>
      <c r="AD227" s="63">
        <f t="shared" si="102"/>
        <v>0</v>
      </c>
      <c r="AE227" s="63">
        <f t="shared" si="102"/>
        <v>0</v>
      </c>
      <c r="AF227" s="63">
        <f t="shared" ref="AF227:AF232" si="103">SUM(H227:AE227)</f>
        <v>1374229</v>
      </c>
      <c r="AG227" s="58" t="str">
        <f t="shared" ref="AG227:AG240" si="104">IF(ABS(AF227-F227)&lt;1,"ok","err")</f>
        <v>ok</v>
      </c>
    </row>
    <row r="228" spans="1:33">
      <c r="A228" s="60">
        <v>561</v>
      </c>
      <c r="B228" s="44" t="s">
        <v>914</v>
      </c>
      <c r="C228" s="44" t="s">
        <v>12</v>
      </c>
      <c r="D228" s="44" t="s">
        <v>644</v>
      </c>
      <c r="F228" s="79">
        <v>2719716</v>
      </c>
      <c r="G228" s="62"/>
      <c r="H228" s="63">
        <f t="shared" si="101"/>
        <v>0</v>
      </c>
      <c r="I228" s="63">
        <f t="shared" si="101"/>
        <v>0</v>
      </c>
      <c r="J228" s="63">
        <f t="shared" si="101"/>
        <v>0</v>
      </c>
      <c r="K228" s="63">
        <f t="shared" si="101"/>
        <v>0</v>
      </c>
      <c r="L228" s="63">
        <f t="shared" si="101"/>
        <v>0</v>
      </c>
      <c r="M228" s="63">
        <f t="shared" si="101"/>
        <v>0</v>
      </c>
      <c r="N228" s="63">
        <f t="shared" si="101"/>
        <v>2719716</v>
      </c>
      <c r="O228" s="63">
        <f t="shared" si="101"/>
        <v>0</v>
      </c>
      <c r="P228" s="63">
        <f t="shared" si="101"/>
        <v>0</v>
      </c>
      <c r="Q228" s="63">
        <f t="shared" si="101"/>
        <v>0</v>
      </c>
      <c r="R228" s="63">
        <f t="shared" si="102"/>
        <v>0</v>
      </c>
      <c r="S228" s="63">
        <f t="shared" si="102"/>
        <v>0</v>
      </c>
      <c r="T228" s="63">
        <f t="shared" si="102"/>
        <v>0</v>
      </c>
      <c r="U228" s="63">
        <f t="shared" si="102"/>
        <v>0</v>
      </c>
      <c r="V228" s="63">
        <f t="shared" si="102"/>
        <v>0</v>
      </c>
      <c r="W228" s="63">
        <f t="shared" si="102"/>
        <v>0</v>
      </c>
      <c r="X228" s="63">
        <f t="shared" si="102"/>
        <v>0</v>
      </c>
      <c r="Y228" s="63">
        <f t="shared" si="102"/>
        <v>0</v>
      </c>
      <c r="Z228" s="63">
        <f t="shared" si="102"/>
        <v>0</v>
      </c>
      <c r="AA228" s="63">
        <f t="shared" si="102"/>
        <v>0</v>
      </c>
      <c r="AB228" s="63">
        <f t="shared" si="102"/>
        <v>0</v>
      </c>
      <c r="AC228" s="63">
        <f t="shared" si="102"/>
        <v>0</v>
      </c>
      <c r="AD228" s="63">
        <f t="shared" si="102"/>
        <v>0</v>
      </c>
      <c r="AE228" s="63">
        <f t="shared" si="102"/>
        <v>0</v>
      </c>
      <c r="AF228" s="63">
        <f t="shared" si="103"/>
        <v>2719716</v>
      </c>
      <c r="AG228" s="58" t="str">
        <f t="shared" si="104"/>
        <v>ok</v>
      </c>
    </row>
    <row r="229" spans="1:33">
      <c r="A229" s="60">
        <v>562</v>
      </c>
      <c r="B229" s="44" t="s">
        <v>1068</v>
      </c>
      <c r="C229" s="44" t="s">
        <v>13</v>
      </c>
      <c r="D229" s="44" t="s">
        <v>644</v>
      </c>
      <c r="F229" s="79">
        <v>1022714</v>
      </c>
      <c r="G229" s="62"/>
      <c r="H229" s="63">
        <f t="shared" si="101"/>
        <v>0</v>
      </c>
      <c r="I229" s="63">
        <f t="shared" si="101"/>
        <v>0</v>
      </c>
      <c r="J229" s="63">
        <f t="shared" si="101"/>
        <v>0</v>
      </c>
      <c r="K229" s="63">
        <f t="shared" si="101"/>
        <v>0</v>
      </c>
      <c r="L229" s="63">
        <f t="shared" si="101"/>
        <v>0</v>
      </c>
      <c r="M229" s="63">
        <f t="shared" si="101"/>
        <v>0</v>
      </c>
      <c r="N229" s="63">
        <f t="shared" si="101"/>
        <v>1022714</v>
      </c>
      <c r="O229" s="63">
        <f t="shared" si="101"/>
        <v>0</v>
      </c>
      <c r="P229" s="63">
        <f t="shared" si="101"/>
        <v>0</v>
      </c>
      <c r="Q229" s="63">
        <f t="shared" si="101"/>
        <v>0</v>
      </c>
      <c r="R229" s="63">
        <f t="shared" si="102"/>
        <v>0</v>
      </c>
      <c r="S229" s="63">
        <f t="shared" si="102"/>
        <v>0</v>
      </c>
      <c r="T229" s="63">
        <f t="shared" si="102"/>
        <v>0</v>
      </c>
      <c r="U229" s="63">
        <f t="shared" si="102"/>
        <v>0</v>
      </c>
      <c r="V229" s="63">
        <f t="shared" si="102"/>
        <v>0</v>
      </c>
      <c r="W229" s="63">
        <f t="shared" si="102"/>
        <v>0</v>
      </c>
      <c r="X229" s="63">
        <f t="shared" si="102"/>
        <v>0</v>
      </c>
      <c r="Y229" s="63">
        <f t="shared" si="102"/>
        <v>0</v>
      </c>
      <c r="Z229" s="63">
        <f t="shared" si="102"/>
        <v>0</v>
      </c>
      <c r="AA229" s="63">
        <f t="shared" si="102"/>
        <v>0</v>
      </c>
      <c r="AB229" s="63">
        <f t="shared" si="102"/>
        <v>0</v>
      </c>
      <c r="AC229" s="63">
        <f t="shared" si="102"/>
        <v>0</v>
      </c>
      <c r="AD229" s="63">
        <f t="shared" si="102"/>
        <v>0</v>
      </c>
      <c r="AE229" s="63">
        <f t="shared" si="102"/>
        <v>0</v>
      </c>
      <c r="AF229" s="63">
        <f t="shared" si="103"/>
        <v>1022714</v>
      </c>
      <c r="AG229" s="58" t="str">
        <f t="shared" si="104"/>
        <v>ok</v>
      </c>
    </row>
    <row r="230" spans="1:33">
      <c r="A230" s="60">
        <v>563</v>
      </c>
      <c r="B230" s="44" t="s">
        <v>916</v>
      </c>
      <c r="C230" s="44" t="s">
        <v>14</v>
      </c>
      <c r="D230" s="44" t="s">
        <v>644</v>
      </c>
      <c r="F230" s="79">
        <v>293742</v>
      </c>
      <c r="G230" s="62"/>
      <c r="H230" s="63">
        <f t="shared" si="101"/>
        <v>0</v>
      </c>
      <c r="I230" s="63">
        <f t="shared" si="101"/>
        <v>0</v>
      </c>
      <c r="J230" s="63">
        <f t="shared" si="101"/>
        <v>0</v>
      </c>
      <c r="K230" s="63">
        <f t="shared" si="101"/>
        <v>0</v>
      </c>
      <c r="L230" s="63">
        <f t="shared" si="101"/>
        <v>0</v>
      </c>
      <c r="M230" s="63">
        <f t="shared" si="101"/>
        <v>0</v>
      </c>
      <c r="N230" s="63">
        <f t="shared" si="101"/>
        <v>293742</v>
      </c>
      <c r="O230" s="63">
        <f t="shared" si="101"/>
        <v>0</v>
      </c>
      <c r="P230" s="63">
        <f t="shared" si="101"/>
        <v>0</v>
      </c>
      <c r="Q230" s="63">
        <f t="shared" si="101"/>
        <v>0</v>
      </c>
      <c r="R230" s="63">
        <f t="shared" si="102"/>
        <v>0</v>
      </c>
      <c r="S230" s="63">
        <f t="shared" si="102"/>
        <v>0</v>
      </c>
      <c r="T230" s="63">
        <f t="shared" si="102"/>
        <v>0</v>
      </c>
      <c r="U230" s="63">
        <f t="shared" si="102"/>
        <v>0</v>
      </c>
      <c r="V230" s="63">
        <f t="shared" si="102"/>
        <v>0</v>
      </c>
      <c r="W230" s="63">
        <f t="shared" si="102"/>
        <v>0</v>
      </c>
      <c r="X230" s="63">
        <f t="shared" si="102"/>
        <v>0</v>
      </c>
      <c r="Y230" s="63">
        <f t="shared" si="102"/>
        <v>0</v>
      </c>
      <c r="Z230" s="63">
        <f t="shared" si="102"/>
        <v>0</v>
      </c>
      <c r="AA230" s="63">
        <f t="shared" si="102"/>
        <v>0</v>
      </c>
      <c r="AB230" s="63">
        <f t="shared" si="102"/>
        <v>0</v>
      </c>
      <c r="AC230" s="63">
        <f t="shared" si="102"/>
        <v>0</v>
      </c>
      <c r="AD230" s="63">
        <f t="shared" si="102"/>
        <v>0</v>
      </c>
      <c r="AE230" s="63">
        <f t="shared" si="102"/>
        <v>0</v>
      </c>
      <c r="AF230" s="63">
        <f t="shared" si="103"/>
        <v>293742</v>
      </c>
      <c r="AG230" s="58" t="str">
        <f t="shared" si="104"/>
        <v>ok</v>
      </c>
    </row>
    <row r="231" spans="1:33">
      <c r="A231" s="60">
        <v>565</v>
      </c>
      <c r="B231" s="44" t="s">
        <v>253</v>
      </c>
      <c r="C231" s="44" t="s">
        <v>254</v>
      </c>
      <c r="D231" s="44" t="s">
        <v>644</v>
      </c>
      <c r="F231" s="79">
        <f>998725-986881</f>
        <v>11844</v>
      </c>
      <c r="G231" s="62"/>
      <c r="H231" s="63">
        <f t="shared" si="101"/>
        <v>0</v>
      </c>
      <c r="I231" s="63">
        <f t="shared" si="101"/>
        <v>0</v>
      </c>
      <c r="J231" s="63">
        <f t="shared" si="101"/>
        <v>0</v>
      </c>
      <c r="K231" s="63">
        <f t="shared" si="101"/>
        <v>0</v>
      </c>
      <c r="L231" s="63">
        <f t="shared" si="101"/>
        <v>0</v>
      </c>
      <c r="M231" s="63">
        <f t="shared" si="101"/>
        <v>0</v>
      </c>
      <c r="N231" s="63">
        <f t="shared" si="101"/>
        <v>11844</v>
      </c>
      <c r="O231" s="63">
        <f t="shared" si="101"/>
        <v>0</v>
      </c>
      <c r="P231" s="63">
        <f t="shared" si="101"/>
        <v>0</v>
      </c>
      <c r="Q231" s="63">
        <f t="shared" si="101"/>
        <v>0</v>
      </c>
      <c r="R231" s="63">
        <f t="shared" si="102"/>
        <v>0</v>
      </c>
      <c r="S231" s="63">
        <f t="shared" si="102"/>
        <v>0</v>
      </c>
      <c r="T231" s="63">
        <f t="shared" si="102"/>
        <v>0</v>
      </c>
      <c r="U231" s="63">
        <f t="shared" si="102"/>
        <v>0</v>
      </c>
      <c r="V231" s="63">
        <f t="shared" si="102"/>
        <v>0</v>
      </c>
      <c r="W231" s="63">
        <f t="shared" si="102"/>
        <v>0</v>
      </c>
      <c r="X231" s="63">
        <f t="shared" si="102"/>
        <v>0</v>
      </c>
      <c r="Y231" s="63">
        <f t="shared" si="102"/>
        <v>0</v>
      </c>
      <c r="Z231" s="63">
        <f t="shared" si="102"/>
        <v>0</v>
      </c>
      <c r="AA231" s="63">
        <f t="shared" si="102"/>
        <v>0</v>
      </c>
      <c r="AB231" s="63">
        <f t="shared" si="102"/>
        <v>0</v>
      </c>
      <c r="AC231" s="63">
        <f t="shared" si="102"/>
        <v>0</v>
      </c>
      <c r="AD231" s="63">
        <f t="shared" si="102"/>
        <v>0</v>
      </c>
      <c r="AE231" s="63">
        <f t="shared" si="102"/>
        <v>0</v>
      </c>
      <c r="AF231" s="63">
        <f t="shared" si="103"/>
        <v>11844</v>
      </c>
      <c r="AG231" s="58" t="str">
        <f t="shared" si="104"/>
        <v>ok</v>
      </c>
    </row>
    <row r="232" spans="1:33">
      <c r="A232" s="60">
        <v>566</v>
      </c>
      <c r="B232" s="44" t="s">
        <v>145</v>
      </c>
      <c r="C232" s="44" t="s">
        <v>146</v>
      </c>
      <c r="D232" s="44" t="s">
        <v>1085</v>
      </c>
      <c r="F232" s="79">
        <v>12977685.999999899</v>
      </c>
      <c r="G232" s="62"/>
      <c r="H232" s="63">
        <f t="shared" si="101"/>
        <v>0</v>
      </c>
      <c r="I232" s="63">
        <f t="shared" si="101"/>
        <v>0</v>
      </c>
      <c r="J232" s="63">
        <f t="shared" si="101"/>
        <v>0</v>
      </c>
      <c r="K232" s="63">
        <f t="shared" si="101"/>
        <v>0</v>
      </c>
      <c r="L232" s="63">
        <f t="shared" si="101"/>
        <v>0</v>
      </c>
      <c r="M232" s="63">
        <f t="shared" si="101"/>
        <v>0</v>
      </c>
      <c r="N232" s="63">
        <f t="shared" si="101"/>
        <v>12977685.999999899</v>
      </c>
      <c r="O232" s="63">
        <f t="shared" si="101"/>
        <v>0</v>
      </c>
      <c r="P232" s="63">
        <f t="shared" si="101"/>
        <v>0</v>
      </c>
      <c r="Q232" s="63">
        <f t="shared" si="101"/>
        <v>0</v>
      </c>
      <c r="R232" s="63">
        <f t="shared" si="102"/>
        <v>0</v>
      </c>
      <c r="S232" s="63">
        <f t="shared" si="102"/>
        <v>0</v>
      </c>
      <c r="T232" s="63">
        <f t="shared" si="102"/>
        <v>0</v>
      </c>
      <c r="U232" s="63">
        <f t="shared" si="102"/>
        <v>0</v>
      </c>
      <c r="V232" s="63">
        <f t="shared" si="102"/>
        <v>0</v>
      </c>
      <c r="W232" s="63">
        <f t="shared" si="102"/>
        <v>0</v>
      </c>
      <c r="X232" s="63">
        <f t="shared" si="102"/>
        <v>0</v>
      </c>
      <c r="Y232" s="63">
        <f t="shared" si="102"/>
        <v>0</v>
      </c>
      <c r="Z232" s="63">
        <f t="shared" si="102"/>
        <v>0</v>
      </c>
      <c r="AA232" s="63">
        <f t="shared" si="102"/>
        <v>0</v>
      </c>
      <c r="AB232" s="63">
        <f t="shared" si="102"/>
        <v>0</v>
      </c>
      <c r="AC232" s="63">
        <f t="shared" si="102"/>
        <v>0</v>
      </c>
      <c r="AD232" s="63">
        <f t="shared" si="102"/>
        <v>0</v>
      </c>
      <c r="AE232" s="63">
        <f t="shared" si="102"/>
        <v>0</v>
      </c>
      <c r="AF232" s="63">
        <f t="shared" si="103"/>
        <v>12977685.999999899</v>
      </c>
      <c r="AG232" s="58" t="str">
        <f t="shared" si="104"/>
        <v>ok</v>
      </c>
    </row>
    <row r="233" spans="1:33">
      <c r="A233" s="60">
        <v>567</v>
      </c>
      <c r="B233" s="44" t="s">
        <v>928</v>
      </c>
      <c r="C233" s="44" t="s">
        <v>255</v>
      </c>
      <c r="D233" s="44" t="s">
        <v>1085</v>
      </c>
      <c r="F233" s="79">
        <v>61385</v>
      </c>
      <c r="G233" s="62"/>
      <c r="H233" s="63">
        <f t="shared" si="101"/>
        <v>0</v>
      </c>
      <c r="I233" s="63">
        <f t="shared" si="101"/>
        <v>0</v>
      </c>
      <c r="J233" s="63">
        <f t="shared" si="101"/>
        <v>0</v>
      </c>
      <c r="K233" s="63">
        <f t="shared" si="101"/>
        <v>0</v>
      </c>
      <c r="L233" s="63">
        <f t="shared" si="101"/>
        <v>0</v>
      </c>
      <c r="M233" s="63">
        <f t="shared" si="101"/>
        <v>0</v>
      </c>
      <c r="N233" s="63">
        <f t="shared" si="101"/>
        <v>61385</v>
      </c>
      <c r="O233" s="63">
        <f t="shared" si="101"/>
        <v>0</v>
      </c>
      <c r="P233" s="63">
        <f t="shared" si="101"/>
        <v>0</v>
      </c>
      <c r="Q233" s="63">
        <f t="shared" si="101"/>
        <v>0</v>
      </c>
      <c r="R233" s="63">
        <f t="shared" si="102"/>
        <v>0</v>
      </c>
      <c r="S233" s="63">
        <f t="shared" si="102"/>
        <v>0</v>
      </c>
      <c r="T233" s="63">
        <f t="shared" si="102"/>
        <v>0</v>
      </c>
      <c r="U233" s="63">
        <f t="shared" si="102"/>
        <v>0</v>
      </c>
      <c r="V233" s="63">
        <f t="shared" si="102"/>
        <v>0</v>
      </c>
      <c r="W233" s="63">
        <f t="shared" si="102"/>
        <v>0</v>
      </c>
      <c r="X233" s="63">
        <f t="shared" si="102"/>
        <v>0</v>
      </c>
      <c r="Y233" s="63">
        <f t="shared" si="102"/>
        <v>0</v>
      </c>
      <c r="Z233" s="63">
        <f t="shared" si="102"/>
        <v>0</v>
      </c>
      <c r="AA233" s="63">
        <f t="shared" si="102"/>
        <v>0</v>
      </c>
      <c r="AB233" s="63">
        <f t="shared" si="102"/>
        <v>0</v>
      </c>
      <c r="AC233" s="63">
        <f t="shared" si="102"/>
        <v>0</v>
      </c>
      <c r="AD233" s="63">
        <f t="shared" si="102"/>
        <v>0</v>
      </c>
      <c r="AE233" s="63">
        <f t="shared" si="102"/>
        <v>0</v>
      </c>
      <c r="AF233" s="63">
        <f t="shared" ref="AF233:AF239" si="105">SUM(H233:AE233)</f>
        <v>61385</v>
      </c>
      <c r="AG233" s="58" t="str">
        <f t="shared" si="104"/>
        <v>ok</v>
      </c>
    </row>
    <row r="234" spans="1:33">
      <c r="A234" s="60">
        <v>568</v>
      </c>
      <c r="B234" s="44" t="s">
        <v>1069</v>
      </c>
      <c r="C234" s="44" t="s">
        <v>15</v>
      </c>
      <c r="D234" s="44" t="s">
        <v>644</v>
      </c>
      <c r="F234" s="79">
        <v>0</v>
      </c>
      <c r="G234" s="62"/>
      <c r="H234" s="63">
        <f t="shared" si="101"/>
        <v>0</v>
      </c>
      <c r="I234" s="63">
        <f t="shared" si="101"/>
        <v>0</v>
      </c>
      <c r="J234" s="63">
        <f t="shared" si="101"/>
        <v>0</v>
      </c>
      <c r="K234" s="63">
        <f t="shared" si="101"/>
        <v>0</v>
      </c>
      <c r="L234" s="63">
        <f t="shared" si="101"/>
        <v>0</v>
      </c>
      <c r="M234" s="63">
        <f t="shared" si="101"/>
        <v>0</v>
      </c>
      <c r="N234" s="63">
        <f t="shared" si="101"/>
        <v>0</v>
      </c>
      <c r="O234" s="63">
        <f t="shared" si="101"/>
        <v>0</v>
      </c>
      <c r="P234" s="63">
        <f t="shared" si="101"/>
        <v>0</v>
      </c>
      <c r="Q234" s="63">
        <f t="shared" si="101"/>
        <v>0</v>
      </c>
      <c r="R234" s="63">
        <f t="shared" si="102"/>
        <v>0</v>
      </c>
      <c r="S234" s="63">
        <f t="shared" si="102"/>
        <v>0</v>
      </c>
      <c r="T234" s="63">
        <f t="shared" si="102"/>
        <v>0</v>
      </c>
      <c r="U234" s="63">
        <f t="shared" si="102"/>
        <v>0</v>
      </c>
      <c r="V234" s="63">
        <f t="shared" si="102"/>
        <v>0</v>
      </c>
      <c r="W234" s="63">
        <f t="shared" si="102"/>
        <v>0</v>
      </c>
      <c r="X234" s="63">
        <f t="shared" si="102"/>
        <v>0</v>
      </c>
      <c r="Y234" s="63">
        <f t="shared" si="102"/>
        <v>0</v>
      </c>
      <c r="Z234" s="63">
        <f t="shared" si="102"/>
        <v>0</v>
      </c>
      <c r="AA234" s="63">
        <f t="shared" si="102"/>
        <v>0</v>
      </c>
      <c r="AB234" s="63">
        <f t="shared" si="102"/>
        <v>0</v>
      </c>
      <c r="AC234" s="63">
        <f t="shared" si="102"/>
        <v>0</v>
      </c>
      <c r="AD234" s="63">
        <f t="shared" si="102"/>
        <v>0</v>
      </c>
      <c r="AE234" s="63">
        <f t="shared" si="102"/>
        <v>0</v>
      </c>
      <c r="AF234" s="63">
        <f t="shared" si="105"/>
        <v>0</v>
      </c>
      <c r="AG234" s="58" t="str">
        <f t="shared" si="104"/>
        <v>ok</v>
      </c>
    </row>
    <row r="235" spans="1:33">
      <c r="A235" s="60">
        <v>569</v>
      </c>
      <c r="B235" s="44" t="s">
        <v>256</v>
      </c>
      <c r="C235" s="44" t="s">
        <v>257</v>
      </c>
      <c r="D235" s="44" t="s">
        <v>644</v>
      </c>
      <c r="F235" s="79">
        <v>0</v>
      </c>
      <c r="G235" s="62"/>
      <c r="H235" s="63">
        <f t="shared" si="101"/>
        <v>0</v>
      </c>
      <c r="I235" s="63">
        <f t="shared" si="101"/>
        <v>0</v>
      </c>
      <c r="J235" s="63">
        <f t="shared" si="101"/>
        <v>0</v>
      </c>
      <c r="K235" s="63">
        <f t="shared" si="101"/>
        <v>0</v>
      </c>
      <c r="L235" s="63">
        <f t="shared" si="101"/>
        <v>0</v>
      </c>
      <c r="M235" s="63">
        <f t="shared" si="101"/>
        <v>0</v>
      </c>
      <c r="N235" s="63">
        <f t="shared" si="101"/>
        <v>0</v>
      </c>
      <c r="O235" s="63">
        <f t="shared" si="101"/>
        <v>0</v>
      </c>
      <c r="P235" s="63">
        <f t="shared" si="101"/>
        <v>0</v>
      </c>
      <c r="Q235" s="63">
        <f t="shared" si="101"/>
        <v>0</v>
      </c>
      <c r="R235" s="63">
        <f t="shared" si="102"/>
        <v>0</v>
      </c>
      <c r="S235" s="63">
        <f t="shared" si="102"/>
        <v>0</v>
      </c>
      <c r="T235" s="63">
        <f t="shared" si="102"/>
        <v>0</v>
      </c>
      <c r="U235" s="63">
        <f t="shared" si="102"/>
        <v>0</v>
      </c>
      <c r="V235" s="63">
        <f t="shared" si="102"/>
        <v>0</v>
      </c>
      <c r="W235" s="63">
        <f t="shared" si="102"/>
        <v>0</v>
      </c>
      <c r="X235" s="63">
        <f t="shared" si="102"/>
        <v>0</v>
      </c>
      <c r="Y235" s="63">
        <f t="shared" si="102"/>
        <v>0</v>
      </c>
      <c r="Z235" s="63">
        <f t="shared" si="102"/>
        <v>0</v>
      </c>
      <c r="AA235" s="63">
        <f t="shared" si="102"/>
        <v>0</v>
      </c>
      <c r="AB235" s="63">
        <f t="shared" si="102"/>
        <v>0</v>
      </c>
      <c r="AC235" s="63">
        <f t="shared" si="102"/>
        <v>0</v>
      </c>
      <c r="AD235" s="63">
        <f t="shared" si="102"/>
        <v>0</v>
      </c>
      <c r="AE235" s="63">
        <f t="shared" si="102"/>
        <v>0</v>
      </c>
      <c r="AF235" s="63">
        <f t="shared" si="105"/>
        <v>0</v>
      </c>
      <c r="AG235" s="58" t="str">
        <f t="shared" si="104"/>
        <v>ok</v>
      </c>
    </row>
    <row r="236" spans="1:33">
      <c r="A236" s="60">
        <v>570</v>
      </c>
      <c r="B236" s="44" t="s">
        <v>1071</v>
      </c>
      <c r="C236" s="44" t="s">
        <v>16</v>
      </c>
      <c r="D236" s="44" t="s">
        <v>644</v>
      </c>
      <c r="F236" s="79">
        <v>1720071</v>
      </c>
      <c r="G236" s="62"/>
      <c r="H236" s="63">
        <f t="shared" si="101"/>
        <v>0</v>
      </c>
      <c r="I236" s="63">
        <f t="shared" si="101"/>
        <v>0</v>
      </c>
      <c r="J236" s="63">
        <f t="shared" si="101"/>
        <v>0</v>
      </c>
      <c r="K236" s="63">
        <f t="shared" si="101"/>
        <v>0</v>
      </c>
      <c r="L236" s="63">
        <f t="shared" si="101"/>
        <v>0</v>
      </c>
      <c r="M236" s="63">
        <f t="shared" si="101"/>
        <v>0</v>
      </c>
      <c r="N236" s="63">
        <f t="shared" si="101"/>
        <v>1720071</v>
      </c>
      <c r="O236" s="63">
        <f t="shared" si="101"/>
        <v>0</v>
      </c>
      <c r="P236" s="63">
        <f t="shared" si="101"/>
        <v>0</v>
      </c>
      <c r="Q236" s="63">
        <f t="shared" si="101"/>
        <v>0</v>
      </c>
      <c r="R236" s="63">
        <f t="shared" si="102"/>
        <v>0</v>
      </c>
      <c r="S236" s="63">
        <f t="shared" si="102"/>
        <v>0</v>
      </c>
      <c r="T236" s="63">
        <f t="shared" si="102"/>
        <v>0</v>
      </c>
      <c r="U236" s="63">
        <f t="shared" si="102"/>
        <v>0</v>
      </c>
      <c r="V236" s="63">
        <f t="shared" si="102"/>
        <v>0</v>
      </c>
      <c r="W236" s="63">
        <f t="shared" si="102"/>
        <v>0</v>
      </c>
      <c r="X236" s="63">
        <f t="shared" si="102"/>
        <v>0</v>
      </c>
      <c r="Y236" s="63">
        <f t="shared" si="102"/>
        <v>0</v>
      </c>
      <c r="Z236" s="63">
        <f t="shared" si="102"/>
        <v>0</v>
      </c>
      <c r="AA236" s="63">
        <f t="shared" si="102"/>
        <v>0</v>
      </c>
      <c r="AB236" s="63">
        <f t="shared" si="102"/>
        <v>0</v>
      </c>
      <c r="AC236" s="63">
        <f t="shared" si="102"/>
        <v>0</v>
      </c>
      <c r="AD236" s="63">
        <f t="shared" si="102"/>
        <v>0</v>
      </c>
      <c r="AE236" s="63">
        <f t="shared" si="102"/>
        <v>0</v>
      </c>
      <c r="AF236" s="63">
        <f t="shared" si="105"/>
        <v>1720071</v>
      </c>
      <c r="AG236" s="58" t="str">
        <f t="shared" si="104"/>
        <v>ok</v>
      </c>
    </row>
    <row r="237" spans="1:33">
      <c r="A237" s="60">
        <v>571</v>
      </c>
      <c r="B237" s="44" t="s">
        <v>1072</v>
      </c>
      <c r="C237" s="44" t="s">
        <v>17</v>
      </c>
      <c r="D237" s="44" t="s">
        <v>644</v>
      </c>
      <c r="F237" s="79">
        <v>7356001</v>
      </c>
      <c r="G237" s="62"/>
      <c r="H237" s="63">
        <f t="shared" si="101"/>
        <v>0</v>
      </c>
      <c r="I237" s="63">
        <f t="shared" si="101"/>
        <v>0</v>
      </c>
      <c r="J237" s="63">
        <f t="shared" si="101"/>
        <v>0</v>
      </c>
      <c r="K237" s="63">
        <f t="shared" si="101"/>
        <v>0</v>
      </c>
      <c r="L237" s="63">
        <f t="shared" si="101"/>
        <v>0</v>
      </c>
      <c r="M237" s="63">
        <f t="shared" si="101"/>
        <v>0</v>
      </c>
      <c r="N237" s="63">
        <f t="shared" si="101"/>
        <v>7356001</v>
      </c>
      <c r="O237" s="63">
        <f t="shared" si="101"/>
        <v>0</v>
      </c>
      <c r="P237" s="63">
        <f t="shared" si="101"/>
        <v>0</v>
      </c>
      <c r="Q237" s="63">
        <f t="shared" si="101"/>
        <v>0</v>
      </c>
      <c r="R237" s="63">
        <f t="shared" si="102"/>
        <v>0</v>
      </c>
      <c r="S237" s="63">
        <f t="shared" si="102"/>
        <v>0</v>
      </c>
      <c r="T237" s="63">
        <f t="shared" si="102"/>
        <v>0</v>
      </c>
      <c r="U237" s="63">
        <f t="shared" si="102"/>
        <v>0</v>
      </c>
      <c r="V237" s="63">
        <f t="shared" si="102"/>
        <v>0</v>
      </c>
      <c r="W237" s="63">
        <f t="shared" si="102"/>
        <v>0</v>
      </c>
      <c r="X237" s="63">
        <f t="shared" si="102"/>
        <v>0</v>
      </c>
      <c r="Y237" s="63">
        <f t="shared" si="102"/>
        <v>0</v>
      </c>
      <c r="Z237" s="63">
        <f t="shared" si="102"/>
        <v>0</v>
      </c>
      <c r="AA237" s="63">
        <f t="shared" si="102"/>
        <v>0</v>
      </c>
      <c r="AB237" s="63">
        <f t="shared" si="102"/>
        <v>0</v>
      </c>
      <c r="AC237" s="63">
        <f t="shared" si="102"/>
        <v>0</v>
      </c>
      <c r="AD237" s="63">
        <f t="shared" si="102"/>
        <v>0</v>
      </c>
      <c r="AE237" s="63">
        <f t="shared" si="102"/>
        <v>0</v>
      </c>
      <c r="AF237" s="63">
        <f t="shared" si="105"/>
        <v>7356001</v>
      </c>
      <c r="AG237" s="58" t="str">
        <f t="shared" si="104"/>
        <v>ok</v>
      </c>
    </row>
    <row r="238" spans="1:33">
      <c r="A238" s="60">
        <v>572</v>
      </c>
      <c r="B238" s="44" t="s">
        <v>258</v>
      </c>
      <c r="C238" s="44" t="s">
        <v>259</v>
      </c>
      <c r="D238" s="44" t="s">
        <v>644</v>
      </c>
      <c r="F238" s="79">
        <v>0</v>
      </c>
      <c r="G238" s="62"/>
      <c r="H238" s="63">
        <f t="shared" si="101"/>
        <v>0</v>
      </c>
      <c r="I238" s="63">
        <f t="shared" si="101"/>
        <v>0</v>
      </c>
      <c r="J238" s="63">
        <f t="shared" si="101"/>
        <v>0</v>
      </c>
      <c r="K238" s="63">
        <f t="shared" si="101"/>
        <v>0</v>
      </c>
      <c r="L238" s="63">
        <f t="shared" si="101"/>
        <v>0</v>
      </c>
      <c r="M238" s="63">
        <f t="shared" si="101"/>
        <v>0</v>
      </c>
      <c r="N238" s="63">
        <f t="shared" si="101"/>
        <v>0</v>
      </c>
      <c r="O238" s="63">
        <f t="shared" si="101"/>
        <v>0</v>
      </c>
      <c r="P238" s="63">
        <f t="shared" si="101"/>
        <v>0</v>
      </c>
      <c r="Q238" s="63">
        <f t="shared" si="101"/>
        <v>0</v>
      </c>
      <c r="R238" s="63">
        <f t="shared" si="102"/>
        <v>0</v>
      </c>
      <c r="S238" s="63">
        <f t="shared" si="102"/>
        <v>0</v>
      </c>
      <c r="T238" s="63">
        <f t="shared" si="102"/>
        <v>0</v>
      </c>
      <c r="U238" s="63">
        <f t="shared" si="102"/>
        <v>0</v>
      </c>
      <c r="V238" s="63">
        <f t="shared" si="102"/>
        <v>0</v>
      </c>
      <c r="W238" s="63">
        <f t="shared" si="102"/>
        <v>0</v>
      </c>
      <c r="X238" s="63">
        <f t="shared" si="102"/>
        <v>0</v>
      </c>
      <c r="Y238" s="63">
        <f t="shared" si="102"/>
        <v>0</v>
      </c>
      <c r="Z238" s="63">
        <f t="shared" si="102"/>
        <v>0</v>
      </c>
      <c r="AA238" s="63">
        <f t="shared" si="102"/>
        <v>0</v>
      </c>
      <c r="AB238" s="63">
        <f t="shared" si="102"/>
        <v>0</v>
      </c>
      <c r="AC238" s="63">
        <f t="shared" si="102"/>
        <v>0</v>
      </c>
      <c r="AD238" s="63">
        <f t="shared" si="102"/>
        <v>0</v>
      </c>
      <c r="AE238" s="63">
        <f t="shared" si="102"/>
        <v>0</v>
      </c>
      <c r="AF238" s="63">
        <f t="shared" si="105"/>
        <v>0</v>
      </c>
      <c r="AG238" s="58" t="str">
        <f t="shared" si="104"/>
        <v>ok</v>
      </c>
    </row>
    <row r="239" spans="1:33">
      <c r="A239" s="60">
        <v>573</v>
      </c>
      <c r="B239" s="44" t="s">
        <v>260</v>
      </c>
      <c r="C239" s="44" t="s">
        <v>261</v>
      </c>
      <c r="D239" s="44" t="s">
        <v>1085</v>
      </c>
      <c r="F239" s="79">
        <v>236184.99999999901</v>
      </c>
      <c r="G239" s="62"/>
      <c r="H239" s="63">
        <f t="shared" si="101"/>
        <v>0</v>
      </c>
      <c r="I239" s="63">
        <f t="shared" si="101"/>
        <v>0</v>
      </c>
      <c r="J239" s="63">
        <f t="shared" si="101"/>
        <v>0</v>
      </c>
      <c r="K239" s="63">
        <f t="shared" si="101"/>
        <v>0</v>
      </c>
      <c r="L239" s="63">
        <f t="shared" si="101"/>
        <v>0</v>
      </c>
      <c r="M239" s="63">
        <f t="shared" si="101"/>
        <v>0</v>
      </c>
      <c r="N239" s="63">
        <f t="shared" si="101"/>
        <v>236184.99999999901</v>
      </c>
      <c r="O239" s="63">
        <f t="shared" si="101"/>
        <v>0</v>
      </c>
      <c r="P239" s="63">
        <f t="shared" si="101"/>
        <v>0</v>
      </c>
      <c r="Q239" s="63">
        <f t="shared" si="101"/>
        <v>0</v>
      </c>
      <c r="R239" s="63">
        <f t="shared" si="102"/>
        <v>0</v>
      </c>
      <c r="S239" s="63">
        <f t="shared" si="102"/>
        <v>0</v>
      </c>
      <c r="T239" s="63">
        <f t="shared" si="102"/>
        <v>0</v>
      </c>
      <c r="U239" s="63">
        <f t="shared" si="102"/>
        <v>0</v>
      </c>
      <c r="V239" s="63">
        <f t="shared" si="102"/>
        <v>0</v>
      </c>
      <c r="W239" s="63">
        <f t="shared" si="102"/>
        <v>0</v>
      </c>
      <c r="X239" s="63">
        <f t="shared" si="102"/>
        <v>0</v>
      </c>
      <c r="Y239" s="63">
        <f t="shared" si="102"/>
        <v>0</v>
      </c>
      <c r="Z239" s="63">
        <f t="shared" si="102"/>
        <v>0</v>
      </c>
      <c r="AA239" s="63">
        <f t="shared" si="102"/>
        <v>0</v>
      </c>
      <c r="AB239" s="63">
        <f t="shared" si="102"/>
        <v>0</v>
      </c>
      <c r="AC239" s="63">
        <f t="shared" si="102"/>
        <v>0</v>
      </c>
      <c r="AD239" s="63">
        <f t="shared" si="102"/>
        <v>0</v>
      </c>
      <c r="AE239" s="63">
        <f t="shared" si="102"/>
        <v>0</v>
      </c>
      <c r="AF239" s="63">
        <f t="shared" si="105"/>
        <v>236184.99999999901</v>
      </c>
      <c r="AG239" s="58" t="str">
        <f t="shared" si="104"/>
        <v>ok</v>
      </c>
    </row>
    <row r="240" spans="1:33">
      <c r="A240" s="60">
        <v>575</v>
      </c>
      <c r="B240" s="60" t="s">
        <v>1245</v>
      </c>
      <c r="C240" s="60" t="s">
        <v>843</v>
      </c>
      <c r="D240" s="44" t="s">
        <v>644</v>
      </c>
      <c r="F240" s="79">
        <v>0</v>
      </c>
      <c r="G240" s="62"/>
      <c r="H240" s="63">
        <f t="shared" si="101"/>
        <v>0</v>
      </c>
      <c r="I240" s="63">
        <f t="shared" si="101"/>
        <v>0</v>
      </c>
      <c r="J240" s="63">
        <f t="shared" si="101"/>
        <v>0</v>
      </c>
      <c r="K240" s="63">
        <f t="shared" si="101"/>
        <v>0</v>
      </c>
      <c r="L240" s="63">
        <f t="shared" si="101"/>
        <v>0</v>
      </c>
      <c r="M240" s="63">
        <f t="shared" si="101"/>
        <v>0</v>
      </c>
      <c r="N240" s="63">
        <f t="shared" si="101"/>
        <v>0</v>
      </c>
      <c r="O240" s="63">
        <f t="shared" si="101"/>
        <v>0</v>
      </c>
      <c r="P240" s="63">
        <f t="shared" si="101"/>
        <v>0</v>
      </c>
      <c r="Q240" s="63">
        <f t="shared" si="101"/>
        <v>0</v>
      </c>
      <c r="R240" s="63">
        <f t="shared" si="102"/>
        <v>0</v>
      </c>
      <c r="S240" s="63">
        <f t="shared" si="102"/>
        <v>0</v>
      </c>
      <c r="T240" s="63">
        <f t="shared" si="102"/>
        <v>0</v>
      </c>
      <c r="U240" s="63">
        <f t="shared" si="102"/>
        <v>0</v>
      </c>
      <c r="V240" s="63">
        <f t="shared" si="102"/>
        <v>0</v>
      </c>
      <c r="W240" s="63">
        <f t="shared" si="102"/>
        <v>0</v>
      </c>
      <c r="X240" s="63">
        <f t="shared" si="102"/>
        <v>0</v>
      </c>
      <c r="Y240" s="63">
        <f t="shared" si="102"/>
        <v>0</v>
      </c>
      <c r="Z240" s="63">
        <f t="shared" si="102"/>
        <v>0</v>
      </c>
      <c r="AA240" s="63">
        <f t="shared" si="102"/>
        <v>0</v>
      </c>
      <c r="AB240" s="63">
        <f t="shared" si="102"/>
        <v>0</v>
      </c>
      <c r="AC240" s="63">
        <f t="shared" si="102"/>
        <v>0</v>
      </c>
      <c r="AD240" s="63">
        <f t="shared" si="102"/>
        <v>0</v>
      </c>
      <c r="AE240" s="63">
        <f t="shared" si="102"/>
        <v>0</v>
      </c>
      <c r="AF240" s="63">
        <f>SUM(H240:AE240)</f>
        <v>0</v>
      </c>
      <c r="AG240" s="58" t="str">
        <f t="shared" si="104"/>
        <v>ok</v>
      </c>
    </row>
    <row r="241" spans="1:33">
      <c r="A241" s="60"/>
      <c r="F241" s="76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58"/>
    </row>
    <row r="242" spans="1:33">
      <c r="A242" s="60" t="s">
        <v>1073</v>
      </c>
      <c r="F242" s="177">
        <f>SUM(F227:F240)</f>
        <v>27773572.999999899</v>
      </c>
      <c r="G242" s="64">
        <f>SUM(G227:G237)</f>
        <v>0</v>
      </c>
      <c r="H242" s="64">
        <f t="shared" ref="H242:N242" si="106">SUM(H227:H240)</f>
        <v>0</v>
      </c>
      <c r="I242" s="64">
        <f t="shared" si="106"/>
        <v>0</v>
      </c>
      <c r="J242" s="64">
        <f t="shared" si="106"/>
        <v>0</v>
      </c>
      <c r="K242" s="64">
        <f t="shared" si="106"/>
        <v>0</v>
      </c>
      <c r="L242" s="64">
        <f t="shared" si="106"/>
        <v>0</v>
      </c>
      <c r="M242" s="64">
        <f t="shared" si="106"/>
        <v>0</v>
      </c>
      <c r="N242" s="64">
        <f t="shared" si="106"/>
        <v>27773572.999999899</v>
      </c>
      <c r="O242" s="64">
        <f t="shared" ref="O242:AE242" si="107">SUM(O227:O240)</f>
        <v>0</v>
      </c>
      <c r="P242" s="64">
        <f t="shared" si="107"/>
        <v>0</v>
      </c>
      <c r="Q242" s="64">
        <f t="shared" si="107"/>
        <v>0</v>
      </c>
      <c r="R242" s="64">
        <f t="shared" si="107"/>
        <v>0</v>
      </c>
      <c r="S242" s="64">
        <f t="shared" si="107"/>
        <v>0</v>
      </c>
      <c r="T242" s="64">
        <f t="shared" si="107"/>
        <v>0</v>
      </c>
      <c r="U242" s="64">
        <f t="shared" si="107"/>
        <v>0</v>
      </c>
      <c r="V242" s="64">
        <f t="shared" si="107"/>
        <v>0</v>
      </c>
      <c r="W242" s="64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7"/>
        <v>0</v>
      </c>
      <c r="AB242" s="64">
        <f t="shared" si="107"/>
        <v>0</v>
      </c>
      <c r="AC242" s="64">
        <f t="shared" si="107"/>
        <v>0</v>
      </c>
      <c r="AD242" s="64">
        <f t="shared" si="107"/>
        <v>0</v>
      </c>
      <c r="AE242" s="64">
        <f t="shared" si="107"/>
        <v>0</v>
      </c>
      <c r="AF242" s="62">
        <f>SUM(H242:AE242)</f>
        <v>27773572.999999899</v>
      </c>
      <c r="AG242" s="58" t="str">
        <f>IF(ABS(AF242-F242)&lt;1,"ok","err")</f>
        <v>ok</v>
      </c>
    </row>
    <row r="243" spans="1:33">
      <c r="A243" s="60"/>
      <c r="W243" s="44"/>
      <c r="AG243" s="58"/>
    </row>
    <row r="244" spans="1:33" ht="14.1">
      <c r="A244" s="59" t="s">
        <v>948</v>
      </c>
      <c r="W244" s="44"/>
      <c r="AG244" s="58"/>
    </row>
    <row r="245" spans="1:33">
      <c r="A245" s="60"/>
      <c r="W245" s="44"/>
      <c r="AG245" s="58"/>
    </row>
    <row r="246" spans="1:33" ht="14.1">
      <c r="A246" s="65" t="s">
        <v>911</v>
      </c>
      <c r="W246" s="44"/>
      <c r="AG246" s="58"/>
    </row>
    <row r="247" spans="1:33">
      <c r="A247" s="60">
        <v>580</v>
      </c>
      <c r="B247" s="44" t="s">
        <v>912</v>
      </c>
      <c r="C247" s="44" t="s">
        <v>913</v>
      </c>
      <c r="D247" s="44" t="s">
        <v>63</v>
      </c>
      <c r="F247" s="76">
        <v>2397038.9999999902</v>
      </c>
      <c r="H247" s="63">
        <f t="shared" ref="H247:Q258" si="108">IF(VLOOKUP($D247,$C$6:$AE$653,H$2,)=0,0,((VLOOKUP($D247,$C$6:$AE$653,H$2,)/VLOOKUP($D247,$C$6:$AE$653,4,))*$F247))</f>
        <v>0</v>
      </c>
      <c r="I247" s="63">
        <f t="shared" si="108"/>
        <v>0</v>
      </c>
      <c r="J247" s="63">
        <f t="shared" si="108"/>
        <v>0</v>
      </c>
      <c r="K247" s="63">
        <f t="shared" si="108"/>
        <v>0</v>
      </c>
      <c r="L247" s="63">
        <f t="shared" si="108"/>
        <v>0</v>
      </c>
      <c r="M247" s="63">
        <f t="shared" si="108"/>
        <v>0</v>
      </c>
      <c r="N247" s="63">
        <f t="shared" si="108"/>
        <v>0</v>
      </c>
      <c r="O247" s="63">
        <f t="shared" si="108"/>
        <v>0</v>
      </c>
      <c r="P247" s="63">
        <f t="shared" si="108"/>
        <v>0</v>
      </c>
      <c r="Q247" s="63">
        <f t="shared" si="108"/>
        <v>0</v>
      </c>
      <c r="R247" s="63">
        <f t="shared" ref="R247:AE258" si="109">IF(VLOOKUP($D247,$C$6:$AE$653,R$2,)=0,0,((VLOOKUP($D247,$C$6:$AE$653,R$2,)/VLOOKUP($D247,$C$6:$AE$653,4,))*$F247))</f>
        <v>355546.79536342807</v>
      </c>
      <c r="S247" s="63">
        <f t="shared" si="109"/>
        <v>0</v>
      </c>
      <c r="T247" s="63">
        <f t="shared" si="109"/>
        <v>283564.99025400804</v>
      </c>
      <c r="U247" s="63">
        <f t="shared" si="109"/>
        <v>481035.82290190202</v>
      </c>
      <c r="V247" s="63">
        <f t="shared" si="109"/>
        <v>95931.746562976186</v>
      </c>
      <c r="W247" s="63">
        <f t="shared" si="109"/>
        <v>167374.56875640605</v>
      </c>
      <c r="X247" s="63">
        <f t="shared" si="109"/>
        <v>28596.913980191181</v>
      </c>
      <c r="Y247" s="63">
        <f t="shared" si="109"/>
        <v>15940.145940858454</v>
      </c>
      <c r="Z247" s="63">
        <f t="shared" si="109"/>
        <v>10191.666595246186</v>
      </c>
      <c r="AA247" s="63">
        <f t="shared" si="109"/>
        <v>925253.96734620654</v>
      </c>
      <c r="AB247" s="63">
        <f t="shared" si="109"/>
        <v>33602.38229876753</v>
      </c>
      <c r="AC247" s="63">
        <f t="shared" si="109"/>
        <v>0</v>
      </c>
      <c r="AD247" s="63">
        <f t="shared" si="109"/>
        <v>0</v>
      </c>
      <c r="AE247" s="63">
        <f t="shared" si="109"/>
        <v>0</v>
      </c>
      <c r="AF247" s="63">
        <f t="shared" ref="AF247:AF258" si="110">SUM(H247:AE247)</f>
        <v>2397038.9999999898</v>
      </c>
      <c r="AG247" s="58" t="str">
        <f t="shared" ref="AG247:AG258" si="111">IF(ABS(AF247-F247)&lt;1,"ok","err")</f>
        <v>ok</v>
      </c>
    </row>
    <row r="248" spans="1:33">
      <c r="A248" s="60">
        <v>581</v>
      </c>
      <c r="B248" s="44" t="s">
        <v>914</v>
      </c>
      <c r="C248" s="44" t="s">
        <v>915</v>
      </c>
      <c r="D248" s="44" t="s">
        <v>863</v>
      </c>
      <c r="F248" s="79">
        <v>292953</v>
      </c>
      <c r="H248" s="63">
        <f t="shared" si="108"/>
        <v>0</v>
      </c>
      <c r="I248" s="63">
        <f t="shared" si="108"/>
        <v>0</v>
      </c>
      <c r="J248" s="63">
        <f t="shared" si="108"/>
        <v>0</v>
      </c>
      <c r="K248" s="63">
        <f t="shared" si="108"/>
        <v>0</v>
      </c>
      <c r="L248" s="63">
        <f t="shared" si="108"/>
        <v>0</v>
      </c>
      <c r="M248" s="63">
        <f t="shared" si="108"/>
        <v>0</v>
      </c>
      <c r="N248" s="63">
        <f t="shared" si="108"/>
        <v>0</v>
      </c>
      <c r="O248" s="63">
        <f t="shared" si="108"/>
        <v>0</v>
      </c>
      <c r="P248" s="63">
        <f t="shared" si="108"/>
        <v>0</v>
      </c>
      <c r="Q248" s="63">
        <f t="shared" si="108"/>
        <v>0</v>
      </c>
      <c r="R248" s="63">
        <f t="shared" si="109"/>
        <v>292953</v>
      </c>
      <c r="S248" s="63">
        <f t="shared" si="109"/>
        <v>0</v>
      </c>
      <c r="T248" s="63">
        <f t="shared" si="109"/>
        <v>0</v>
      </c>
      <c r="U248" s="63">
        <f t="shared" si="109"/>
        <v>0</v>
      </c>
      <c r="V248" s="63">
        <f t="shared" si="109"/>
        <v>0</v>
      </c>
      <c r="W248" s="63">
        <f t="shared" si="109"/>
        <v>0</v>
      </c>
      <c r="X248" s="63">
        <f t="shared" si="109"/>
        <v>0</v>
      </c>
      <c r="Y248" s="63">
        <f t="shared" si="109"/>
        <v>0</v>
      </c>
      <c r="Z248" s="63">
        <f t="shared" si="109"/>
        <v>0</v>
      </c>
      <c r="AA248" s="63">
        <f t="shared" si="109"/>
        <v>0</v>
      </c>
      <c r="AB248" s="63">
        <f t="shared" si="109"/>
        <v>0</v>
      </c>
      <c r="AC248" s="63">
        <f t="shared" si="109"/>
        <v>0</v>
      </c>
      <c r="AD248" s="63">
        <f t="shared" si="109"/>
        <v>0</v>
      </c>
      <c r="AE248" s="63">
        <f t="shared" si="109"/>
        <v>0</v>
      </c>
      <c r="AF248" s="63">
        <f t="shared" si="110"/>
        <v>292953</v>
      </c>
      <c r="AG248" s="58" t="str">
        <f t="shared" si="111"/>
        <v>ok</v>
      </c>
    </row>
    <row r="249" spans="1:33">
      <c r="A249" s="60">
        <v>582</v>
      </c>
      <c r="B249" s="44" t="s">
        <v>1068</v>
      </c>
      <c r="C249" s="44" t="s">
        <v>1074</v>
      </c>
      <c r="D249" s="44" t="s">
        <v>863</v>
      </c>
      <c r="F249" s="79">
        <v>1764640</v>
      </c>
      <c r="H249" s="63">
        <f t="shared" si="108"/>
        <v>0</v>
      </c>
      <c r="I249" s="63">
        <f t="shared" si="108"/>
        <v>0</v>
      </c>
      <c r="J249" s="63">
        <f t="shared" si="108"/>
        <v>0</v>
      </c>
      <c r="K249" s="63">
        <f t="shared" si="108"/>
        <v>0</v>
      </c>
      <c r="L249" s="63">
        <f t="shared" si="108"/>
        <v>0</v>
      </c>
      <c r="M249" s="63">
        <f t="shared" si="108"/>
        <v>0</v>
      </c>
      <c r="N249" s="63">
        <f t="shared" si="108"/>
        <v>0</v>
      </c>
      <c r="O249" s="63">
        <f t="shared" si="108"/>
        <v>0</v>
      </c>
      <c r="P249" s="63">
        <f t="shared" si="108"/>
        <v>0</v>
      </c>
      <c r="Q249" s="63">
        <f t="shared" si="108"/>
        <v>0</v>
      </c>
      <c r="R249" s="63">
        <f t="shared" si="109"/>
        <v>1764640</v>
      </c>
      <c r="S249" s="63">
        <f t="shared" si="109"/>
        <v>0</v>
      </c>
      <c r="T249" s="63">
        <f t="shared" si="109"/>
        <v>0</v>
      </c>
      <c r="U249" s="63">
        <f t="shared" si="109"/>
        <v>0</v>
      </c>
      <c r="V249" s="63">
        <f t="shared" si="109"/>
        <v>0</v>
      </c>
      <c r="W249" s="63">
        <f t="shared" si="109"/>
        <v>0</v>
      </c>
      <c r="X249" s="63">
        <f t="shared" si="109"/>
        <v>0</v>
      </c>
      <c r="Y249" s="63">
        <f t="shared" si="109"/>
        <v>0</v>
      </c>
      <c r="Z249" s="63">
        <f t="shared" si="109"/>
        <v>0</v>
      </c>
      <c r="AA249" s="63">
        <f t="shared" si="109"/>
        <v>0</v>
      </c>
      <c r="AB249" s="63">
        <f t="shared" si="109"/>
        <v>0</v>
      </c>
      <c r="AC249" s="63">
        <f t="shared" si="109"/>
        <v>0</v>
      </c>
      <c r="AD249" s="63">
        <f t="shared" si="109"/>
        <v>0</v>
      </c>
      <c r="AE249" s="63">
        <f t="shared" si="109"/>
        <v>0</v>
      </c>
      <c r="AF249" s="63">
        <f t="shared" si="110"/>
        <v>1764640</v>
      </c>
      <c r="AG249" s="58" t="str">
        <f t="shared" si="111"/>
        <v>ok</v>
      </c>
    </row>
    <row r="250" spans="1:33">
      <c r="A250" s="60">
        <v>583</v>
      </c>
      <c r="B250" s="44" t="s">
        <v>916</v>
      </c>
      <c r="C250" s="44" t="s">
        <v>917</v>
      </c>
      <c r="D250" s="44" t="s">
        <v>866</v>
      </c>
      <c r="F250" s="79">
        <v>5783699.9999999898</v>
      </c>
      <c r="H250" s="63">
        <f t="shared" si="108"/>
        <v>0</v>
      </c>
      <c r="I250" s="63">
        <f t="shared" si="108"/>
        <v>0</v>
      </c>
      <c r="J250" s="63">
        <f t="shared" si="108"/>
        <v>0</v>
      </c>
      <c r="K250" s="63">
        <f t="shared" si="108"/>
        <v>0</v>
      </c>
      <c r="L250" s="63">
        <f t="shared" si="108"/>
        <v>0</v>
      </c>
      <c r="M250" s="63">
        <f t="shared" si="108"/>
        <v>0</v>
      </c>
      <c r="N250" s="63">
        <f t="shared" si="108"/>
        <v>0</v>
      </c>
      <c r="O250" s="63">
        <f t="shared" si="108"/>
        <v>0</v>
      </c>
      <c r="P250" s="63">
        <f t="shared" si="108"/>
        <v>0</v>
      </c>
      <c r="Q250" s="63">
        <f t="shared" si="108"/>
        <v>0</v>
      </c>
      <c r="R250" s="63">
        <f t="shared" si="109"/>
        <v>0</v>
      </c>
      <c r="S250" s="63">
        <f t="shared" si="109"/>
        <v>0</v>
      </c>
      <c r="T250" s="63">
        <f t="shared" si="109"/>
        <v>1468727.3529239974</v>
      </c>
      <c r="U250" s="63">
        <f t="shared" si="109"/>
        <v>2609937.8870759956</v>
      </c>
      <c r="V250" s="63">
        <f t="shared" si="109"/>
        <v>613983.01707599894</v>
      </c>
      <c r="W250" s="63">
        <f t="shared" si="109"/>
        <v>1091051.742923998</v>
      </c>
      <c r="X250" s="63">
        <f t="shared" si="109"/>
        <v>0</v>
      </c>
      <c r="Y250" s="63">
        <f t="shared" si="109"/>
        <v>0</v>
      </c>
      <c r="Z250" s="63">
        <f t="shared" si="109"/>
        <v>0</v>
      </c>
      <c r="AA250" s="63">
        <f t="shared" si="109"/>
        <v>0</v>
      </c>
      <c r="AB250" s="63">
        <f t="shared" si="109"/>
        <v>0</v>
      </c>
      <c r="AC250" s="63">
        <f t="shared" si="109"/>
        <v>0</v>
      </c>
      <c r="AD250" s="63">
        <f t="shared" si="109"/>
        <v>0</v>
      </c>
      <c r="AE250" s="63">
        <f t="shared" si="109"/>
        <v>0</v>
      </c>
      <c r="AF250" s="63">
        <f t="shared" si="110"/>
        <v>5783699.9999999898</v>
      </c>
      <c r="AG250" s="58" t="str">
        <f t="shared" si="111"/>
        <v>ok</v>
      </c>
    </row>
    <row r="251" spans="1:33">
      <c r="A251" s="60">
        <v>584</v>
      </c>
      <c r="B251" s="44" t="s">
        <v>918</v>
      </c>
      <c r="C251" s="44" t="s">
        <v>919</v>
      </c>
      <c r="D251" s="44" t="s">
        <v>869</v>
      </c>
      <c r="F251" s="79">
        <v>6320821</v>
      </c>
      <c r="H251" s="63">
        <f t="shared" si="108"/>
        <v>0</v>
      </c>
      <c r="I251" s="63">
        <f t="shared" si="108"/>
        <v>0</v>
      </c>
      <c r="J251" s="63">
        <f t="shared" si="108"/>
        <v>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0</v>
      </c>
      <c r="O251" s="63">
        <f t="shared" si="108"/>
        <v>0</v>
      </c>
      <c r="P251" s="63">
        <f t="shared" si="108"/>
        <v>0</v>
      </c>
      <c r="Q251" s="63">
        <f t="shared" si="108"/>
        <v>0</v>
      </c>
      <c r="R251" s="63">
        <f t="shared" si="109"/>
        <v>0</v>
      </c>
      <c r="S251" s="63">
        <f t="shared" si="109"/>
        <v>0</v>
      </c>
      <c r="T251" s="63">
        <f t="shared" si="109"/>
        <v>2234492.2677565799</v>
      </c>
      <c r="U251" s="63">
        <f t="shared" si="109"/>
        <v>3332254.7869434203</v>
      </c>
      <c r="V251" s="63">
        <f t="shared" si="109"/>
        <v>302685.28164341999</v>
      </c>
      <c r="W251" s="63">
        <f t="shared" si="109"/>
        <v>451388.66365657991</v>
      </c>
      <c r="X251" s="63">
        <f t="shared" si="109"/>
        <v>0</v>
      </c>
      <c r="Y251" s="63">
        <f t="shared" si="109"/>
        <v>0</v>
      </c>
      <c r="Z251" s="63">
        <f t="shared" si="109"/>
        <v>0</v>
      </c>
      <c r="AA251" s="63">
        <f t="shared" si="109"/>
        <v>0</v>
      </c>
      <c r="AB251" s="63">
        <f t="shared" si="109"/>
        <v>0</v>
      </c>
      <c r="AC251" s="63">
        <f t="shared" si="109"/>
        <v>0</v>
      </c>
      <c r="AD251" s="63">
        <f t="shared" si="109"/>
        <v>0</v>
      </c>
      <c r="AE251" s="63">
        <f t="shared" si="109"/>
        <v>0</v>
      </c>
      <c r="AF251" s="63">
        <f t="shared" si="110"/>
        <v>6320821.0000000009</v>
      </c>
      <c r="AG251" s="58" t="str">
        <f t="shared" si="111"/>
        <v>ok</v>
      </c>
    </row>
    <row r="252" spans="1:33">
      <c r="A252" s="60">
        <v>585</v>
      </c>
      <c r="B252" s="44" t="s">
        <v>920</v>
      </c>
      <c r="C252" s="44" t="s">
        <v>921</v>
      </c>
      <c r="D252" s="44" t="s">
        <v>877</v>
      </c>
      <c r="F252" s="79">
        <v>0</v>
      </c>
      <c r="H252" s="63">
        <f t="shared" si="108"/>
        <v>0</v>
      </c>
      <c r="I252" s="63">
        <f t="shared" si="108"/>
        <v>0</v>
      </c>
      <c r="J252" s="63">
        <f t="shared" si="108"/>
        <v>0</v>
      </c>
      <c r="K252" s="63">
        <f t="shared" si="108"/>
        <v>0</v>
      </c>
      <c r="L252" s="63">
        <f t="shared" si="108"/>
        <v>0</v>
      </c>
      <c r="M252" s="63">
        <f t="shared" si="108"/>
        <v>0</v>
      </c>
      <c r="N252" s="63">
        <f t="shared" si="108"/>
        <v>0</v>
      </c>
      <c r="O252" s="63">
        <f t="shared" si="108"/>
        <v>0</v>
      </c>
      <c r="P252" s="63">
        <f t="shared" si="108"/>
        <v>0</v>
      </c>
      <c r="Q252" s="63">
        <f t="shared" si="108"/>
        <v>0</v>
      </c>
      <c r="R252" s="63">
        <f t="shared" si="109"/>
        <v>0</v>
      </c>
      <c r="S252" s="63">
        <f t="shared" si="109"/>
        <v>0</v>
      </c>
      <c r="T252" s="63">
        <f t="shared" si="109"/>
        <v>0</v>
      </c>
      <c r="U252" s="63">
        <f t="shared" si="109"/>
        <v>0</v>
      </c>
      <c r="V252" s="63">
        <f t="shared" si="109"/>
        <v>0</v>
      </c>
      <c r="W252" s="63">
        <f t="shared" si="109"/>
        <v>0</v>
      </c>
      <c r="X252" s="63">
        <f t="shared" si="109"/>
        <v>0</v>
      </c>
      <c r="Y252" s="63">
        <f t="shared" si="109"/>
        <v>0</v>
      </c>
      <c r="Z252" s="63">
        <f t="shared" si="109"/>
        <v>0</v>
      </c>
      <c r="AA252" s="63">
        <f t="shared" si="109"/>
        <v>0</v>
      </c>
      <c r="AB252" s="63">
        <f t="shared" si="109"/>
        <v>0</v>
      </c>
      <c r="AC252" s="63">
        <f t="shared" si="109"/>
        <v>0</v>
      </c>
      <c r="AD252" s="63">
        <f t="shared" si="109"/>
        <v>0</v>
      </c>
      <c r="AE252" s="63">
        <f t="shared" si="109"/>
        <v>0</v>
      </c>
      <c r="AF252" s="63">
        <f t="shared" si="110"/>
        <v>0</v>
      </c>
      <c r="AG252" s="58" t="str">
        <f t="shared" si="111"/>
        <v>ok</v>
      </c>
    </row>
    <row r="253" spans="1:33">
      <c r="A253" s="60">
        <v>586</v>
      </c>
      <c r="B253" s="44" t="s">
        <v>922</v>
      </c>
      <c r="C253" s="44" t="s">
        <v>923</v>
      </c>
      <c r="D253" s="44" t="s">
        <v>874</v>
      </c>
      <c r="F253" s="79">
        <v>7932375</v>
      </c>
      <c r="H253" s="63">
        <f t="shared" si="108"/>
        <v>0</v>
      </c>
      <c r="I253" s="63">
        <f t="shared" si="108"/>
        <v>0</v>
      </c>
      <c r="J253" s="63">
        <f t="shared" si="108"/>
        <v>0</v>
      </c>
      <c r="K253" s="63">
        <f t="shared" si="108"/>
        <v>0</v>
      </c>
      <c r="L253" s="63">
        <f t="shared" si="108"/>
        <v>0</v>
      </c>
      <c r="M253" s="63">
        <f t="shared" si="108"/>
        <v>0</v>
      </c>
      <c r="N253" s="63">
        <f t="shared" si="108"/>
        <v>0</v>
      </c>
      <c r="O253" s="63">
        <f t="shared" si="108"/>
        <v>0</v>
      </c>
      <c r="P253" s="63">
        <f t="shared" si="108"/>
        <v>0</v>
      </c>
      <c r="Q253" s="63">
        <f t="shared" si="108"/>
        <v>0</v>
      </c>
      <c r="R253" s="63">
        <f t="shared" si="109"/>
        <v>0</v>
      </c>
      <c r="S253" s="63">
        <f t="shared" si="109"/>
        <v>0</v>
      </c>
      <c r="T253" s="63">
        <f t="shared" si="109"/>
        <v>0</v>
      </c>
      <c r="U253" s="63">
        <f t="shared" si="109"/>
        <v>0</v>
      </c>
      <c r="V253" s="63">
        <f t="shared" si="109"/>
        <v>0</v>
      </c>
      <c r="W253" s="63">
        <f t="shared" si="109"/>
        <v>0</v>
      </c>
      <c r="X253" s="63">
        <f t="shared" si="109"/>
        <v>0</v>
      </c>
      <c r="Y253" s="63">
        <f t="shared" si="109"/>
        <v>0</v>
      </c>
      <c r="Z253" s="63">
        <f t="shared" si="109"/>
        <v>0</v>
      </c>
      <c r="AA253" s="63">
        <f t="shared" si="109"/>
        <v>7932375</v>
      </c>
      <c r="AB253" s="63">
        <f t="shared" si="109"/>
        <v>0</v>
      </c>
      <c r="AC253" s="63">
        <f t="shared" si="109"/>
        <v>0</v>
      </c>
      <c r="AD253" s="63">
        <f t="shared" si="109"/>
        <v>0</v>
      </c>
      <c r="AE253" s="63">
        <f t="shared" si="109"/>
        <v>0</v>
      </c>
      <c r="AF253" s="63">
        <f t="shared" si="110"/>
        <v>7932375</v>
      </c>
      <c r="AG253" s="58" t="str">
        <f t="shared" si="111"/>
        <v>ok</v>
      </c>
    </row>
    <row r="254" spans="1:33">
      <c r="A254" s="60">
        <v>586</v>
      </c>
      <c r="B254" s="44" t="s">
        <v>26</v>
      </c>
      <c r="C254" s="44" t="s">
        <v>27</v>
      </c>
      <c r="D254" s="44" t="s">
        <v>41</v>
      </c>
      <c r="F254" s="79">
        <v>0</v>
      </c>
      <c r="H254" s="63">
        <f t="shared" si="108"/>
        <v>0</v>
      </c>
      <c r="I254" s="63">
        <f t="shared" si="108"/>
        <v>0</v>
      </c>
      <c r="J254" s="63">
        <f t="shared" si="108"/>
        <v>0</v>
      </c>
      <c r="K254" s="63">
        <f t="shared" si="108"/>
        <v>0</v>
      </c>
      <c r="L254" s="63">
        <f t="shared" si="108"/>
        <v>0</v>
      </c>
      <c r="M254" s="63">
        <f t="shared" si="108"/>
        <v>0</v>
      </c>
      <c r="N254" s="63">
        <f t="shared" si="108"/>
        <v>0</v>
      </c>
      <c r="O254" s="63">
        <f t="shared" si="108"/>
        <v>0</v>
      </c>
      <c r="P254" s="63">
        <f t="shared" si="108"/>
        <v>0</v>
      </c>
      <c r="Q254" s="63">
        <f t="shared" si="108"/>
        <v>0</v>
      </c>
      <c r="R254" s="63">
        <f t="shared" si="109"/>
        <v>0</v>
      </c>
      <c r="S254" s="63">
        <f t="shared" si="109"/>
        <v>0</v>
      </c>
      <c r="T254" s="63">
        <f t="shared" si="109"/>
        <v>0</v>
      </c>
      <c r="U254" s="63">
        <f t="shared" si="109"/>
        <v>0</v>
      </c>
      <c r="V254" s="63">
        <f t="shared" si="109"/>
        <v>0</v>
      </c>
      <c r="W254" s="63">
        <f t="shared" si="109"/>
        <v>0</v>
      </c>
      <c r="X254" s="63">
        <f t="shared" si="109"/>
        <v>0</v>
      </c>
      <c r="Y254" s="63">
        <f t="shared" si="109"/>
        <v>0</v>
      </c>
      <c r="Z254" s="63">
        <f t="shared" si="109"/>
        <v>0</v>
      </c>
      <c r="AA254" s="63">
        <f t="shared" si="109"/>
        <v>0</v>
      </c>
      <c r="AB254" s="63">
        <f t="shared" si="109"/>
        <v>0</v>
      </c>
      <c r="AC254" s="63">
        <f t="shared" si="109"/>
        <v>0</v>
      </c>
      <c r="AD254" s="63">
        <f t="shared" si="109"/>
        <v>0</v>
      </c>
      <c r="AE254" s="63">
        <f t="shared" si="109"/>
        <v>0</v>
      </c>
      <c r="AF254" s="63">
        <f t="shared" si="110"/>
        <v>0</v>
      </c>
      <c r="AG254" s="58" t="str">
        <f t="shared" si="111"/>
        <v>ok</v>
      </c>
    </row>
    <row r="255" spans="1:33">
      <c r="A255" s="60">
        <v>587</v>
      </c>
      <c r="B255" s="44" t="s">
        <v>924</v>
      </c>
      <c r="C255" s="44" t="s">
        <v>925</v>
      </c>
      <c r="D255" s="44" t="s">
        <v>859</v>
      </c>
      <c r="F255" s="79">
        <v>0</v>
      </c>
      <c r="H255" s="63">
        <f t="shared" si="108"/>
        <v>0</v>
      </c>
      <c r="I255" s="63">
        <f t="shared" si="108"/>
        <v>0</v>
      </c>
      <c r="J255" s="63">
        <f t="shared" si="108"/>
        <v>0</v>
      </c>
      <c r="K255" s="63">
        <f t="shared" si="108"/>
        <v>0</v>
      </c>
      <c r="L255" s="63">
        <f t="shared" si="108"/>
        <v>0</v>
      </c>
      <c r="M255" s="63">
        <f t="shared" si="108"/>
        <v>0</v>
      </c>
      <c r="N255" s="63">
        <f t="shared" si="108"/>
        <v>0</v>
      </c>
      <c r="O255" s="63">
        <f t="shared" si="108"/>
        <v>0</v>
      </c>
      <c r="P255" s="63">
        <f t="shared" si="108"/>
        <v>0</v>
      </c>
      <c r="Q255" s="63">
        <f t="shared" si="108"/>
        <v>0</v>
      </c>
      <c r="R255" s="63">
        <f t="shared" si="109"/>
        <v>0</v>
      </c>
      <c r="S255" s="63">
        <f t="shared" si="109"/>
        <v>0</v>
      </c>
      <c r="T255" s="63">
        <f t="shared" si="109"/>
        <v>0</v>
      </c>
      <c r="U255" s="63">
        <f t="shared" si="109"/>
        <v>0</v>
      </c>
      <c r="V255" s="63">
        <f t="shared" si="109"/>
        <v>0</v>
      </c>
      <c r="W255" s="63">
        <f t="shared" si="109"/>
        <v>0</v>
      </c>
      <c r="X255" s="63">
        <f t="shared" si="109"/>
        <v>0</v>
      </c>
      <c r="Y255" s="63">
        <f t="shared" si="109"/>
        <v>0</v>
      </c>
      <c r="Z255" s="63">
        <f t="shared" si="109"/>
        <v>0</v>
      </c>
      <c r="AA255" s="63">
        <f t="shared" si="109"/>
        <v>0</v>
      </c>
      <c r="AB255" s="63">
        <f t="shared" si="109"/>
        <v>0</v>
      </c>
      <c r="AC255" s="63">
        <f t="shared" si="109"/>
        <v>0</v>
      </c>
      <c r="AD255" s="63">
        <f t="shared" si="109"/>
        <v>0</v>
      </c>
      <c r="AE255" s="63">
        <f t="shared" si="109"/>
        <v>0</v>
      </c>
      <c r="AF255" s="63">
        <f t="shared" si="110"/>
        <v>0</v>
      </c>
      <c r="AG255" s="58" t="str">
        <f t="shared" si="111"/>
        <v>ok</v>
      </c>
    </row>
    <row r="256" spans="1:33">
      <c r="A256" s="60">
        <v>588</v>
      </c>
      <c r="B256" s="44" t="s">
        <v>926</v>
      </c>
      <c r="C256" s="44" t="s">
        <v>927</v>
      </c>
      <c r="D256" s="44" t="s">
        <v>859</v>
      </c>
      <c r="F256" s="79">
        <v>7395817</v>
      </c>
      <c r="H256" s="63">
        <f t="shared" si="108"/>
        <v>0</v>
      </c>
      <c r="I256" s="63">
        <f t="shared" si="108"/>
        <v>0</v>
      </c>
      <c r="J256" s="63">
        <f t="shared" si="108"/>
        <v>0</v>
      </c>
      <c r="K256" s="63">
        <f t="shared" si="108"/>
        <v>0</v>
      </c>
      <c r="L256" s="63">
        <f t="shared" si="108"/>
        <v>0</v>
      </c>
      <c r="M256" s="63">
        <f t="shared" si="108"/>
        <v>0</v>
      </c>
      <c r="N256" s="63">
        <f t="shared" si="108"/>
        <v>0</v>
      </c>
      <c r="O256" s="63">
        <f t="shared" si="108"/>
        <v>0</v>
      </c>
      <c r="P256" s="63">
        <f t="shared" si="108"/>
        <v>0</v>
      </c>
      <c r="Q256" s="63">
        <f t="shared" si="108"/>
        <v>0</v>
      </c>
      <c r="R256" s="63">
        <f t="shared" si="109"/>
        <v>922270.9075843629</v>
      </c>
      <c r="S256" s="63">
        <f t="shared" si="109"/>
        <v>0</v>
      </c>
      <c r="T256" s="63">
        <f t="shared" si="109"/>
        <v>1415850.633569998</v>
      </c>
      <c r="U256" s="63">
        <f t="shared" si="109"/>
        <v>2316938.797932785</v>
      </c>
      <c r="V256" s="63">
        <f t="shared" si="109"/>
        <v>395035.24698476511</v>
      </c>
      <c r="W256" s="63">
        <f t="shared" si="109"/>
        <v>675018.54381083243</v>
      </c>
      <c r="X256" s="63">
        <f t="shared" si="109"/>
        <v>483940.42690820392</v>
      </c>
      <c r="Y256" s="63">
        <f t="shared" si="109"/>
        <v>269752.22001022863</v>
      </c>
      <c r="Z256" s="63">
        <f t="shared" si="109"/>
        <v>172471.73895847585</v>
      </c>
      <c r="AA256" s="63">
        <f t="shared" si="109"/>
        <v>175891.4181246676</v>
      </c>
      <c r="AB256" s="63">
        <f t="shared" si="109"/>
        <v>568647.06611568155</v>
      </c>
      <c r="AC256" s="63">
        <f t="shared" si="109"/>
        <v>0</v>
      </c>
      <c r="AD256" s="63">
        <f t="shared" si="109"/>
        <v>0</v>
      </c>
      <c r="AE256" s="63">
        <f t="shared" si="109"/>
        <v>0</v>
      </c>
      <c r="AF256" s="63">
        <f t="shared" si="110"/>
        <v>7395817</v>
      </c>
      <c r="AG256" s="58" t="str">
        <f t="shared" si="111"/>
        <v>ok</v>
      </c>
    </row>
    <row r="257" spans="1:33">
      <c r="A257" s="60">
        <v>588</v>
      </c>
      <c r="B257" s="44" t="s">
        <v>171</v>
      </c>
      <c r="C257" s="44" t="s">
        <v>117</v>
      </c>
      <c r="D257" s="44" t="s">
        <v>859</v>
      </c>
      <c r="F257" s="79"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 t="shared" si="108"/>
        <v>0</v>
      </c>
      <c r="O257" s="63">
        <f t="shared" si="108"/>
        <v>0</v>
      </c>
      <c r="P257" s="63">
        <f t="shared" si="108"/>
        <v>0</v>
      </c>
      <c r="Q257" s="63">
        <f t="shared" si="108"/>
        <v>0</v>
      </c>
      <c r="R257" s="63">
        <f t="shared" si="109"/>
        <v>0</v>
      </c>
      <c r="S257" s="63">
        <f t="shared" si="109"/>
        <v>0</v>
      </c>
      <c r="T257" s="63">
        <f t="shared" si="109"/>
        <v>0</v>
      </c>
      <c r="U257" s="63">
        <f t="shared" si="109"/>
        <v>0</v>
      </c>
      <c r="V257" s="63">
        <f t="shared" si="109"/>
        <v>0</v>
      </c>
      <c r="W257" s="63">
        <f t="shared" si="109"/>
        <v>0</v>
      </c>
      <c r="X257" s="63">
        <f t="shared" si="109"/>
        <v>0</v>
      </c>
      <c r="Y257" s="63">
        <f t="shared" si="109"/>
        <v>0</v>
      </c>
      <c r="Z257" s="63">
        <f t="shared" si="109"/>
        <v>0</v>
      </c>
      <c r="AA257" s="63">
        <f t="shared" si="109"/>
        <v>0</v>
      </c>
      <c r="AB257" s="63">
        <f t="shared" si="109"/>
        <v>0</v>
      </c>
      <c r="AC257" s="63">
        <f t="shared" si="109"/>
        <v>0</v>
      </c>
      <c r="AD257" s="63">
        <f t="shared" si="109"/>
        <v>0</v>
      </c>
      <c r="AE257" s="63">
        <f t="shared" si="109"/>
        <v>0</v>
      </c>
      <c r="AF257" s="63">
        <f t="shared" si="110"/>
        <v>0</v>
      </c>
      <c r="AG257" s="58" t="str">
        <f t="shared" si="111"/>
        <v>ok</v>
      </c>
    </row>
    <row r="258" spans="1:33">
      <c r="A258" s="60">
        <v>589</v>
      </c>
      <c r="B258" s="44" t="s">
        <v>928</v>
      </c>
      <c r="C258" s="44" t="s">
        <v>929</v>
      </c>
      <c r="D258" s="44" t="s">
        <v>859</v>
      </c>
      <c r="F258" s="79">
        <v>35725</v>
      </c>
      <c r="H258" s="63">
        <f t="shared" si="108"/>
        <v>0</v>
      </c>
      <c r="I258" s="63">
        <f t="shared" si="108"/>
        <v>0</v>
      </c>
      <c r="J258" s="63">
        <f t="shared" si="108"/>
        <v>0</v>
      </c>
      <c r="K258" s="63">
        <f t="shared" si="108"/>
        <v>0</v>
      </c>
      <c r="L258" s="63">
        <f t="shared" si="108"/>
        <v>0</v>
      </c>
      <c r="M258" s="63">
        <f t="shared" si="108"/>
        <v>0</v>
      </c>
      <c r="N258" s="63">
        <f t="shared" si="108"/>
        <v>0</v>
      </c>
      <c r="O258" s="63">
        <f t="shared" si="108"/>
        <v>0</v>
      </c>
      <c r="P258" s="63">
        <f t="shared" si="108"/>
        <v>0</v>
      </c>
      <c r="Q258" s="63">
        <f t="shared" si="108"/>
        <v>0</v>
      </c>
      <c r="R258" s="63">
        <f t="shared" si="109"/>
        <v>4454.9680141425033</v>
      </c>
      <c r="S258" s="63">
        <f t="shared" si="109"/>
        <v>0</v>
      </c>
      <c r="T258" s="63">
        <f t="shared" si="109"/>
        <v>6839.1719108636917</v>
      </c>
      <c r="U258" s="63">
        <f t="shared" si="109"/>
        <v>11191.818098818392</v>
      </c>
      <c r="V258" s="63">
        <f t="shared" si="109"/>
        <v>1908.1913733845408</v>
      </c>
      <c r="W258" s="63">
        <f t="shared" si="109"/>
        <v>3260.6319866543467</v>
      </c>
      <c r="X258" s="63">
        <f t="shared" si="109"/>
        <v>2337.6419064040638</v>
      </c>
      <c r="Y258" s="63">
        <f t="shared" si="109"/>
        <v>1303.0200801162898</v>
      </c>
      <c r="Z258" s="63">
        <f t="shared" si="109"/>
        <v>833.11321444156204</v>
      </c>
      <c r="AA258" s="63">
        <f t="shared" si="109"/>
        <v>849.6317462294902</v>
      </c>
      <c r="AB258" s="63">
        <f t="shared" si="109"/>
        <v>2746.8116689451244</v>
      </c>
      <c r="AC258" s="63">
        <f t="shared" si="109"/>
        <v>0</v>
      </c>
      <c r="AD258" s="63">
        <f t="shared" si="109"/>
        <v>0</v>
      </c>
      <c r="AE258" s="63">
        <f t="shared" si="109"/>
        <v>0</v>
      </c>
      <c r="AF258" s="63">
        <f t="shared" si="110"/>
        <v>35725.000000000007</v>
      </c>
      <c r="AG258" s="58" t="str">
        <f t="shared" si="111"/>
        <v>ok</v>
      </c>
    </row>
    <row r="259" spans="1:33">
      <c r="A259" s="60"/>
      <c r="F259" s="79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G259" s="58"/>
    </row>
    <row r="260" spans="1:33">
      <c r="A260" s="60" t="s">
        <v>930</v>
      </c>
      <c r="C260" s="44" t="s">
        <v>931</v>
      </c>
      <c r="F260" s="76">
        <f t="shared" ref="F260:M260" si="112">SUM(F247:F259)</f>
        <v>31923069.999999981</v>
      </c>
      <c r="G260" s="62">
        <f t="shared" si="112"/>
        <v>0</v>
      </c>
      <c r="H260" s="62">
        <f t="shared" si="112"/>
        <v>0</v>
      </c>
      <c r="I260" s="62">
        <f t="shared" si="112"/>
        <v>0</v>
      </c>
      <c r="J260" s="62">
        <f t="shared" si="112"/>
        <v>0</v>
      </c>
      <c r="K260" s="62">
        <f t="shared" si="112"/>
        <v>0</v>
      </c>
      <c r="L260" s="62">
        <f t="shared" si="112"/>
        <v>0</v>
      </c>
      <c r="M260" s="62">
        <f t="shared" si="112"/>
        <v>0</v>
      </c>
      <c r="N260" s="62">
        <f>SUM(N247:N259)</f>
        <v>0</v>
      </c>
      <c r="O260" s="62">
        <f>SUM(O247:O259)</f>
        <v>0</v>
      </c>
      <c r="P260" s="62">
        <f>SUM(P247:P259)</f>
        <v>0</v>
      </c>
      <c r="Q260" s="62">
        <f t="shared" ref="Q260:AB260" si="113">SUM(Q247:Q259)</f>
        <v>0</v>
      </c>
      <c r="R260" s="62">
        <f t="shared" si="113"/>
        <v>3339865.6709619332</v>
      </c>
      <c r="S260" s="62">
        <f t="shared" si="113"/>
        <v>0</v>
      </c>
      <c r="T260" s="62">
        <f t="shared" si="113"/>
        <v>5409474.4164154464</v>
      </c>
      <c r="U260" s="62">
        <f t="shared" si="113"/>
        <v>8751359.1129529215</v>
      </c>
      <c r="V260" s="62">
        <f t="shared" si="113"/>
        <v>1409543.4836405448</v>
      </c>
      <c r="W260" s="62">
        <f t="shared" si="113"/>
        <v>2388094.1511344705</v>
      </c>
      <c r="X260" s="62">
        <f t="shared" si="113"/>
        <v>514874.98279479914</v>
      </c>
      <c r="Y260" s="62">
        <f t="shared" si="113"/>
        <v>286995.38603120338</v>
      </c>
      <c r="Z260" s="62">
        <f t="shared" si="113"/>
        <v>183496.5187681636</v>
      </c>
      <c r="AA260" s="62">
        <f t="shared" si="113"/>
        <v>9034370.0172171034</v>
      </c>
      <c r="AB260" s="62">
        <f t="shared" si="113"/>
        <v>604996.26008339424</v>
      </c>
      <c r="AC260" s="62">
        <f>SUM(AC247:AC259)</f>
        <v>0</v>
      </c>
      <c r="AD260" s="62">
        <f>SUM(AD247:AD259)</f>
        <v>0</v>
      </c>
      <c r="AE260" s="62">
        <f>SUM(AE247:AE259)</f>
        <v>0</v>
      </c>
      <c r="AF260" s="63">
        <f>SUM(H260:AE260)</f>
        <v>31923069.999999981</v>
      </c>
      <c r="AG260" s="58" t="str">
        <f>IF(ABS(AF260-F260)&lt;1,"ok","err")</f>
        <v>ok</v>
      </c>
    </row>
    <row r="261" spans="1:33">
      <c r="A261" s="60"/>
      <c r="F261" s="76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58"/>
    </row>
    <row r="262" spans="1:33">
      <c r="A262" s="60"/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 ht="14.1">
      <c r="A263" s="65" t="s">
        <v>932</v>
      </c>
      <c r="F263" s="79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G263" s="58"/>
    </row>
    <row r="264" spans="1:33">
      <c r="A264" s="60">
        <v>590</v>
      </c>
      <c r="B264" s="60" t="s">
        <v>933</v>
      </c>
      <c r="C264" s="44" t="s">
        <v>934</v>
      </c>
      <c r="D264" s="44" t="s">
        <v>72</v>
      </c>
      <c r="F264" s="76">
        <v>47090</v>
      </c>
      <c r="H264" s="63">
        <f t="shared" ref="H264:Q272" si="114">IF(VLOOKUP($D264,$C$6:$AE$653,H$2,)=0,0,((VLOOKUP($D264,$C$6:$AE$653,H$2,)/VLOOKUP($D264,$C$6:$AE$653,4,))*$F264))</f>
        <v>0</v>
      </c>
      <c r="I264" s="63">
        <f t="shared" si="114"/>
        <v>0</v>
      </c>
      <c r="J264" s="63">
        <f t="shared" si="114"/>
        <v>0</v>
      </c>
      <c r="K264" s="63">
        <f t="shared" si="114"/>
        <v>0</v>
      </c>
      <c r="L264" s="63">
        <f t="shared" si="114"/>
        <v>0</v>
      </c>
      <c r="M264" s="63">
        <f t="shared" si="114"/>
        <v>0</v>
      </c>
      <c r="N264" s="63">
        <f t="shared" si="114"/>
        <v>0</v>
      </c>
      <c r="O264" s="63">
        <f t="shared" si="114"/>
        <v>0</v>
      </c>
      <c r="P264" s="63">
        <f t="shared" si="114"/>
        <v>0</v>
      </c>
      <c r="Q264" s="63">
        <f t="shared" si="114"/>
        <v>0</v>
      </c>
      <c r="R264" s="63">
        <f t="shared" ref="R264:AE272" si="115">IF(VLOOKUP($D264,$C$6:$AE$653,R$2,)=0,0,((VLOOKUP($D264,$C$6:$AE$653,R$2,)/VLOOKUP($D264,$C$6:$AE$653,4,))*$F264))</f>
        <v>6497.5184993039165</v>
      </c>
      <c r="S264" s="63">
        <f t="shared" si="115"/>
        <v>0</v>
      </c>
      <c r="T264" s="63">
        <f t="shared" si="115"/>
        <v>11032.081939717484</v>
      </c>
      <c r="U264" s="63">
        <f t="shared" si="115"/>
        <v>18518.660586996375</v>
      </c>
      <c r="V264" s="63">
        <f t="shared" si="115"/>
        <v>3538.3657082550412</v>
      </c>
      <c r="W264" s="63">
        <f t="shared" si="115"/>
        <v>6140.6670744758485</v>
      </c>
      <c r="X264" s="63">
        <f t="shared" si="115"/>
        <v>808.45294089537072</v>
      </c>
      <c r="Y264" s="63">
        <f t="shared" si="115"/>
        <v>450.63806091507035</v>
      </c>
      <c r="Z264" s="63">
        <f t="shared" si="115"/>
        <v>0</v>
      </c>
      <c r="AA264" s="63">
        <f t="shared" si="115"/>
        <v>0</v>
      </c>
      <c r="AB264" s="63">
        <f t="shared" si="115"/>
        <v>103.61518944089887</v>
      </c>
      <c r="AC264" s="63">
        <f t="shared" si="115"/>
        <v>0</v>
      </c>
      <c r="AD264" s="63">
        <f t="shared" si="115"/>
        <v>0</v>
      </c>
      <c r="AE264" s="63">
        <f t="shared" si="115"/>
        <v>0</v>
      </c>
      <c r="AF264" s="63">
        <f t="shared" ref="AF264:AF272" si="116">SUM(H264:AE264)</f>
        <v>47090.000000000007</v>
      </c>
      <c r="AG264" s="58" t="str">
        <f>IF(ABS(AF264-F264)&lt;1,"ok","err")</f>
        <v>ok</v>
      </c>
    </row>
    <row r="265" spans="1:33">
      <c r="A265" s="60">
        <v>591</v>
      </c>
      <c r="B265" s="60" t="s">
        <v>256</v>
      </c>
      <c r="C265" s="44" t="s">
        <v>262</v>
      </c>
      <c r="D265" s="44" t="s">
        <v>863</v>
      </c>
      <c r="F265" s="79">
        <v>0</v>
      </c>
      <c r="H265" s="63">
        <f t="shared" si="114"/>
        <v>0</v>
      </c>
      <c r="I265" s="63">
        <f t="shared" si="114"/>
        <v>0</v>
      </c>
      <c r="J265" s="63">
        <f t="shared" si="114"/>
        <v>0</v>
      </c>
      <c r="K265" s="63">
        <f t="shared" si="114"/>
        <v>0</v>
      </c>
      <c r="L265" s="63">
        <f t="shared" si="114"/>
        <v>0</v>
      </c>
      <c r="M265" s="63">
        <f t="shared" si="114"/>
        <v>0</v>
      </c>
      <c r="N265" s="63">
        <f t="shared" si="114"/>
        <v>0</v>
      </c>
      <c r="O265" s="63">
        <f t="shared" si="114"/>
        <v>0</v>
      </c>
      <c r="P265" s="63">
        <f t="shared" si="114"/>
        <v>0</v>
      </c>
      <c r="Q265" s="63">
        <f t="shared" si="114"/>
        <v>0</v>
      </c>
      <c r="R265" s="63">
        <f t="shared" si="115"/>
        <v>0</v>
      </c>
      <c r="S265" s="63">
        <f t="shared" si="115"/>
        <v>0</v>
      </c>
      <c r="T265" s="63">
        <f t="shared" si="115"/>
        <v>0</v>
      </c>
      <c r="U265" s="63">
        <f t="shared" si="115"/>
        <v>0</v>
      </c>
      <c r="V265" s="63">
        <f t="shared" si="115"/>
        <v>0</v>
      </c>
      <c r="W265" s="63">
        <f t="shared" si="115"/>
        <v>0</v>
      </c>
      <c r="X265" s="63">
        <f t="shared" si="115"/>
        <v>0</v>
      </c>
      <c r="Y265" s="63">
        <f t="shared" si="115"/>
        <v>0</v>
      </c>
      <c r="Z265" s="63">
        <f t="shared" si="115"/>
        <v>0</v>
      </c>
      <c r="AA265" s="63">
        <f t="shared" si="115"/>
        <v>0</v>
      </c>
      <c r="AB265" s="63">
        <f t="shared" si="115"/>
        <v>0</v>
      </c>
      <c r="AC265" s="63">
        <f t="shared" si="115"/>
        <v>0</v>
      </c>
      <c r="AD265" s="63">
        <f t="shared" si="115"/>
        <v>0</v>
      </c>
      <c r="AE265" s="63">
        <f t="shared" si="115"/>
        <v>0</v>
      </c>
      <c r="AF265" s="63"/>
      <c r="AG265" s="58"/>
    </row>
    <row r="266" spans="1:33">
      <c r="A266" s="60">
        <v>592</v>
      </c>
      <c r="B266" s="60" t="s">
        <v>935</v>
      </c>
      <c r="C266" s="44" t="s">
        <v>936</v>
      </c>
      <c r="D266" s="44" t="s">
        <v>863</v>
      </c>
      <c r="F266" s="79">
        <v>1865977</v>
      </c>
      <c r="H266" s="63">
        <f t="shared" si="114"/>
        <v>0</v>
      </c>
      <c r="I266" s="63">
        <f t="shared" si="114"/>
        <v>0</v>
      </c>
      <c r="J266" s="63">
        <f t="shared" si="114"/>
        <v>0</v>
      </c>
      <c r="K266" s="63">
        <f t="shared" si="114"/>
        <v>0</v>
      </c>
      <c r="L266" s="63">
        <f t="shared" si="114"/>
        <v>0</v>
      </c>
      <c r="M266" s="63">
        <f t="shared" si="114"/>
        <v>0</v>
      </c>
      <c r="N266" s="63">
        <f t="shared" si="114"/>
        <v>0</v>
      </c>
      <c r="O266" s="63">
        <f t="shared" si="114"/>
        <v>0</v>
      </c>
      <c r="P266" s="63">
        <f t="shared" si="114"/>
        <v>0</v>
      </c>
      <c r="Q266" s="63">
        <f t="shared" si="114"/>
        <v>0</v>
      </c>
      <c r="R266" s="63">
        <f t="shared" si="115"/>
        <v>1865977</v>
      </c>
      <c r="S266" s="63">
        <f t="shared" si="115"/>
        <v>0</v>
      </c>
      <c r="T266" s="63">
        <f t="shared" si="115"/>
        <v>0</v>
      </c>
      <c r="U266" s="63">
        <f t="shared" si="115"/>
        <v>0</v>
      </c>
      <c r="V266" s="63">
        <f t="shared" si="115"/>
        <v>0</v>
      </c>
      <c r="W266" s="63">
        <f t="shared" si="115"/>
        <v>0</v>
      </c>
      <c r="X266" s="63">
        <f t="shared" si="115"/>
        <v>0</v>
      </c>
      <c r="Y266" s="63">
        <f t="shared" si="115"/>
        <v>0</v>
      </c>
      <c r="Z266" s="63">
        <f t="shared" si="115"/>
        <v>0</v>
      </c>
      <c r="AA266" s="63">
        <f t="shared" si="115"/>
        <v>0</v>
      </c>
      <c r="AB266" s="63">
        <f t="shared" si="115"/>
        <v>0</v>
      </c>
      <c r="AC266" s="63">
        <f t="shared" si="115"/>
        <v>0</v>
      </c>
      <c r="AD266" s="63">
        <f t="shared" si="115"/>
        <v>0</v>
      </c>
      <c r="AE266" s="63">
        <f t="shared" si="115"/>
        <v>0</v>
      </c>
      <c r="AF266" s="63">
        <f t="shared" si="116"/>
        <v>1865977</v>
      </c>
      <c r="AG266" s="58" t="str">
        <f t="shared" ref="AG266:AG272" si="117">IF(ABS(AF266-F266)&lt;1,"ok","err")</f>
        <v>ok</v>
      </c>
    </row>
    <row r="267" spans="1:33">
      <c r="A267" s="60">
        <v>593</v>
      </c>
      <c r="B267" s="60" t="s">
        <v>937</v>
      </c>
      <c r="C267" s="44" t="s">
        <v>938</v>
      </c>
      <c r="D267" s="44" t="s">
        <v>866</v>
      </c>
      <c r="F267" s="79">
        <v>15769154</v>
      </c>
      <c r="H267" s="63">
        <f t="shared" si="114"/>
        <v>0</v>
      </c>
      <c r="I267" s="63">
        <f t="shared" si="114"/>
        <v>0</v>
      </c>
      <c r="J267" s="63">
        <f t="shared" si="114"/>
        <v>0</v>
      </c>
      <c r="K267" s="63">
        <f t="shared" si="114"/>
        <v>0</v>
      </c>
      <c r="L267" s="63">
        <f t="shared" si="114"/>
        <v>0</v>
      </c>
      <c r="M267" s="63">
        <f t="shared" si="114"/>
        <v>0</v>
      </c>
      <c r="N267" s="63">
        <f t="shared" si="114"/>
        <v>0</v>
      </c>
      <c r="O267" s="63">
        <f t="shared" si="114"/>
        <v>0</v>
      </c>
      <c r="P267" s="63">
        <f t="shared" si="114"/>
        <v>0</v>
      </c>
      <c r="Q267" s="63">
        <f t="shared" si="114"/>
        <v>0</v>
      </c>
      <c r="R267" s="63">
        <f t="shared" si="115"/>
        <v>0</v>
      </c>
      <c r="S267" s="63">
        <f t="shared" si="115"/>
        <v>0</v>
      </c>
      <c r="T267" s="63">
        <f t="shared" si="115"/>
        <v>4004458.7050280799</v>
      </c>
      <c r="U267" s="63">
        <f t="shared" si="115"/>
        <v>7115948.6957719205</v>
      </c>
      <c r="V267" s="63">
        <f t="shared" si="115"/>
        <v>1674013.6503719201</v>
      </c>
      <c r="W267" s="63">
        <f t="shared" si="115"/>
        <v>2974732.9488280802</v>
      </c>
      <c r="X267" s="63">
        <f t="shared" si="115"/>
        <v>0</v>
      </c>
      <c r="Y267" s="63">
        <f t="shared" si="115"/>
        <v>0</v>
      </c>
      <c r="Z267" s="63">
        <f t="shared" si="115"/>
        <v>0</v>
      </c>
      <c r="AA267" s="63">
        <f t="shared" si="115"/>
        <v>0</v>
      </c>
      <c r="AB267" s="63">
        <f t="shared" si="115"/>
        <v>0</v>
      </c>
      <c r="AC267" s="63">
        <f t="shared" si="115"/>
        <v>0</v>
      </c>
      <c r="AD267" s="63">
        <f t="shared" si="115"/>
        <v>0</v>
      </c>
      <c r="AE267" s="63">
        <f t="shared" si="115"/>
        <v>0</v>
      </c>
      <c r="AF267" s="63">
        <f t="shared" si="116"/>
        <v>15769154.000000002</v>
      </c>
      <c r="AG267" s="58" t="str">
        <f t="shared" si="117"/>
        <v>ok</v>
      </c>
    </row>
    <row r="268" spans="1:33">
      <c r="A268" s="60">
        <v>594</v>
      </c>
      <c r="B268" s="60" t="s">
        <v>939</v>
      </c>
      <c r="C268" s="44" t="s">
        <v>940</v>
      </c>
      <c r="D268" s="44" t="s">
        <v>869</v>
      </c>
      <c r="F268" s="79">
        <v>1854312.99999999</v>
      </c>
      <c r="H268" s="63">
        <f t="shared" si="114"/>
        <v>0</v>
      </c>
      <c r="I268" s="63">
        <f t="shared" si="114"/>
        <v>0</v>
      </c>
      <c r="J268" s="63">
        <f t="shared" si="114"/>
        <v>0</v>
      </c>
      <c r="K268" s="63">
        <f t="shared" si="114"/>
        <v>0</v>
      </c>
      <c r="L268" s="63">
        <f t="shared" si="114"/>
        <v>0</v>
      </c>
      <c r="M268" s="63">
        <f t="shared" si="114"/>
        <v>0</v>
      </c>
      <c r="N268" s="63">
        <f t="shared" si="114"/>
        <v>0</v>
      </c>
      <c r="O268" s="63">
        <f t="shared" si="114"/>
        <v>0</v>
      </c>
      <c r="P268" s="63">
        <f t="shared" si="114"/>
        <v>0</v>
      </c>
      <c r="Q268" s="63">
        <f t="shared" si="114"/>
        <v>0</v>
      </c>
      <c r="R268" s="63">
        <f t="shared" si="115"/>
        <v>0</v>
      </c>
      <c r="S268" s="63">
        <f t="shared" si="115"/>
        <v>0</v>
      </c>
      <c r="T268" s="63">
        <f t="shared" si="115"/>
        <v>655523.71448273642</v>
      </c>
      <c r="U268" s="63">
        <f t="shared" si="115"/>
        <v>977569.74461725482</v>
      </c>
      <c r="V268" s="63">
        <f t="shared" si="115"/>
        <v>88797.523717259508</v>
      </c>
      <c r="W268" s="63">
        <f t="shared" si="115"/>
        <v>132422.01718273925</v>
      </c>
      <c r="X268" s="63">
        <f t="shared" si="115"/>
        <v>0</v>
      </c>
      <c r="Y268" s="63">
        <f t="shared" si="115"/>
        <v>0</v>
      </c>
      <c r="Z268" s="63">
        <f t="shared" si="115"/>
        <v>0</v>
      </c>
      <c r="AA268" s="63">
        <f t="shared" si="115"/>
        <v>0</v>
      </c>
      <c r="AB268" s="63">
        <f t="shared" si="115"/>
        <v>0</v>
      </c>
      <c r="AC268" s="63">
        <f t="shared" si="115"/>
        <v>0</v>
      </c>
      <c r="AD268" s="63">
        <f t="shared" si="115"/>
        <v>0</v>
      </c>
      <c r="AE268" s="63">
        <f t="shared" si="115"/>
        <v>0</v>
      </c>
      <c r="AF268" s="63">
        <f t="shared" si="116"/>
        <v>1854312.99999999</v>
      </c>
      <c r="AG268" s="58" t="str">
        <f t="shared" si="117"/>
        <v>ok</v>
      </c>
    </row>
    <row r="269" spans="1:33">
      <c r="A269" s="60">
        <v>595</v>
      </c>
      <c r="B269" s="60" t="s">
        <v>941</v>
      </c>
      <c r="C269" s="44" t="s">
        <v>942</v>
      </c>
      <c r="D269" s="44" t="s">
        <v>870</v>
      </c>
      <c r="F269" s="79">
        <v>185534.99999999901</v>
      </c>
      <c r="H269" s="63">
        <f t="shared" si="114"/>
        <v>0</v>
      </c>
      <c r="I269" s="63">
        <f t="shared" si="114"/>
        <v>0</v>
      </c>
      <c r="J269" s="63">
        <f t="shared" si="114"/>
        <v>0</v>
      </c>
      <c r="K269" s="63">
        <f t="shared" si="114"/>
        <v>0</v>
      </c>
      <c r="L269" s="63">
        <f t="shared" si="114"/>
        <v>0</v>
      </c>
      <c r="M269" s="63">
        <f t="shared" si="114"/>
        <v>0</v>
      </c>
      <c r="N269" s="63">
        <f t="shared" si="114"/>
        <v>0</v>
      </c>
      <c r="O269" s="63">
        <f t="shared" si="114"/>
        <v>0</v>
      </c>
      <c r="P269" s="63">
        <f t="shared" si="114"/>
        <v>0</v>
      </c>
      <c r="Q269" s="63">
        <f t="shared" si="114"/>
        <v>0</v>
      </c>
      <c r="R269" s="63">
        <f t="shared" si="115"/>
        <v>0</v>
      </c>
      <c r="S269" s="63">
        <f t="shared" si="115"/>
        <v>0</v>
      </c>
      <c r="T269" s="63">
        <f t="shared" si="115"/>
        <v>0</v>
      </c>
      <c r="U269" s="63">
        <f t="shared" si="115"/>
        <v>0</v>
      </c>
      <c r="V269" s="63">
        <f t="shared" si="115"/>
        <v>0</v>
      </c>
      <c r="W269" s="63">
        <f t="shared" si="115"/>
        <v>0</v>
      </c>
      <c r="X269" s="63">
        <f t="shared" si="115"/>
        <v>119130.63962282536</v>
      </c>
      <c r="Y269" s="63">
        <f t="shared" si="115"/>
        <v>66404.360377173653</v>
      </c>
      <c r="Z269" s="63">
        <f t="shared" si="115"/>
        <v>0</v>
      </c>
      <c r="AA269" s="63">
        <f t="shared" si="115"/>
        <v>0</v>
      </c>
      <c r="AB269" s="63">
        <f t="shared" si="115"/>
        <v>0</v>
      </c>
      <c r="AC269" s="63">
        <f t="shared" si="115"/>
        <v>0</v>
      </c>
      <c r="AD269" s="63">
        <f t="shared" si="115"/>
        <v>0</v>
      </c>
      <c r="AE269" s="63">
        <f t="shared" si="115"/>
        <v>0</v>
      </c>
      <c r="AF269" s="63">
        <f t="shared" si="116"/>
        <v>185534.99999999901</v>
      </c>
      <c r="AG269" s="58" t="str">
        <f t="shared" si="117"/>
        <v>ok</v>
      </c>
    </row>
    <row r="270" spans="1:33">
      <c r="A270" s="60">
        <v>596</v>
      </c>
      <c r="B270" s="60" t="s">
        <v>1076</v>
      </c>
      <c r="C270" s="44" t="s">
        <v>1077</v>
      </c>
      <c r="D270" s="44" t="s">
        <v>877</v>
      </c>
      <c r="F270" s="79">
        <v>568134</v>
      </c>
      <c r="H270" s="63">
        <f t="shared" si="114"/>
        <v>0</v>
      </c>
      <c r="I270" s="63">
        <f t="shared" si="114"/>
        <v>0</v>
      </c>
      <c r="J270" s="63">
        <f t="shared" si="114"/>
        <v>0</v>
      </c>
      <c r="K270" s="63">
        <f t="shared" si="114"/>
        <v>0</v>
      </c>
      <c r="L270" s="63">
        <f t="shared" si="114"/>
        <v>0</v>
      </c>
      <c r="M270" s="63">
        <f t="shared" si="114"/>
        <v>0</v>
      </c>
      <c r="N270" s="63">
        <f t="shared" si="114"/>
        <v>0</v>
      </c>
      <c r="O270" s="63">
        <f t="shared" si="114"/>
        <v>0</v>
      </c>
      <c r="P270" s="63">
        <f t="shared" si="114"/>
        <v>0</v>
      </c>
      <c r="Q270" s="63">
        <f t="shared" si="114"/>
        <v>0</v>
      </c>
      <c r="R270" s="63">
        <f t="shared" si="115"/>
        <v>0</v>
      </c>
      <c r="S270" s="63">
        <f t="shared" si="115"/>
        <v>0</v>
      </c>
      <c r="T270" s="63">
        <f t="shared" si="115"/>
        <v>0</v>
      </c>
      <c r="U270" s="63">
        <f t="shared" si="115"/>
        <v>0</v>
      </c>
      <c r="V270" s="63">
        <f t="shared" si="115"/>
        <v>0</v>
      </c>
      <c r="W270" s="63">
        <f t="shared" si="115"/>
        <v>0</v>
      </c>
      <c r="X270" s="63">
        <f t="shared" si="115"/>
        <v>0</v>
      </c>
      <c r="Y270" s="63">
        <f t="shared" si="115"/>
        <v>0</v>
      </c>
      <c r="Z270" s="63">
        <f t="shared" si="115"/>
        <v>0</v>
      </c>
      <c r="AA270" s="63">
        <f t="shared" si="115"/>
        <v>0</v>
      </c>
      <c r="AB270" s="63">
        <f t="shared" si="115"/>
        <v>568134</v>
      </c>
      <c r="AC270" s="63">
        <f t="shared" si="115"/>
        <v>0</v>
      </c>
      <c r="AD270" s="63">
        <f t="shared" si="115"/>
        <v>0</v>
      </c>
      <c r="AE270" s="63">
        <f t="shared" si="115"/>
        <v>0</v>
      </c>
      <c r="AF270" s="63">
        <f t="shared" si="116"/>
        <v>568134</v>
      </c>
      <c r="AG270" s="58" t="str">
        <f t="shared" si="117"/>
        <v>ok</v>
      </c>
    </row>
    <row r="271" spans="1:33">
      <c r="A271" s="60">
        <v>597</v>
      </c>
      <c r="B271" s="60" t="s">
        <v>943</v>
      </c>
      <c r="C271" s="44" t="s">
        <v>944</v>
      </c>
      <c r="D271" s="44" t="s">
        <v>874</v>
      </c>
      <c r="F271" s="79"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 t="shared" si="114"/>
        <v>0</v>
      </c>
      <c r="O271" s="63">
        <f t="shared" si="114"/>
        <v>0</v>
      </c>
      <c r="P271" s="63">
        <f t="shared" si="114"/>
        <v>0</v>
      </c>
      <c r="Q271" s="63">
        <f t="shared" si="114"/>
        <v>0</v>
      </c>
      <c r="R271" s="63">
        <f t="shared" si="115"/>
        <v>0</v>
      </c>
      <c r="S271" s="63">
        <f t="shared" si="115"/>
        <v>0</v>
      </c>
      <c r="T271" s="63">
        <f t="shared" si="115"/>
        <v>0</v>
      </c>
      <c r="U271" s="63">
        <f t="shared" si="115"/>
        <v>0</v>
      </c>
      <c r="V271" s="63">
        <f t="shared" si="115"/>
        <v>0</v>
      </c>
      <c r="W271" s="63">
        <f t="shared" si="115"/>
        <v>0</v>
      </c>
      <c r="X271" s="63">
        <f t="shared" si="115"/>
        <v>0</v>
      </c>
      <c r="Y271" s="63">
        <f t="shared" si="115"/>
        <v>0</v>
      </c>
      <c r="Z271" s="63">
        <f t="shared" si="115"/>
        <v>0</v>
      </c>
      <c r="AA271" s="63">
        <f t="shared" si="115"/>
        <v>0</v>
      </c>
      <c r="AB271" s="63">
        <f t="shared" si="115"/>
        <v>0</v>
      </c>
      <c r="AC271" s="63">
        <f t="shared" si="115"/>
        <v>0</v>
      </c>
      <c r="AD271" s="63">
        <f t="shared" si="115"/>
        <v>0</v>
      </c>
      <c r="AE271" s="63">
        <f t="shared" si="115"/>
        <v>0</v>
      </c>
      <c r="AF271" s="63">
        <f t="shared" si="116"/>
        <v>0</v>
      </c>
      <c r="AG271" s="58" t="str">
        <f t="shared" si="117"/>
        <v>ok</v>
      </c>
    </row>
    <row r="272" spans="1:33">
      <c r="A272" s="60">
        <v>598</v>
      </c>
      <c r="B272" s="60" t="s">
        <v>263</v>
      </c>
      <c r="C272" s="44" t="s">
        <v>264</v>
      </c>
      <c r="D272" s="44" t="s">
        <v>859</v>
      </c>
      <c r="F272" s="79">
        <v>870332</v>
      </c>
      <c r="H272" s="63">
        <f t="shared" si="114"/>
        <v>0</v>
      </c>
      <c r="I272" s="63">
        <f t="shared" si="114"/>
        <v>0</v>
      </c>
      <c r="J272" s="63">
        <f t="shared" si="114"/>
        <v>0</v>
      </c>
      <c r="K272" s="63">
        <f t="shared" si="114"/>
        <v>0</v>
      </c>
      <c r="L272" s="63">
        <f t="shared" si="114"/>
        <v>0</v>
      </c>
      <c r="M272" s="63">
        <f t="shared" si="114"/>
        <v>0</v>
      </c>
      <c r="N272" s="63">
        <f t="shared" si="114"/>
        <v>0</v>
      </c>
      <c r="O272" s="63">
        <f t="shared" si="114"/>
        <v>0</v>
      </c>
      <c r="P272" s="63">
        <f t="shared" si="114"/>
        <v>0</v>
      </c>
      <c r="Q272" s="63">
        <f t="shared" si="114"/>
        <v>0</v>
      </c>
      <c r="R272" s="63">
        <f t="shared" si="115"/>
        <v>108531.8746447774</v>
      </c>
      <c r="S272" s="63">
        <f t="shared" si="115"/>
        <v>0</v>
      </c>
      <c r="T272" s="63">
        <f t="shared" si="115"/>
        <v>166615.81994473952</v>
      </c>
      <c r="U272" s="63">
        <f t="shared" si="115"/>
        <v>272654.93154879799</v>
      </c>
      <c r="V272" s="63">
        <f t="shared" si="115"/>
        <v>46487.334202393678</v>
      </c>
      <c r="W272" s="63">
        <f t="shared" si="115"/>
        <v>79435.475387231651</v>
      </c>
      <c r="X272" s="63">
        <f t="shared" si="115"/>
        <v>56949.602678361422</v>
      </c>
      <c r="Y272" s="63">
        <f t="shared" si="115"/>
        <v>31744.158778663983</v>
      </c>
      <c r="Z272" s="63">
        <f t="shared" si="115"/>
        <v>20296.293636147057</v>
      </c>
      <c r="AA272" s="63">
        <f t="shared" si="115"/>
        <v>20698.717899493484</v>
      </c>
      <c r="AB272" s="63">
        <f t="shared" si="115"/>
        <v>66917.791279393932</v>
      </c>
      <c r="AC272" s="63">
        <f t="shared" si="115"/>
        <v>0</v>
      </c>
      <c r="AD272" s="63">
        <f t="shared" si="115"/>
        <v>0</v>
      </c>
      <c r="AE272" s="63">
        <f t="shared" si="115"/>
        <v>0</v>
      </c>
      <c r="AF272" s="63">
        <f t="shared" si="116"/>
        <v>870332.00000000012</v>
      </c>
      <c r="AG272" s="58" t="str">
        <f t="shared" si="117"/>
        <v>ok</v>
      </c>
    </row>
    <row r="273" spans="1:33">
      <c r="A273" s="60"/>
      <c r="B273" s="60"/>
      <c r="F273" s="79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58"/>
    </row>
    <row r="274" spans="1:33">
      <c r="A274" s="60" t="s">
        <v>945</v>
      </c>
      <c r="B274" s="60"/>
      <c r="C274" s="44" t="s">
        <v>946</v>
      </c>
      <c r="F274" s="76">
        <f t="shared" ref="F274:M274" si="118">SUM(F264:F273)</f>
        <v>21160534.999999989</v>
      </c>
      <c r="G274" s="62">
        <f t="shared" si="118"/>
        <v>0</v>
      </c>
      <c r="H274" s="62">
        <f t="shared" si="118"/>
        <v>0</v>
      </c>
      <c r="I274" s="62">
        <f t="shared" si="118"/>
        <v>0</v>
      </c>
      <c r="J274" s="62">
        <f t="shared" si="118"/>
        <v>0</v>
      </c>
      <c r="K274" s="62">
        <f t="shared" si="118"/>
        <v>0</v>
      </c>
      <c r="L274" s="62">
        <f t="shared" si="118"/>
        <v>0</v>
      </c>
      <c r="M274" s="62">
        <f t="shared" si="118"/>
        <v>0</v>
      </c>
      <c r="N274" s="62">
        <f>SUM(N264:N273)</f>
        <v>0</v>
      </c>
      <c r="O274" s="62">
        <f>SUM(O264:O273)</f>
        <v>0</v>
      </c>
      <c r="P274" s="62">
        <f>SUM(P264:P273)</f>
        <v>0</v>
      </c>
      <c r="Q274" s="62">
        <f t="shared" ref="Q274:AB274" si="119">SUM(Q264:Q273)</f>
        <v>0</v>
      </c>
      <c r="R274" s="62">
        <f t="shared" si="119"/>
        <v>1981006.3931440813</v>
      </c>
      <c r="S274" s="62">
        <f t="shared" si="119"/>
        <v>0</v>
      </c>
      <c r="T274" s="62">
        <f t="shared" si="119"/>
        <v>4837630.3213952733</v>
      </c>
      <c r="U274" s="62">
        <f t="shared" si="119"/>
        <v>8384692.0325249694</v>
      </c>
      <c r="V274" s="62">
        <f t="shared" si="119"/>
        <v>1812836.8739998282</v>
      </c>
      <c r="W274" s="62">
        <f t="shared" si="119"/>
        <v>3192731.108472527</v>
      </c>
      <c r="X274" s="62">
        <f t="shared" si="119"/>
        <v>176888.69524208215</v>
      </c>
      <c r="Y274" s="62">
        <f t="shared" si="119"/>
        <v>98599.157216752705</v>
      </c>
      <c r="Z274" s="62">
        <f t="shared" si="119"/>
        <v>20296.293636147057</v>
      </c>
      <c r="AA274" s="62">
        <f t="shared" si="119"/>
        <v>20698.717899493484</v>
      </c>
      <c r="AB274" s="62">
        <f t="shared" si="119"/>
        <v>635155.40646883484</v>
      </c>
      <c r="AC274" s="62">
        <f>SUM(AC264:AC273)</f>
        <v>0</v>
      </c>
      <c r="AD274" s="62">
        <f>SUM(AD264:AD273)</f>
        <v>0</v>
      </c>
      <c r="AE274" s="62">
        <f>SUM(AE264:AE273)</f>
        <v>0</v>
      </c>
      <c r="AF274" s="63">
        <f>SUM(H274:AE274)</f>
        <v>21160534.999999989</v>
      </c>
      <c r="AG274" s="58" t="str">
        <f>IF(ABS(AF274-F274)&lt;1,"ok","err")</f>
        <v>ok</v>
      </c>
    </row>
    <row r="275" spans="1:33">
      <c r="A275" s="60"/>
      <c r="B275" s="60"/>
      <c r="F275" s="79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G275" s="58"/>
    </row>
    <row r="276" spans="1:33">
      <c r="A276" s="60" t="s">
        <v>1078</v>
      </c>
      <c r="B276" s="60"/>
      <c r="F276" s="173">
        <f>F260+F274</f>
        <v>53083604.99999997</v>
      </c>
      <c r="G276" s="63">
        <f t="shared" ref="G276:M276" si="120">G260+G274</f>
        <v>0</v>
      </c>
      <c r="H276" s="63">
        <f t="shared" si="120"/>
        <v>0</v>
      </c>
      <c r="I276" s="63">
        <f t="shared" si="120"/>
        <v>0</v>
      </c>
      <c r="J276" s="63">
        <f t="shared" si="120"/>
        <v>0</v>
      </c>
      <c r="K276" s="63">
        <f t="shared" si="120"/>
        <v>0</v>
      </c>
      <c r="L276" s="63">
        <f t="shared" si="120"/>
        <v>0</v>
      </c>
      <c r="M276" s="63">
        <f t="shared" si="120"/>
        <v>0</v>
      </c>
      <c r="N276" s="63">
        <f>N260+N274</f>
        <v>0</v>
      </c>
      <c r="O276" s="63">
        <f>O260+O274</f>
        <v>0</v>
      </c>
      <c r="P276" s="63">
        <f>P260+P274</f>
        <v>0</v>
      </c>
      <c r="Q276" s="63">
        <f t="shared" ref="Q276:AB276" si="121">Q260+Q274</f>
        <v>0</v>
      </c>
      <c r="R276" s="63">
        <f t="shared" si="121"/>
        <v>5320872.0641060146</v>
      </c>
      <c r="S276" s="63">
        <f t="shared" si="121"/>
        <v>0</v>
      </c>
      <c r="T276" s="63">
        <f t="shared" si="121"/>
        <v>10247104.73781072</v>
      </c>
      <c r="U276" s="63">
        <f t="shared" si="121"/>
        <v>17136051.145477891</v>
      </c>
      <c r="V276" s="63">
        <f t="shared" si="121"/>
        <v>3222380.3576403731</v>
      </c>
      <c r="W276" s="63">
        <f t="shared" si="121"/>
        <v>5580825.2596069975</v>
      </c>
      <c r="X276" s="63">
        <f t="shared" si="121"/>
        <v>691763.67803688126</v>
      </c>
      <c r="Y276" s="63">
        <f t="shared" si="121"/>
        <v>385594.54324795608</v>
      </c>
      <c r="Z276" s="63">
        <f t="shared" si="121"/>
        <v>203792.81240431065</v>
      </c>
      <c r="AA276" s="63">
        <f t="shared" si="121"/>
        <v>9055068.7351165973</v>
      </c>
      <c r="AB276" s="63">
        <f t="shared" si="121"/>
        <v>1240151.6665522291</v>
      </c>
      <c r="AC276" s="63">
        <f>AC260+AC274</f>
        <v>0</v>
      </c>
      <c r="AD276" s="63">
        <f>AD260+AD274</f>
        <v>0</v>
      </c>
      <c r="AE276" s="63">
        <f>AE260+AE274</f>
        <v>0</v>
      </c>
      <c r="AF276" s="63">
        <f>SUM(H276:AE276)</f>
        <v>53083604.99999997</v>
      </c>
      <c r="AG276" s="58" t="str">
        <f>IF(ABS(AF276-F276)&lt;1,"ok","err")</f>
        <v>ok</v>
      </c>
    </row>
    <row r="277" spans="1:33">
      <c r="A277" s="60"/>
      <c r="B277" s="60"/>
      <c r="F277" s="79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G277" s="58"/>
    </row>
    <row r="278" spans="1:33">
      <c r="A278" s="60" t="s">
        <v>1079</v>
      </c>
      <c r="B278" s="60"/>
      <c r="F278" s="76">
        <f t="shared" ref="F278:M278" si="122">F276+F242</f>
        <v>80857177.999999866</v>
      </c>
      <c r="G278" s="63">
        <f t="shared" si="122"/>
        <v>0</v>
      </c>
      <c r="H278" s="63">
        <f t="shared" si="122"/>
        <v>0</v>
      </c>
      <c r="I278" s="63">
        <f t="shared" si="122"/>
        <v>0</v>
      </c>
      <c r="J278" s="63">
        <f t="shared" si="122"/>
        <v>0</v>
      </c>
      <c r="K278" s="63">
        <f t="shared" si="122"/>
        <v>0</v>
      </c>
      <c r="L278" s="63">
        <f t="shared" si="122"/>
        <v>0</v>
      </c>
      <c r="M278" s="63">
        <f t="shared" si="122"/>
        <v>0</v>
      </c>
      <c r="N278" s="63">
        <f>N276+N242</f>
        <v>27773572.999999899</v>
      </c>
      <c r="O278" s="63">
        <f>O276+O242</f>
        <v>0</v>
      </c>
      <c r="P278" s="63">
        <f>P276+P242</f>
        <v>0</v>
      </c>
      <c r="Q278" s="63">
        <f t="shared" ref="Q278:AB278" si="123">Q276+Q242</f>
        <v>0</v>
      </c>
      <c r="R278" s="63">
        <f t="shared" si="123"/>
        <v>5320872.0641060146</v>
      </c>
      <c r="S278" s="63">
        <f t="shared" si="123"/>
        <v>0</v>
      </c>
      <c r="T278" s="63">
        <f t="shared" si="123"/>
        <v>10247104.73781072</v>
      </c>
      <c r="U278" s="63">
        <f t="shared" si="123"/>
        <v>17136051.145477891</v>
      </c>
      <c r="V278" s="63">
        <f t="shared" si="123"/>
        <v>3222380.3576403731</v>
      </c>
      <c r="W278" s="63">
        <f t="shared" si="123"/>
        <v>5580825.2596069975</v>
      </c>
      <c r="X278" s="63">
        <f t="shared" si="123"/>
        <v>691763.67803688126</v>
      </c>
      <c r="Y278" s="63">
        <f t="shared" si="123"/>
        <v>385594.54324795608</v>
      </c>
      <c r="Z278" s="63">
        <f t="shared" si="123"/>
        <v>203792.81240431065</v>
      </c>
      <c r="AA278" s="63">
        <f t="shared" si="123"/>
        <v>9055068.7351165973</v>
      </c>
      <c r="AB278" s="63">
        <f t="shared" si="123"/>
        <v>1240151.6665522291</v>
      </c>
      <c r="AC278" s="63">
        <f>AC276+AC242</f>
        <v>0</v>
      </c>
      <c r="AD278" s="63">
        <f>AD276+AD242</f>
        <v>0</v>
      </c>
      <c r="AE278" s="63">
        <f>AE276+AE242</f>
        <v>0</v>
      </c>
      <c r="AF278" s="63">
        <f>SUM(H278:AE278)</f>
        <v>80857177.999999866</v>
      </c>
      <c r="AG278" s="58" t="str">
        <f>IF(ABS(AF278-F278)&lt;1,"ok","err")</f>
        <v>ok</v>
      </c>
    </row>
    <row r="279" spans="1:33">
      <c r="A279" s="60"/>
      <c r="B279" s="60"/>
      <c r="F279" s="79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G279" s="58"/>
    </row>
    <row r="280" spans="1:33">
      <c r="A280" s="60" t="s">
        <v>266</v>
      </c>
      <c r="B280" s="60"/>
      <c r="C280" s="44" t="s">
        <v>947</v>
      </c>
      <c r="F280" s="76">
        <f>F224+F242+F276</f>
        <v>538397682.77104306</v>
      </c>
      <c r="G280" s="62">
        <f>G278+G222</f>
        <v>0</v>
      </c>
      <c r="H280" s="62">
        <f t="shared" ref="H280:M280" si="124">H224+H242+H276</f>
        <v>80778953.804495692</v>
      </c>
      <c r="I280" s="62">
        <f t="shared" si="124"/>
        <v>0</v>
      </c>
      <c r="J280" s="62">
        <f t="shared" si="124"/>
        <v>0</v>
      </c>
      <c r="K280" s="62">
        <f t="shared" si="124"/>
        <v>376761550.96654743</v>
      </c>
      <c r="L280" s="62">
        <f t="shared" si="124"/>
        <v>0</v>
      </c>
      <c r="M280" s="62">
        <f t="shared" si="124"/>
        <v>0</v>
      </c>
      <c r="N280" s="62">
        <f>N224+N242+N276</f>
        <v>27773572.999999899</v>
      </c>
      <c r="O280" s="62">
        <f>O224+O242+O276</f>
        <v>0</v>
      </c>
      <c r="P280" s="62">
        <f>P224+P242+P276</f>
        <v>0</v>
      </c>
      <c r="Q280" s="62">
        <f t="shared" ref="Q280:AB280" si="125">Q224+Q242+Q276</f>
        <v>0</v>
      </c>
      <c r="R280" s="62">
        <f t="shared" si="125"/>
        <v>5320872.0641060146</v>
      </c>
      <c r="S280" s="62">
        <f t="shared" si="125"/>
        <v>0</v>
      </c>
      <c r="T280" s="62">
        <f t="shared" si="125"/>
        <v>10247104.73781072</v>
      </c>
      <c r="U280" s="62">
        <f t="shared" si="125"/>
        <v>17136051.145477891</v>
      </c>
      <c r="V280" s="62">
        <f t="shared" si="125"/>
        <v>3222380.3576403731</v>
      </c>
      <c r="W280" s="62">
        <f t="shared" si="125"/>
        <v>5580825.2596069975</v>
      </c>
      <c r="X280" s="62">
        <f t="shared" si="125"/>
        <v>691763.67803688126</v>
      </c>
      <c r="Y280" s="62">
        <f t="shared" si="125"/>
        <v>385594.54324795608</v>
      </c>
      <c r="Z280" s="62">
        <f t="shared" si="125"/>
        <v>203792.81240431065</v>
      </c>
      <c r="AA280" s="62">
        <f t="shared" si="125"/>
        <v>9055068.7351165973</v>
      </c>
      <c r="AB280" s="62">
        <f t="shared" si="125"/>
        <v>1240151.6665522291</v>
      </c>
      <c r="AC280" s="62">
        <f>AC224+AC242+AC276</f>
        <v>0</v>
      </c>
      <c r="AD280" s="62">
        <f>AD224+AD242+AD276</f>
        <v>0</v>
      </c>
      <c r="AE280" s="62">
        <f>AE224+AE242+AE276</f>
        <v>0</v>
      </c>
      <c r="AF280" s="63">
        <f>SUM(H280:AE280)</f>
        <v>538397682.77104294</v>
      </c>
      <c r="AG280" s="58" t="str">
        <f>IF(ABS(AF280-F280)&lt;1,"ok","err")</f>
        <v>ok</v>
      </c>
    </row>
    <row r="281" spans="1:33" ht="14.1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4.1">
      <c r="A282" s="65"/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4.1">
      <c r="A283" s="59" t="s">
        <v>948</v>
      </c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4.1">
      <c r="A284" s="65"/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 ht="14.1">
      <c r="A285" s="65" t="s">
        <v>949</v>
      </c>
      <c r="B285" s="60"/>
      <c r="F285" s="79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G285" s="58"/>
    </row>
    <row r="286" spans="1:33">
      <c r="A286" s="60">
        <v>901</v>
      </c>
      <c r="B286" s="60" t="s">
        <v>950</v>
      </c>
      <c r="C286" s="44" t="s">
        <v>951</v>
      </c>
      <c r="D286" s="44" t="s">
        <v>640</v>
      </c>
      <c r="F286" s="76">
        <v>1498909.44</v>
      </c>
      <c r="H286" s="63">
        <f t="shared" ref="H286:Q290" si="126">IF(VLOOKUP($D286,$C$6:$AE$653,H$2,)=0,0,((VLOOKUP($D286,$C$6:$AE$653,H$2,)/VLOOKUP($D286,$C$6:$AE$653,4,))*$F286))</f>
        <v>0</v>
      </c>
      <c r="I286" s="63">
        <f t="shared" si="126"/>
        <v>0</v>
      </c>
      <c r="J286" s="63">
        <f t="shared" si="126"/>
        <v>0</v>
      </c>
      <c r="K286" s="63">
        <f t="shared" si="126"/>
        <v>0</v>
      </c>
      <c r="L286" s="63">
        <f t="shared" si="126"/>
        <v>0</v>
      </c>
      <c r="M286" s="63">
        <f t="shared" si="126"/>
        <v>0</v>
      </c>
      <c r="N286" s="63">
        <f t="shared" si="126"/>
        <v>0</v>
      </c>
      <c r="O286" s="63">
        <f t="shared" si="126"/>
        <v>0</v>
      </c>
      <c r="P286" s="63">
        <f t="shared" si="126"/>
        <v>0</v>
      </c>
      <c r="Q286" s="63">
        <f t="shared" si="126"/>
        <v>0</v>
      </c>
      <c r="R286" s="63">
        <f t="shared" ref="R286:AE290" si="127">IF(VLOOKUP($D286,$C$6:$AE$653,R$2,)=0,0,((VLOOKUP($D286,$C$6:$AE$653,R$2,)/VLOOKUP($D286,$C$6:$AE$653,4,))*$F286))</f>
        <v>0</v>
      </c>
      <c r="S286" s="63">
        <f t="shared" si="127"/>
        <v>0</v>
      </c>
      <c r="T286" s="63">
        <f t="shared" si="127"/>
        <v>0</v>
      </c>
      <c r="U286" s="63">
        <f t="shared" si="127"/>
        <v>0</v>
      </c>
      <c r="V286" s="63">
        <f t="shared" si="127"/>
        <v>0</v>
      </c>
      <c r="W286" s="63">
        <f t="shared" si="127"/>
        <v>0</v>
      </c>
      <c r="X286" s="63">
        <f t="shared" si="127"/>
        <v>0</v>
      </c>
      <c r="Y286" s="63">
        <f t="shared" si="127"/>
        <v>0</v>
      </c>
      <c r="Z286" s="63">
        <f t="shared" si="127"/>
        <v>0</v>
      </c>
      <c r="AA286" s="63">
        <f t="shared" si="127"/>
        <v>0</v>
      </c>
      <c r="AB286" s="63">
        <f t="shared" si="127"/>
        <v>0</v>
      </c>
      <c r="AC286" s="63">
        <f t="shared" si="127"/>
        <v>1498909.44</v>
      </c>
      <c r="AD286" s="63">
        <f t="shared" si="127"/>
        <v>0</v>
      </c>
      <c r="AE286" s="63">
        <f t="shared" si="127"/>
        <v>0</v>
      </c>
      <c r="AF286" s="63">
        <f>SUM(H286:AE286)</f>
        <v>1498909.44</v>
      </c>
      <c r="AG286" s="58" t="str">
        <f>IF(ABS(AF286-F286)&lt;1,"ok","err")</f>
        <v>ok</v>
      </c>
    </row>
    <row r="287" spans="1:33">
      <c r="A287" s="60">
        <v>902</v>
      </c>
      <c r="B287" s="60" t="s">
        <v>953</v>
      </c>
      <c r="C287" s="44" t="s">
        <v>954</v>
      </c>
      <c r="D287" s="44" t="s">
        <v>640</v>
      </c>
      <c r="F287" s="79">
        <v>3820562.48</v>
      </c>
      <c r="H287" s="63">
        <f t="shared" si="126"/>
        <v>0</v>
      </c>
      <c r="I287" s="63">
        <f t="shared" si="126"/>
        <v>0</v>
      </c>
      <c r="J287" s="63">
        <f t="shared" si="126"/>
        <v>0</v>
      </c>
      <c r="K287" s="63">
        <f t="shared" si="126"/>
        <v>0</v>
      </c>
      <c r="L287" s="63">
        <f t="shared" si="126"/>
        <v>0</v>
      </c>
      <c r="M287" s="63">
        <f t="shared" si="126"/>
        <v>0</v>
      </c>
      <c r="N287" s="63">
        <f t="shared" si="126"/>
        <v>0</v>
      </c>
      <c r="O287" s="63">
        <f t="shared" si="126"/>
        <v>0</v>
      </c>
      <c r="P287" s="63">
        <f t="shared" si="126"/>
        <v>0</v>
      </c>
      <c r="Q287" s="63">
        <f t="shared" si="126"/>
        <v>0</v>
      </c>
      <c r="R287" s="63">
        <f t="shared" si="127"/>
        <v>0</v>
      </c>
      <c r="S287" s="63">
        <f t="shared" si="127"/>
        <v>0</v>
      </c>
      <c r="T287" s="63">
        <f t="shared" si="127"/>
        <v>0</v>
      </c>
      <c r="U287" s="63">
        <f t="shared" si="127"/>
        <v>0</v>
      </c>
      <c r="V287" s="63">
        <f t="shared" si="127"/>
        <v>0</v>
      </c>
      <c r="W287" s="63">
        <f t="shared" si="127"/>
        <v>0</v>
      </c>
      <c r="X287" s="63">
        <f t="shared" si="127"/>
        <v>0</v>
      </c>
      <c r="Y287" s="63">
        <f t="shared" si="127"/>
        <v>0</v>
      </c>
      <c r="Z287" s="63">
        <f t="shared" si="127"/>
        <v>0</v>
      </c>
      <c r="AA287" s="63">
        <f t="shared" si="127"/>
        <v>0</v>
      </c>
      <c r="AB287" s="63">
        <f t="shared" si="127"/>
        <v>0</v>
      </c>
      <c r="AC287" s="63">
        <f t="shared" si="127"/>
        <v>3820562.48</v>
      </c>
      <c r="AD287" s="63">
        <f t="shared" si="127"/>
        <v>0</v>
      </c>
      <c r="AE287" s="63">
        <f t="shared" si="127"/>
        <v>0</v>
      </c>
      <c r="AF287" s="63">
        <f>SUM(H287:AE287)</f>
        <v>3820562.48</v>
      </c>
      <c r="AG287" s="58" t="str">
        <f>IF(ABS(AF287-F287)&lt;1,"ok","err")</f>
        <v>ok</v>
      </c>
    </row>
    <row r="288" spans="1:33">
      <c r="A288" s="60">
        <v>903</v>
      </c>
      <c r="B288" s="60" t="s">
        <v>28</v>
      </c>
      <c r="C288" s="44" t="s">
        <v>955</v>
      </c>
      <c r="D288" s="44" t="s">
        <v>640</v>
      </c>
      <c r="F288" s="79">
        <v>7929805.5199999996</v>
      </c>
      <c r="H288" s="63">
        <f t="shared" si="126"/>
        <v>0</v>
      </c>
      <c r="I288" s="63">
        <f t="shared" si="126"/>
        <v>0</v>
      </c>
      <c r="J288" s="63">
        <f t="shared" si="126"/>
        <v>0</v>
      </c>
      <c r="K288" s="63">
        <f t="shared" si="126"/>
        <v>0</v>
      </c>
      <c r="L288" s="63">
        <f t="shared" si="126"/>
        <v>0</v>
      </c>
      <c r="M288" s="63">
        <f t="shared" si="126"/>
        <v>0</v>
      </c>
      <c r="N288" s="63">
        <f t="shared" si="126"/>
        <v>0</v>
      </c>
      <c r="O288" s="63">
        <f t="shared" si="126"/>
        <v>0</v>
      </c>
      <c r="P288" s="63">
        <f t="shared" si="126"/>
        <v>0</v>
      </c>
      <c r="Q288" s="63">
        <f t="shared" si="126"/>
        <v>0</v>
      </c>
      <c r="R288" s="63">
        <f t="shared" si="127"/>
        <v>0</v>
      </c>
      <c r="S288" s="63">
        <f t="shared" si="127"/>
        <v>0</v>
      </c>
      <c r="T288" s="63">
        <f t="shared" si="127"/>
        <v>0</v>
      </c>
      <c r="U288" s="63">
        <f t="shared" si="127"/>
        <v>0</v>
      </c>
      <c r="V288" s="63">
        <f t="shared" si="127"/>
        <v>0</v>
      </c>
      <c r="W288" s="63">
        <f t="shared" si="127"/>
        <v>0</v>
      </c>
      <c r="X288" s="63">
        <f t="shared" si="127"/>
        <v>0</v>
      </c>
      <c r="Y288" s="63">
        <f t="shared" si="127"/>
        <v>0</v>
      </c>
      <c r="Z288" s="63">
        <f t="shared" si="127"/>
        <v>0</v>
      </c>
      <c r="AA288" s="63">
        <f t="shared" si="127"/>
        <v>0</v>
      </c>
      <c r="AB288" s="63">
        <f t="shared" si="127"/>
        <v>0</v>
      </c>
      <c r="AC288" s="63">
        <f t="shared" si="127"/>
        <v>7929805.5199999996</v>
      </c>
      <c r="AD288" s="63">
        <f t="shared" si="127"/>
        <v>0</v>
      </c>
      <c r="AE288" s="63">
        <f t="shared" si="127"/>
        <v>0</v>
      </c>
      <c r="AF288" s="63">
        <f>SUM(H288:AE288)</f>
        <v>7929805.5199999996</v>
      </c>
      <c r="AG288" s="58" t="str">
        <f>IF(ABS(AF288-F288)&lt;1,"ok","err")</f>
        <v>ok</v>
      </c>
    </row>
    <row r="289" spans="1:33">
      <c r="A289" s="60">
        <v>904</v>
      </c>
      <c r="B289" s="60" t="s">
        <v>956</v>
      </c>
      <c r="C289" s="44" t="s">
        <v>957</v>
      </c>
      <c r="D289" s="44" t="s">
        <v>640</v>
      </c>
      <c r="F289" s="79">
        <v>2225667.78521111</v>
      </c>
      <c r="H289" s="63">
        <f t="shared" si="126"/>
        <v>0</v>
      </c>
      <c r="I289" s="63">
        <f t="shared" si="126"/>
        <v>0</v>
      </c>
      <c r="J289" s="63">
        <f t="shared" si="126"/>
        <v>0</v>
      </c>
      <c r="K289" s="63">
        <f t="shared" si="126"/>
        <v>0</v>
      </c>
      <c r="L289" s="63">
        <f t="shared" si="126"/>
        <v>0</v>
      </c>
      <c r="M289" s="63">
        <f t="shared" si="126"/>
        <v>0</v>
      </c>
      <c r="N289" s="63">
        <f t="shared" si="126"/>
        <v>0</v>
      </c>
      <c r="O289" s="63">
        <f t="shared" si="126"/>
        <v>0</v>
      </c>
      <c r="P289" s="63">
        <f t="shared" si="126"/>
        <v>0</v>
      </c>
      <c r="Q289" s="63">
        <f t="shared" si="126"/>
        <v>0</v>
      </c>
      <c r="R289" s="63">
        <f t="shared" si="127"/>
        <v>0</v>
      </c>
      <c r="S289" s="63">
        <f t="shared" si="127"/>
        <v>0</v>
      </c>
      <c r="T289" s="63">
        <f t="shared" si="127"/>
        <v>0</v>
      </c>
      <c r="U289" s="63">
        <f t="shared" si="127"/>
        <v>0</v>
      </c>
      <c r="V289" s="63">
        <f t="shared" si="127"/>
        <v>0</v>
      </c>
      <c r="W289" s="63">
        <f t="shared" si="127"/>
        <v>0</v>
      </c>
      <c r="X289" s="63">
        <f t="shared" si="127"/>
        <v>0</v>
      </c>
      <c r="Y289" s="63">
        <f t="shared" si="127"/>
        <v>0</v>
      </c>
      <c r="Z289" s="63">
        <f t="shared" si="127"/>
        <v>0</v>
      </c>
      <c r="AA289" s="63">
        <f t="shared" si="127"/>
        <v>0</v>
      </c>
      <c r="AB289" s="63">
        <f t="shared" si="127"/>
        <v>0</v>
      </c>
      <c r="AC289" s="63">
        <f t="shared" si="127"/>
        <v>2225667.78521111</v>
      </c>
      <c r="AD289" s="63">
        <f t="shared" si="127"/>
        <v>0</v>
      </c>
      <c r="AE289" s="63">
        <f t="shared" si="127"/>
        <v>0</v>
      </c>
      <c r="AF289" s="63">
        <f>SUM(H289:AE289)</f>
        <v>2225667.78521111</v>
      </c>
      <c r="AG289" s="58" t="str">
        <f>IF(ABS(AF289-F289)&lt;1,"ok","err")</f>
        <v>ok</v>
      </c>
    </row>
    <row r="290" spans="1:33">
      <c r="A290" s="60">
        <v>905</v>
      </c>
      <c r="B290" s="60" t="s">
        <v>29</v>
      </c>
      <c r="C290" s="44" t="s">
        <v>955</v>
      </c>
      <c r="D290" s="44" t="s">
        <v>640</v>
      </c>
      <c r="F290" s="79">
        <v>0</v>
      </c>
      <c r="H290" s="63">
        <f t="shared" si="126"/>
        <v>0</v>
      </c>
      <c r="I290" s="63">
        <f t="shared" si="126"/>
        <v>0</v>
      </c>
      <c r="J290" s="63">
        <f t="shared" si="126"/>
        <v>0</v>
      </c>
      <c r="K290" s="63">
        <f t="shared" si="126"/>
        <v>0</v>
      </c>
      <c r="L290" s="63">
        <f t="shared" si="126"/>
        <v>0</v>
      </c>
      <c r="M290" s="63">
        <f t="shared" si="126"/>
        <v>0</v>
      </c>
      <c r="N290" s="63">
        <f t="shared" si="126"/>
        <v>0</v>
      </c>
      <c r="O290" s="63">
        <f t="shared" si="126"/>
        <v>0</v>
      </c>
      <c r="P290" s="63">
        <f t="shared" si="126"/>
        <v>0</v>
      </c>
      <c r="Q290" s="63">
        <f t="shared" si="126"/>
        <v>0</v>
      </c>
      <c r="R290" s="63">
        <f t="shared" si="127"/>
        <v>0</v>
      </c>
      <c r="S290" s="63">
        <f t="shared" si="127"/>
        <v>0</v>
      </c>
      <c r="T290" s="63">
        <f t="shared" si="127"/>
        <v>0</v>
      </c>
      <c r="U290" s="63">
        <f t="shared" si="127"/>
        <v>0</v>
      </c>
      <c r="V290" s="63">
        <f t="shared" si="127"/>
        <v>0</v>
      </c>
      <c r="W290" s="63">
        <f t="shared" si="127"/>
        <v>0</v>
      </c>
      <c r="X290" s="63">
        <f t="shared" si="127"/>
        <v>0</v>
      </c>
      <c r="Y290" s="63">
        <f t="shared" si="127"/>
        <v>0</v>
      </c>
      <c r="Z290" s="63">
        <f t="shared" si="127"/>
        <v>0</v>
      </c>
      <c r="AA290" s="63">
        <f t="shared" si="127"/>
        <v>0</v>
      </c>
      <c r="AB290" s="63">
        <f t="shared" si="127"/>
        <v>0</v>
      </c>
      <c r="AC290" s="63">
        <f t="shared" si="127"/>
        <v>0</v>
      </c>
      <c r="AD290" s="63">
        <f t="shared" si="127"/>
        <v>0</v>
      </c>
      <c r="AE290" s="63">
        <f t="shared" si="127"/>
        <v>0</v>
      </c>
      <c r="AF290" s="63">
        <f>SUM(H290:AE290)</f>
        <v>0</v>
      </c>
      <c r="AG290" s="58" t="str">
        <f>IF(ABS(AF290-F290)&lt;1,"ok","err")</f>
        <v>ok</v>
      </c>
    </row>
    <row r="291" spans="1:33" ht="14.1">
      <c r="A291" s="65"/>
      <c r="B291" s="60"/>
      <c r="F291" s="79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58"/>
    </row>
    <row r="292" spans="1:33">
      <c r="A292" s="60" t="s">
        <v>958</v>
      </c>
      <c r="B292" s="60"/>
      <c r="C292" s="44" t="s">
        <v>959</v>
      </c>
      <c r="F292" s="173">
        <f t="shared" ref="F292:M292" si="128">SUM(F286:F291)</f>
        <v>15474945.22521111</v>
      </c>
      <c r="G292" s="62">
        <f t="shared" si="128"/>
        <v>0</v>
      </c>
      <c r="H292" s="62">
        <f t="shared" si="128"/>
        <v>0</v>
      </c>
      <c r="I292" s="62">
        <f t="shared" si="128"/>
        <v>0</v>
      </c>
      <c r="J292" s="62">
        <f t="shared" si="128"/>
        <v>0</v>
      </c>
      <c r="K292" s="62">
        <f t="shared" si="128"/>
        <v>0</v>
      </c>
      <c r="L292" s="62">
        <f t="shared" si="128"/>
        <v>0</v>
      </c>
      <c r="M292" s="62">
        <f t="shared" si="128"/>
        <v>0</v>
      </c>
      <c r="N292" s="62">
        <f>SUM(N286:N291)</f>
        <v>0</v>
      </c>
      <c r="O292" s="62">
        <f>SUM(O286:O291)</f>
        <v>0</v>
      </c>
      <c r="P292" s="62">
        <f>SUM(P286:P291)</f>
        <v>0</v>
      </c>
      <c r="Q292" s="62">
        <f t="shared" ref="Q292:AB292" si="129">SUM(Q286:Q291)</f>
        <v>0</v>
      </c>
      <c r="R292" s="62">
        <f t="shared" si="129"/>
        <v>0</v>
      </c>
      <c r="S292" s="62">
        <f t="shared" si="129"/>
        <v>0</v>
      </c>
      <c r="T292" s="62">
        <f t="shared" si="129"/>
        <v>0</v>
      </c>
      <c r="U292" s="62">
        <f t="shared" si="129"/>
        <v>0</v>
      </c>
      <c r="V292" s="62">
        <f t="shared" si="129"/>
        <v>0</v>
      </c>
      <c r="W292" s="62">
        <f t="shared" si="129"/>
        <v>0</v>
      </c>
      <c r="X292" s="62">
        <f t="shared" si="129"/>
        <v>0</v>
      </c>
      <c r="Y292" s="62">
        <f t="shared" si="129"/>
        <v>0</v>
      </c>
      <c r="Z292" s="62">
        <f t="shared" si="129"/>
        <v>0</v>
      </c>
      <c r="AA292" s="62">
        <f t="shared" si="129"/>
        <v>0</v>
      </c>
      <c r="AB292" s="62">
        <f t="shared" si="129"/>
        <v>0</v>
      </c>
      <c r="AC292" s="62">
        <f>SUM(AC286:AC291)</f>
        <v>15474945.22521111</v>
      </c>
      <c r="AD292" s="62">
        <f>SUM(AD286:AD291)</f>
        <v>0</v>
      </c>
      <c r="AE292" s="62">
        <f>SUM(AE286:AE291)</f>
        <v>0</v>
      </c>
      <c r="AF292" s="63">
        <f>SUM(H292:AE292)</f>
        <v>15474945.22521111</v>
      </c>
      <c r="AG292" s="58" t="str">
        <f>IF(ABS(AF292-F292)&lt;1,"ok","err")</f>
        <v>ok</v>
      </c>
    </row>
    <row r="293" spans="1:33">
      <c r="A293" s="60"/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 ht="14.1">
      <c r="A294" s="65" t="s">
        <v>960</v>
      </c>
      <c r="B294" s="60"/>
      <c r="F294" s="79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G294" s="58"/>
    </row>
    <row r="295" spans="1:33">
      <c r="A295" s="60">
        <v>907</v>
      </c>
      <c r="B295" s="60" t="s">
        <v>1081</v>
      </c>
      <c r="C295" s="44" t="s">
        <v>961</v>
      </c>
      <c r="D295" s="44" t="s">
        <v>641</v>
      </c>
      <c r="F295" s="76">
        <v>199517.76</v>
      </c>
      <c r="H295" s="63">
        <f t="shared" ref="H295:Q304" si="130">IF(VLOOKUP($D295,$C$6:$AE$653,H$2,)=0,0,((VLOOKUP($D295,$C$6:$AE$653,H$2,)/VLOOKUP($D295,$C$6:$AE$653,4,))*$F295))</f>
        <v>0</v>
      </c>
      <c r="I295" s="63">
        <f t="shared" si="130"/>
        <v>0</v>
      </c>
      <c r="J295" s="63">
        <f t="shared" si="130"/>
        <v>0</v>
      </c>
      <c r="K295" s="63">
        <f t="shared" si="130"/>
        <v>0</v>
      </c>
      <c r="L295" s="63">
        <f t="shared" si="130"/>
        <v>0</v>
      </c>
      <c r="M295" s="63">
        <f t="shared" si="130"/>
        <v>0</v>
      </c>
      <c r="N295" s="63">
        <f t="shared" si="130"/>
        <v>0</v>
      </c>
      <c r="O295" s="63">
        <f t="shared" si="130"/>
        <v>0</v>
      </c>
      <c r="P295" s="63">
        <f t="shared" si="130"/>
        <v>0</v>
      </c>
      <c r="Q295" s="63">
        <f t="shared" si="130"/>
        <v>0</v>
      </c>
      <c r="R295" s="63">
        <f t="shared" ref="R295:AE304" si="131">IF(VLOOKUP($D295,$C$6:$AE$653,R$2,)=0,0,((VLOOKUP($D295,$C$6:$AE$653,R$2,)/VLOOKUP($D295,$C$6:$AE$653,4,))*$F295))</f>
        <v>0</v>
      </c>
      <c r="S295" s="63">
        <f t="shared" si="131"/>
        <v>0</v>
      </c>
      <c r="T295" s="63">
        <f t="shared" si="131"/>
        <v>0</v>
      </c>
      <c r="U295" s="63">
        <f t="shared" si="131"/>
        <v>0</v>
      </c>
      <c r="V295" s="63">
        <f t="shared" si="131"/>
        <v>0</v>
      </c>
      <c r="W295" s="63">
        <f t="shared" si="131"/>
        <v>0</v>
      </c>
      <c r="X295" s="63">
        <f t="shared" si="131"/>
        <v>0</v>
      </c>
      <c r="Y295" s="63">
        <f t="shared" si="131"/>
        <v>0</v>
      </c>
      <c r="Z295" s="63">
        <f t="shared" si="131"/>
        <v>0</v>
      </c>
      <c r="AA295" s="63">
        <f t="shared" si="131"/>
        <v>0</v>
      </c>
      <c r="AB295" s="63">
        <f t="shared" si="131"/>
        <v>0</v>
      </c>
      <c r="AC295" s="63">
        <f t="shared" si="131"/>
        <v>0</v>
      </c>
      <c r="AD295" s="63">
        <f t="shared" si="131"/>
        <v>199517.76</v>
      </c>
      <c r="AE295" s="63">
        <f t="shared" si="131"/>
        <v>0</v>
      </c>
      <c r="AF295" s="63">
        <f t="shared" ref="AF295:AF304" si="132">SUM(H295:AE295)</f>
        <v>199517.76</v>
      </c>
      <c r="AG295" s="58" t="str">
        <f t="shared" ref="AG295:AG304" si="133">IF(ABS(AF295-F295)&lt;1,"ok","err")</f>
        <v>ok</v>
      </c>
    </row>
    <row r="296" spans="1:33">
      <c r="A296" s="60">
        <v>908</v>
      </c>
      <c r="B296" s="60" t="s">
        <v>963</v>
      </c>
      <c r="C296" s="44" t="s">
        <v>964</v>
      </c>
      <c r="D296" s="44" t="s">
        <v>641</v>
      </c>
      <c r="F296" s="79">
        <f>8214568.80158564-7393203</f>
        <v>821365.80158563983</v>
      </c>
      <c r="H296" s="63">
        <f t="shared" si="130"/>
        <v>0</v>
      </c>
      <c r="I296" s="63">
        <f t="shared" si="130"/>
        <v>0</v>
      </c>
      <c r="J296" s="63">
        <f t="shared" si="130"/>
        <v>0</v>
      </c>
      <c r="K296" s="63">
        <f t="shared" si="130"/>
        <v>0</v>
      </c>
      <c r="L296" s="63">
        <f t="shared" si="130"/>
        <v>0</v>
      </c>
      <c r="M296" s="63">
        <f t="shared" si="130"/>
        <v>0</v>
      </c>
      <c r="N296" s="63">
        <f t="shared" si="130"/>
        <v>0</v>
      </c>
      <c r="O296" s="63">
        <f t="shared" si="130"/>
        <v>0</v>
      </c>
      <c r="P296" s="63">
        <f t="shared" si="130"/>
        <v>0</v>
      </c>
      <c r="Q296" s="63">
        <f t="shared" si="130"/>
        <v>0</v>
      </c>
      <c r="R296" s="63">
        <f t="shared" si="131"/>
        <v>0</v>
      </c>
      <c r="S296" s="63">
        <f t="shared" si="131"/>
        <v>0</v>
      </c>
      <c r="T296" s="63">
        <f t="shared" si="131"/>
        <v>0</v>
      </c>
      <c r="U296" s="63">
        <f t="shared" si="131"/>
        <v>0</v>
      </c>
      <c r="V296" s="63">
        <f t="shared" si="131"/>
        <v>0</v>
      </c>
      <c r="W296" s="63">
        <f t="shared" si="131"/>
        <v>0</v>
      </c>
      <c r="X296" s="63">
        <f t="shared" si="131"/>
        <v>0</v>
      </c>
      <c r="Y296" s="63">
        <f t="shared" si="131"/>
        <v>0</v>
      </c>
      <c r="Z296" s="63">
        <f t="shared" si="131"/>
        <v>0</v>
      </c>
      <c r="AA296" s="63">
        <f t="shared" si="131"/>
        <v>0</v>
      </c>
      <c r="AB296" s="63">
        <f t="shared" si="131"/>
        <v>0</v>
      </c>
      <c r="AC296" s="63">
        <f t="shared" si="131"/>
        <v>0</v>
      </c>
      <c r="AD296" s="63">
        <f t="shared" si="131"/>
        <v>821365.80158563983</v>
      </c>
      <c r="AE296" s="63">
        <f t="shared" si="131"/>
        <v>0</v>
      </c>
      <c r="AF296" s="63">
        <f t="shared" si="132"/>
        <v>821365.80158563983</v>
      </c>
      <c r="AG296" s="58" t="str">
        <f t="shared" si="133"/>
        <v>ok</v>
      </c>
    </row>
    <row r="297" spans="1:33">
      <c r="A297" s="60">
        <v>908</v>
      </c>
      <c r="B297" s="60" t="s">
        <v>180</v>
      </c>
      <c r="C297" s="44" t="s">
        <v>31</v>
      </c>
      <c r="D297" s="44" t="s">
        <v>641</v>
      </c>
      <c r="F297" s="79"/>
      <c r="H297" s="63">
        <f t="shared" si="130"/>
        <v>0</v>
      </c>
      <c r="I297" s="63">
        <f t="shared" si="130"/>
        <v>0</v>
      </c>
      <c r="J297" s="63">
        <f t="shared" si="130"/>
        <v>0</v>
      </c>
      <c r="K297" s="63">
        <f t="shared" si="130"/>
        <v>0</v>
      </c>
      <c r="L297" s="63">
        <f t="shared" si="130"/>
        <v>0</v>
      </c>
      <c r="M297" s="63">
        <f t="shared" si="130"/>
        <v>0</v>
      </c>
      <c r="N297" s="63">
        <f t="shared" si="130"/>
        <v>0</v>
      </c>
      <c r="O297" s="63">
        <f t="shared" si="130"/>
        <v>0</v>
      </c>
      <c r="P297" s="63">
        <f t="shared" si="130"/>
        <v>0</v>
      </c>
      <c r="Q297" s="63">
        <f t="shared" si="130"/>
        <v>0</v>
      </c>
      <c r="R297" s="63">
        <f t="shared" si="131"/>
        <v>0</v>
      </c>
      <c r="S297" s="63">
        <f t="shared" si="131"/>
        <v>0</v>
      </c>
      <c r="T297" s="63">
        <f t="shared" si="131"/>
        <v>0</v>
      </c>
      <c r="U297" s="63">
        <f t="shared" si="131"/>
        <v>0</v>
      </c>
      <c r="V297" s="63">
        <f t="shared" si="131"/>
        <v>0</v>
      </c>
      <c r="W297" s="63">
        <f t="shared" si="131"/>
        <v>0</v>
      </c>
      <c r="X297" s="63">
        <f t="shared" si="131"/>
        <v>0</v>
      </c>
      <c r="Y297" s="63">
        <f t="shared" si="131"/>
        <v>0</v>
      </c>
      <c r="Z297" s="63">
        <f t="shared" si="131"/>
        <v>0</v>
      </c>
      <c r="AA297" s="63">
        <f t="shared" si="131"/>
        <v>0</v>
      </c>
      <c r="AB297" s="63">
        <f t="shared" si="131"/>
        <v>0</v>
      </c>
      <c r="AC297" s="63">
        <f t="shared" si="131"/>
        <v>0</v>
      </c>
      <c r="AD297" s="63">
        <f t="shared" si="131"/>
        <v>0</v>
      </c>
      <c r="AE297" s="63">
        <f t="shared" si="131"/>
        <v>0</v>
      </c>
      <c r="AF297" s="63">
        <f t="shared" si="132"/>
        <v>0</v>
      </c>
      <c r="AG297" s="58" t="str">
        <f t="shared" si="133"/>
        <v>ok</v>
      </c>
    </row>
    <row r="298" spans="1:33">
      <c r="A298" s="60">
        <v>909</v>
      </c>
      <c r="B298" s="60" t="s">
        <v>965</v>
      </c>
      <c r="C298" s="44" t="s">
        <v>966</v>
      </c>
      <c r="D298" s="44" t="s">
        <v>641</v>
      </c>
      <c r="F298" s="79">
        <v>1201024.95999999</v>
      </c>
      <c r="H298" s="63">
        <f t="shared" si="130"/>
        <v>0</v>
      </c>
      <c r="I298" s="63">
        <f t="shared" si="130"/>
        <v>0</v>
      </c>
      <c r="J298" s="63">
        <f t="shared" si="130"/>
        <v>0</v>
      </c>
      <c r="K298" s="63">
        <f t="shared" si="130"/>
        <v>0</v>
      </c>
      <c r="L298" s="63">
        <f t="shared" si="130"/>
        <v>0</v>
      </c>
      <c r="M298" s="63">
        <f t="shared" si="130"/>
        <v>0</v>
      </c>
      <c r="N298" s="63">
        <f t="shared" si="130"/>
        <v>0</v>
      </c>
      <c r="O298" s="63">
        <f t="shared" si="130"/>
        <v>0</v>
      </c>
      <c r="P298" s="63">
        <f t="shared" si="130"/>
        <v>0</v>
      </c>
      <c r="Q298" s="63">
        <f t="shared" si="130"/>
        <v>0</v>
      </c>
      <c r="R298" s="63">
        <f t="shared" si="131"/>
        <v>0</v>
      </c>
      <c r="S298" s="63">
        <f t="shared" si="131"/>
        <v>0</v>
      </c>
      <c r="T298" s="63">
        <f t="shared" si="131"/>
        <v>0</v>
      </c>
      <c r="U298" s="63">
        <f t="shared" si="131"/>
        <v>0</v>
      </c>
      <c r="V298" s="63">
        <f t="shared" si="131"/>
        <v>0</v>
      </c>
      <c r="W298" s="63">
        <f t="shared" si="131"/>
        <v>0</v>
      </c>
      <c r="X298" s="63">
        <f t="shared" si="131"/>
        <v>0</v>
      </c>
      <c r="Y298" s="63">
        <f t="shared" si="131"/>
        <v>0</v>
      </c>
      <c r="Z298" s="63">
        <f t="shared" si="131"/>
        <v>0</v>
      </c>
      <c r="AA298" s="63">
        <f t="shared" si="131"/>
        <v>0</v>
      </c>
      <c r="AB298" s="63">
        <f t="shared" si="131"/>
        <v>0</v>
      </c>
      <c r="AC298" s="63">
        <f t="shared" si="131"/>
        <v>0</v>
      </c>
      <c r="AD298" s="63">
        <f t="shared" si="131"/>
        <v>1201024.95999999</v>
      </c>
      <c r="AE298" s="63">
        <f t="shared" si="131"/>
        <v>0</v>
      </c>
      <c r="AF298" s="63">
        <f t="shared" si="132"/>
        <v>1201024.95999999</v>
      </c>
      <c r="AG298" s="58" t="str">
        <f t="shared" si="133"/>
        <v>ok</v>
      </c>
    </row>
    <row r="299" spans="1:33">
      <c r="A299" s="60">
        <v>909</v>
      </c>
      <c r="B299" s="60" t="s">
        <v>32</v>
      </c>
      <c r="C299" s="44" t="s">
        <v>33</v>
      </c>
      <c r="D299" s="44" t="s">
        <v>641</v>
      </c>
      <c r="F299" s="79"/>
      <c r="H299" s="63">
        <f t="shared" si="130"/>
        <v>0</v>
      </c>
      <c r="I299" s="63">
        <f t="shared" si="130"/>
        <v>0</v>
      </c>
      <c r="J299" s="63">
        <f t="shared" si="130"/>
        <v>0</v>
      </c>
      <c r="K299" s="63">
        <f t="shared" si="130"/>
        <v>0</v>
      </c>
      <c r="L299" s="63">
        <f t="shared" si="130"/>
        <v>0</v>
      </c>
      <c r="M299" s="63">
        <f t="shared" si="130"/>
        <v>0</v>
      </c>
      <c r="N299" s="63">
        <f t="shared" si="130"/>
        <v>0</v>
      </c>
      <c r="O299" s="63">
        <f t="shared" si="130"/>
        <v>0</v>
      </c>
      <c r="P299" s="63">
        <f t="shared" si="130"/>
        <v>0</v>
      </c>
      <c r="Q299" s="63">
        <f t="shared" si="130"/>
        <v>0</v>
      </c>
      <c r="R299" s="63">
        <f t="shared" si="131"/>
        <v>0</v>
      </c>
      <c r="S299" s="63">
        <f t="shared" si="131"/>
        <v>0</v>
      </c>
      <c r="T299" s="63">
        <f t="shared" si="131"/>
        <v>0</v>
      </c>
      <c r="U299" s="63">
        <f t="shared" si="131"/>
        <v>0</v>
      </c>
      <c r="V299" s="63">
        <f t="shared" si="131"/>
        <v>0</v>
      </c>
      <c r="W299" s="63">
        <f t="shared" si="131"/>
        <v>0</v>
      </c>
      <c r="X299" s="63">
        <f t="shared" si="131"/>
        <v>0</v>
      </c>
      <c r="Y299" s="63">
        <f t="shared" si="131"/>
        <v>0</v>
      </c>
      <c r="Z299" s="63">
        <f t="shared" si="131"/>
        <v>0</v>
      </c>
      <c r="AA299" s="63">
        <f t="shared" si="131"/>
        <v>0</v>
      </c>
      <c r="AB299" s="63">
        <f t="shared" si="131"/>
        <v>0</v>
      </c>
      <c r="AC299" s="63">
        <f t="shared" si="131"/>
        <v>0</v>
      </c>
      <c r="AD299" s="63">
        <f t="shared" si="131"/>
        <v>0</v>
      </c>
      <c r="AE299" s="63">
        <f t="shared" si="131"/>
        <v>0</v>
      </c>
      <c r="AF299" s="63">
        <f t="shared" si="132"/>
        <v>0</v>
      </c>
      <c r="AG299" s="58" t="str">
        <f t="shared" si="133"/>
        <v>ok</v>
      </c>
    </row>
    <row r="300" spans="1:33">
      <c r="A300" s="60">
        <v>910</v>
      </c>
      <c r="B300" s="60" t="s">
        <v>967</v>
      </c>
      <c r="C300" s="44" t="s">
        <v>968</v>
      </c>
      <c r="D300" s="44" t="s">
        <v>641</v>
      </c>
      <c r="F300" s="79">
        <v>1144803.32</v>
      </c>
      <c r="H300" s="63">
        <f t="shared" si="130"/>
        <v>0</v>
      </c>
      <c r="I300" s="63">
        <f t="shared" si="130"/>
        <v>0</v>
      </c>
      <c r="J300" s="63">
        <f t="shared" si="130"/>
        <v>0</v>
      </c>
      <c r="K300" s="63">
        <f t="shared" si="130"/>
        <v>0</v>
      </c>
      <c r="L300" s="63">
        <f t="shared" si="130"/>
        <v>0</v>
      </c>
      <c r="M300" s="63">
        <f t="shared" si="130"/>
        <v>0</v>
      </c>
      <c r="N300" s="63">
        <f t="shared" si="130"/>
        <v>0</v>
      </c>
      <c r="O300" s="63">
        <f t="shared" si="130"/>
        <v>0</v>
      </c>
      <c r="P300" s="63">
        <f t="shared" si="130"/>
        <v>0</v>
      </c>
      <c r="Q300" s="63">
        <f t="shared" si="130"/>
        <v>0</v>
      </c>
      <c r="R300" s="63">
        <f t="shared" si="131"/>
        <v>0</v>
      </c>
      <c r="S300" s="63">
        <f t="shared" si="131"/>
        <v>0</v>
      </c>
      <c r="T300" s="63">
        <f t="shared" si="131"/>
        <v>0</v>
      </c>
      <c r="U300" s="63">
        <f t="shared" si="131"/>
        <v>0</v>
      </c>
      <c r="V300" s="63">
        <f t="shared" si="131"/>
        <v>0</v>
      </c>
      <c r="W300" s="63">
        <f t="shared" si="131"/>
        <v>0</v>
      </c>
      <c r="X300" s="63">
        <f t="shared" si="131"/>
        <v>0</v>
      </c>
      <c r="Y300" s="63">
        <f t="shared" si="131"/>
        <v>0</v>
      </c>
      <c r="Z300" s="63">
        <f t="shared" si="131"/>
        <v>0</v>
      </c>
      <c r="AA300" s="63">
        <f t="shared" si="131"/>
        <v>0</v>
      </c>
      <c r="AB300" s="63">
        <f t="shared" si="131"/>
        <v>0</v>
      </c>
      <c r="AC300" s="63">
        <f t="shared" si="131"/>
        <v>0</v>
      </c>
      <c r="AD300" s="63">
        <f t="shared" si="131"/>
        <v>1144803.32</v>
      </c>
      <c r="AE300" s="63">
        <f t="shared" si="131"/>
        <v>0</v>
      </c>
      <c r="AF300" s="63">
        <f t="shared" si="132"/>
        <v>1144803.32</v>
      </c>
      <c r="AG300" s="58" t="str">
        <f t="shared" si="133"/>
        <v>ok</v>
      </c>
    </row>
    <row r="301" spans="1:33">
      <c r="A301" s="60">
        <v>911</v>
      </c>
      <c r="B301" s="60" t="s">
        <v>147</v>
      </c>
      <c r="C301" s="44" t="s">
        <v>168</v>
      </c>
      <c r="D301" s="44" t="s">
        <v>641</v>
      </c>
      <c r="F301" s="79">
        <v>0</v>
      </c>
      <c r="H301" s="63">
        <f t="shared" si="130"/>
        <v>0</v>
      </c>
      <c r="I301" s="63">
        <f t="shared" si="130"/>
        <v>0</v>
      </c>
      <c r="J301" s="63">
        <f t="shared" si="130"/>
        <v>0</v>
      </c>
      <c r="K301" s="63">
        <f t="shared" si="130"/>
        <v>0</v>
      </c>
      <c r="L301" s="63">
        <f t="shared" si="130"/>
        <v>0</v>
      </c>
      <c r="M301" s="63">
        <f t="shared" si="130"/>
        <v>0</v>
      </c>
      <c r="N301" s="63">
        <f t="shared" si="130"/>
        <v>0</v>
      </c>
      <c r="O301" s="63">
        <f t="shared" si="130"/>
        <v>0</v>
      </c>
      <c r="P301" s="63">
        <f t="shared" si="130"/>
        <v>0</v>
      </c>
      <c r="Q301" s="63">
        <f t="shared" si="130"/>
        <v>0</v>
      </c>
      <c r="R301" s="63">
        <f t="shared" si="131"/>
        <v>0</v>
      </c>
      <c r="S301" s="63">
        <f t="shared" si="131"/>
        <v>0</v>
      </c>
      <c r="T301" s="63">
        <f t="shared" si="131"/>
        <v>0</v>
      </c>
      <c r="U301" s="63">
        <f t="shared" si="131"/>
        <v>0</v>
      </c>
      <c r="V301" s="63">
        <f t="shared" si="131"/>
        <v>0</v>
      </c>
      <c r="W301" s="63">
        <f t="shared" si="131"/>
        <v>0</v>
      </c>
      <c r="X301" s="63">
        <f t="shared" si="131"/>
        <v>0</v>
      </c>
      <c r="Y301" s="63">
        <f t="shared" si="131"/>
        <v>0</v>
      </c>
      <c r="Z301" s="63">
        <f t="shared" si="131"/>
        <v>0</v>
      </c>
      <c r="AA301" s="63">
        <f t="shared" si="131"/>
        <v>0</v>
      </c>
      <c r="AB301" s="63">
        <f t="shared" si="131"/>
        <v>0</v>
      </c>
      <c r="AC301" s="63">
        <f t="shared" si="131"/>
        <v>0</v>
      </c>
      <c r="AD301" s="63">
        <f t="shared" si="131"/>
        <v>0</v>
      </c>
      <c r="AE301" s="63">
        <f t="shared" si="131"/>
        <v>0</v>
      </c>
      <c r="AF301" s="63">
        <f t="shared" si="132"/>
        <v>0</v>
      </c>
      <c r="AG301" s="58" t="str">
        <f t="shared" si="133"/>
        <v>ok</v>
      </c>
    </row>
    <row r="302" spans="1:33">
      <c r="A302" s="60">
        <v>912</v>
      </c>
      <c r="B302" s="60" t="s">
        <v>147</v>
      </c>
      <c r="C302" s="44" t="s">
        <v>148</v>
      </c>
      <c r="D302" s="44" t="s">
        <v>641</v>
      </c>
      <c r="F302" s="79">
        <v>56160</v>
      </c>
      <c r="H302" s="63">
        <f t="shared" si="130"/>
        <v>0</v>
      </c>
      <c r="I302" s="63">
        <f t="shared" si="130"/>
        <v>0</v>
      </c>
      <c r="J302" s="63">
        <f t="shared" si="130"/>
        <v>0</v>
      </c>
      <c r="K302" s="63">
        <f t="shared" si="130"/>
        <v>0</v>
      </c>
      <c r="L302" s="63">
        <f t="shared" si="130"/>
        <v>0</v>
      </c>
      <c r="M302" s="63">
        <f t="shared" si="130"/>
        <v>0</v>
      </c>
      <c r="N302" s="63">
        <f t="shared" si="130"/>
        <v>0</v>
      </c>
      <c r="O302" s="63">
        <f t="shared" si="130"/>
        <v>0</v>
      </c>
      <c r="P302" s="63">
        <f t="shared" si="130"/>
        <v>0</v>
      </c>
      <c r="Q302" s="63">
        <f t="shared" si="130"/>
        <v>0</v>
      </c>
      <c r="R302" s="63">
        <f t="shared" si="131"/>
        <v>0</v>
      </c>
      <c r="S302" s="63">
        <f t="shared" si="131"/>
        <v>0</v>
      </c>
      <c r="T302" s="63">
        <f t="shared" si="131"/>
        <v>0</v>
      </c>
      <c r="U302" s="63">
        <f t="shared" si="131"/>
        <v>0</v>
      </c>
      <c r="V302" s="63">
        <f t="shared" si="131"/>
        <v>0</v>
      </c>
      <c r="W302" s="63">
        <f t="shared" si="131"/>
        <v>0</v>
      </c>
      <c r="X302" s="63">
        <f t="shared" si="131"/>
        <v>0</v>
      </c>
      <c r="Y302" s="63">
        <f t="shared" si="131"/>
        <v>0</v>
      </c>
      <c r="Z302" s="63">
        <f t="shared" si="131"/>
        <v>0</v>
      </c>
      <c r="AA302" s="63">
        <f t="shared" si="131"/>
        <v>0</v>
      </c>
      <c r="AB302" s="63">
        <f t="shared" si="131"/>
        <v>0</v>
      </c>
      <c r="AC302" s="63">
        <f t="shared" si="131"/>
        <v>0</v>
      </c>
      <c r="AD302" s="63">
        <f t="shared" si="131"/>
        <v>56160</v>
      </c>
      <c r="AE302" s="63">
        <f t="shared" si="131"/>
        <v>0</v>
      </c>
      <c r="AF302" s="63">
        <f t="shared" si="132"/>
        <v>56160</v>
      </c>
      <c r="AG302" s="58" t="str">
        <f t="shared" si="133"/>
        <v>ok</v>
      </c>
    </row>
    <row r="303" spans="1:33">
      <c r="A303" s="60">
        <v>913</v>
      </c>
      <c r="B303" s="60" t="s">
        <v>157</v>
      </c>
      <c r="C303" s="44" t="s">
        <v>138</v>
      </c>
      <c r="D303" s="44" t="s">
        <v>641</v>
      </c>
      <c r="F303" s="79">
        <v>0</v>
      </c>
      <c r="H303" s="63">
        <f t="shared" si="130"/>
        <v>0</v>
      </c>
      <c r="I303" s="63">
        <f t="shared" si="130"/>
        <v>0</v>
      </c>
      <c r="J303" s="63">
        <f t="shared" si="130"/>
        <v>0</v>
      </c>
      <c r="K303" s="63">
        <f t="shared" si="130"/>
        <v>0</v>
      </c>
      <c r="L303" s="63">
        <f t="shared" si="130"/>
        <v>0</v>
      </c>
      <c r="M303" s="63">
        <f t="shared" si="130"/>
        <v>0</v>
      </c>
      <c r="N303" s="63">
        <f t="shared" si="130"/>
        <v>0</v>
      </c>
      <c r="O303" s="63">
        <f t="shared" si="130"/>
        <v>0</v>
      </c>
      <c r="P303" s="63">
        <f t="shared" si="130"/>
        <v>0</v>
      </c>
      <c r="Q303" s="63">
        <f t="shared" si="130"/>
        <v>0</v>
      </c>
      <c r="R303" s="63">
        <f t="shared" si="131"/>
        <v>0</v>
      </c>
      <c r="S303" s="63">
        <f t="shared" si="131"/>
        <v>0</v>
      </c>
      <c r="T303" s="63">
        <f t="shared" si="131"/>
        <v>0</v>
      </c>
      <c r="U303" s="63">
        <f t="shared" si="131"/>
        <v>0</v>
      </c>
      <c r="V303" s="63">
        <f t="shared" si="131"/>
        <v>0</v>
      </c>
      <c r="W303" s="63">
        <f t="shared" si="131"/>
        <v>0</v>
      </c>
      <c r="X303" s="63">
        <f t="shared" si="131"/>
        <v>0</v>
      </c>
      <c r="Y303" s="63">
        <f t="shared" si="131"/>
        <v>0</v>
      </c>
      <c r="Z303" s="63">
        <f t="shared" si="131"/>
        <v>0</v>
      </c>
      <c r="AA303" s="63">
        <f t="shared" si="131"/>
        <v>0</v>
      </c>
      <c r="AB303" s="63">
        <f t="shared" si="131"/>
        <v>0</v>
      </c>
      <c r="AC303" s="63">
        <f t="shared" si="131"/>
        <v>0</v>
      </c>
      <c r="AD303" s="63">
        <f t="shared" si="131"/>
        <v>0</v>
      </c>
      <c r="AE303" s="63">
        <f t="shared" si="131"/>
        <v>0</v>
      </c>
      <c r="AF303" s="63">
        <f t="shared" si="132"/>
        <v>0</v>
      </c>
      <c r="AG303" s="58" t="str">
        <f t="shared" si="133"/>
        <v>ok</v>
      </c>
    </row>
    <row r="304" spans="1:33">
      <c r="A304" s="60">
        <v>916</v>
      </c>
      <c r="B304" s="60" t="s">
        <v>159</v>
      </c>
      <c r="C304" s="44" t="s">
        <v>160</v>
      </c>
      <c r="D304" s="44" t="s">
        <v>641</v>
      </c>
      <c r="F304" s="79"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 t="shared" si="130"/>
        <v>0</v>
      </c>
      <c r="O304" s="63">
        <f t="shared" si="130"/>
        <v>0</v>
      </c>
      <c r="P304" s="63">
        <f t="shared" si="130"/>
        <v>0</v>
      </c>
      <c r="Q304" s="63">
        <f t="shared" si="130"/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 t="shared" si="131"/>
        <v>0</v>
      </c>
      <c r="AD304" s="63">
        <f t="shared" si="131"/>
        <v>0</v>
      </c>
      <c r="AE304" s="63">
        <f t="shared" si="131"/>
        <v>0</v>
      </c>
      <c r="AF304" s="63">
        <f t="shared" si="132"/>
        <v>0</v>
      </c>
      <c r="AG304" s="58" t="str">
        <f t="shared" si="133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969</v>
      </c>
      <c r="B306" s="60"/>
      <c r="C306" s="44" t="s">
        <v>970</v>
      </c>
      <c r="F306" s="173">
        <f t="shared" ref="F306:AE306" si="134">SUM(F295:F305)</f>
        <v>3422871.8415856296</v>
      </c>
      <c r="G306" s="62">
        <f t="shared" si="134"/>
        <v>0</v>
      </c>
      <c r="H306" s="62">
        <f t="shared" si="134"/>
        <v>0</v>
      </c>
      <c r="I306" s="62">
        <f t="shared" si="134"/>
        <v>0</v>
      </c>
      <c r="J306" s="62">
        <f t="shared" si="134"/>
        <v>0</v>
      </c>
      <c r="K306" s="62">
        <f t="shared" si="134"/>
        <v>0</v>
      </c>
      <c r="L306" s="62">
        <f t="shared" si="134"/>
        <v>0</v>
      </c>
      <c r="M306" s="62">
        <f t="shared" si="134"/>
        <v>0</v>
      </c>
      <c r="N306" s="62">
        <f t="shared" si="134"/>
        <v>0</v>
      </c>
      <c r="O306" s="62">
        <f t="shared" si="134"/>
        <v>0</v>
      </c>
      <c r="P306" s="62">
        <f t="shared" si="134"/>
        <v>0</v>
      </c>
      <c r="Q306" s="62">
        <f t="shared" si="134"/>
        <v>0</v>
      </c>
      <c r="R306" s="62">
        <f t="shared" si="134"/>
        <v>0</v>
      </c>
      <c r="S306" s="62">
        <f t="shared" si="134"/>
        <v>0</v>
      </c>
      <c r="T306" s="62">
        <f t="shared" si="134"/>
        <v>0</v>
      </c>
      <c r="U306" s="62">
        <f t="shared" si="134"/>
        <v>0</v>
      </c>
      <c r="V306" s="62">
        <f t="shared" si="134"/>
        <v>0</v>
      </c>
      <c r="W306" s="62">
        <f t="shared" si="134"/>
        <v>0</v>
      </c>
      <c r="X306" s="62">
        <f t="shared" si="134"/>
        <v>0</v>
      </c>
      <c r="Y306" s="62">
        <f t="shared" si="134"/>
        <v>0</v>
      </c>
      <c r="Z306" s="62">
        <f t="shared" si="134"/>
        <v>0</v>
      </c>
      <c r="AA306" s="62">
        <f t="shared" si="134"/>
        <v>0</v>
      </c>
      <c r="AB306" s="62">
        <f t="shared" si="134"/>
        <v>0</v>
      </c>
      <c r="AC306" s="62">
        <f t="shared" si="134"/>
        <v>0</v>
      </c>
      <c r="AD306" s="62">
        <f t="shared" si="134"/>
        <v>3422871.8415856296</v>
      </c>
      <c r="AE306" s="62">
        <f t="shared" si="134"/>
        <v>0</v>
      </c>
      <c r="AF306" s="63">
        <f>SUM(H306:AE306)</f>
        <v>3422871.8415856296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267</v>
      </c>
      <c r="B308" s="60"/>
      <c r="C308" s="44" t="s">
        <v>18</v>
      </c>
      <c r="F308" s="79">
        <f>F280+F292+F306</f>
        <v>557295499.83783984</v>
      </c>
      <c r="G308" s="63">
        <f>G278+G292+G306</f>
        <v>0</v>
      </c>
      <c r="H308" s="63">
        <f t="shared" ref="H308:AF308" si="135">H280+H292+H306</f>
        <v>80778953.804495692</v>
      </c>
      <c r="I308" s="63">
        <f t="shared" si="135"/>
        <v>0</v>
      </c>
      <c r="J308" s="63">
        <f t="shared" si="135"/>
        <v>0</v>
      </c>
      <c r="K308" s="63">
        <f t="shared" si="135"/>
        <v>376761550.96654743</v>
      </c>
      <c r="L308" s="63">
        <f t="shared" si="135"/>
        <v>0</v>
      </c>
      <c r="M308" s="63">
        <f t="shared" si="135"/>
        <v>0</v>
      </c>
      <c r="N308" s="63">
        <f t="shared" si="135"/>
        <v>27773572.999999899</v>
      </c>
      <c r="O308" s="63">
        <f t="shared" si="135"/>
        <v>0</v>
      </c>
      <c r="P308" s="63">
        <f t="shared" si="135"/>
        <v>0</v>
      </c>
      <c r="Q308" s="63">
        <f t="shared" si="135"/>
        <v>0</v>
      </c>
      <c r="R308" s="63">
        <f t="shared" si="135"/>
        <v>5320872.0641060146</v>
      </c>
      <c r="S308" s="63">
        <f t="shared" si="135"/>
        <v>0</v>
      </c>
      <c r="T308" s="63">
        <f t="shared" si="135"/>
        <v>10247104.73781072</v>
      </c>
      <c r="U308" s="63">
        <f t="shared" si="135"/>
        <v>17136051.145477891</v>
      </c>
      <c r="V308" s="63">
        <f t="shared" si="135"/>
        <v>3222380.3576403731</v>
      </c>
      <c r="W308" s="63">
        <f t="shared" si="135"/>
        <v>5580825.2596069975</v>
      </c>
      <c r="X308" s="63">
        <f t="shared" si="135"/>
        <v>691763.67803688126</v>
      </c>
      <c r="Y308" s="63">
        <f t="shared" si="135"/>
        <v>385594.54324795608</v>
      </c>
      <c r="Z308" s="63">
        <f t="shared" si="135"/>
        <v>203792.81240431065</v>
      </c>
      <c r="AA308" s="63">
        <f t="shared" si="135"/>
        <v>9055068.7351165973</v>
      </c>
      <c r="AB308" s="63">
        <f t="shared" si="135"/>
        <v>1240151.6665522291</v>
      </c>
      <c r="AC308" s="63">
        <f t="shared" si="135"/>
        <v>15474945.22521111</v>
      </c>
      <c r="AD308" s="63">
        <f t="shared" si="135"/>
        <v>3422871.8415856296</v>
      </c>
      <c r="AE308" s="63">
        <f t="shared" si="135"/>
        <v>0</v>
      </c>
      <c r="AF308" s="63">
        <f t="shared" si="135"/>
        <v>557295499.83783972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4.1">
      <c r="A314" s="59" t="s">
        <v>948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4.1">
      <c r="A316" s="65" t="s">
        <v>971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972</v>
      </c>
      <c r="C317" s="44" t="s">
        <v>973</v>
      </c>
      <c r="D317" s="44" t="s">
        <v>642</v>
      </c>
      <c r="F317" s="76">
        <v>25891027.499075498</v>
      </c>
      <c r="H317" s="63">
        <f t="shared" ref="H317:Q329" si="136">IF(VLOOKUP($D317,$C$6:$AE$653,H$2,)=0,0,((VLOOKUP($D317,$C$6:$AE$653,H$2,)/VLOOKUP($D317,$C$6:$AE$653,4,))*$F317))</f>
        <v>8431182.2165592257</v>
      </c>
      <c r="I317" s="63">
        <f t="shared" si="136"/>
        <v>0</v>
      </c>
      <c r="J317" s="63">
        <f t="shared" si="136"/>
        <v>0</v>
      </c>
      <c r="K317" s="63">
        <f t="shared" si="136"/>
        <v>7150539.7075525504</v>
      </c>
      <c r="L317" s="63">
        <f t="shared" si="136"/>
        <v>0</v>
      </c>
      <c r="M317" s="63">
        <f t="shared" si="136"/>
        <v>0</v>
      </c>
      <c r="N317" s="63">
        <f t="shared" si="136"/>
        <v>1943054.2351414012</v>
      </c>
      <c r="O317" s="63">
        <f t="shared" si="136"/>
        <v>0</v>
      </c>
      <c r="P317" s="63">
        <f t="shared" si="136"/>
        <v>0</v>
      </c>
      <c r="Q317" s="63">
        <f t="shared" si="136"/>
        <v>0</v>
      </c>
      <c r="R317" s="63">
        <f t="shared" ref="R317:AE329" si="137">IF(VLOOKUP($D317,$C$6:$AE$653,R$2,)=0,0,((VLOOKUP($D317,$C$6:$AE$653,R$2,)/VLOOKUP($D317,$C$6:$AE$653,4,))*$F317))</f>
        <v>808693.21389403462</v>
      </c>
      <c r="S317" s="63">
        <f t="shared" si="137"/>
        <v>0</v>
      </c>
      <c r="T317" s="63">
        <f t="shared" si="137"/>
        <v>802104.38712627313</v>
      </c>
      <c r="U317" s="63">
        <f t="shared" si="137"/>
        <v>1355414.01563112</v>
      </c>
      <c r="V317" s="63">
        <f t="shared" si="137"/>
        <v>266149.73323603137</v>
      </c>
      <c r="W317" s="63">
        <f t="shared" si="137"/>
        <v>463476.94633485307</v>
      </c>
      <c r="X317" s="63">
        <f t="shared" si="137"/>
        <v>72721.979244251226</v>
      </c>
      <c r="Y317" s="63">
        <f t="shared" si="137"/>
        <v>40535.806173505654</v>
      </c>
      <c r="Z317" s="63">
        <f t="shared" si="137"/>
        <v>18178.239867316723</v>
      </c>
      <c r="AA317" s="63">
        <f t="shared" si="137"/>
        <v>1650317.7767266326</v>
      </c>
      <c r="AB317" s="63">
        <f t="shared" si="137"/>
        <v>62717.628414631108</v>
      </c>
      <c r="AC317" s="63">
        <f t="shared" si="137"/>
        <v>2320422.6242734226</v>
      </c>
      <c r="AD317" s="63">
        <f t="shared" si="137"/>
        <v>505518.98890024697</v>
      </c>
      <c r="AE317" s="63">
        <f t="shared" si="137"/>
        <v>0</v>
      </c>
      <c r="AF317" s="63">
        <f t="shared" ref="AF317:AF328" si="138">SUM(H317:AE317)</f>
        <v>25891027.499075502</v>
      </c>
      <c r="AG317" s="58" t="str">
        <f t="shared" ref="AG317:AG328" si="139">IF(ABS(AF317-F317)&lt;1,"ok","err")</f>
        <v>ok</v>
      </c>
    </row>
    <row r="318" spans="1:33">
      <c r="A318" s="60">
        <v>921</v>
      </c>
      <c r="B318" s="60" t="s">
        <v>974</v>
      </c>
      <c r="C318" s="44" t="s">
        <v>975</v>
      </c>
      <c r="D318" s="44" t="s">
        <v>642</v>
      </c>
      <c r="F318" s="79">
        <v>7802684.7143973298</v>
      </c>
      <c r="H318" s="63">
        <f t="shared" si="136"/>
        <v>2540874.6952122436</v>
      </c>
      <c r="I318" s="63">
        <f t="shared" si="136"/>
        <v>0</v>
      </c>
      <c r="J318" s="63">
        <f t="shared" si="136"/>
        <v>0</v>
      </c>
      <c r="K318" s="63">
        <f t="shared" si="136"/>
        <v>2154932.1237947657</v>
      </c>
      <c r="L318" s="63">
        <f t="shared" si="136"/>
        <v>0</v>
      </c>
      <c r="M318" s="63">
        <f t="shared" si="136"/>
        <v>0</v>
      </c>
      <c r="N318" s="63">
        <f t="shared" si="136"/>
        <v>585571.18215274264</v>
      </c>
      <c r="O318" s="63">
        <f t="shared" si="136"/>
        <v>0</v>
      </c>
      <c r="P318" s="63">
        <f t="shared" si="136"/>
        <v>0</v>
      </c>
      <c r="Q318" s="63">
        <f t="shared" si="136"/>
        <v>0</v>
      </c>
      <c r="R318" s="63">
        <f t="shared" si="137"/>
        <v>243712.93023859896</v>
      </c>
      <c r="S318" s="63">
        <f t="shared" si="137"/>
        <v>0</v>
      </c>
      <c r="T318" s="63">
        <f t="shared" si="137"/>
        <v>241727.27949884132</v>
      </c>
      <c r="U318" s="63">
        <f t="shared" si="137"/>
        <v>408476.18820158765</v>
      </c>
      <c r="V318" s="63">
        <f t="shared" si="137"/>
        <v>80208.576323819594</v>
      </c>
      <c r="W318" s="63">
        <f t="shared" si="137"/>
        <v>139676.36026695505</v>
      </c>
      <c r="X318" s="63">
        <f t="shared" si="137"/>
        <v>21915.958177793455</v>
      </c>
      <c r="Y318" s="63">
        <f t="shared" si="137"/>
        <v>12216.128356708876</v>
      </c>
      <c r="Z318" s="63">
        <f t="shared" si="137"/>
        <v>5478.3099802595725</v>
      </c>
      <c r="AA318" s="63">
        <f t="shared" si="137"/>
        <v>497350.26123713644</v>
      </c>
      <c r="AB318" s="63">
        <f t="shared" si="137"/>
        <v>18900.983383976079</v>
      </c>
      <c r="AC318" s="63">
        <f t="shared" si="137"/>
        <v>699297.31996949425</v>
      </c>
      <c r="AD318" s="63">
        <f t="shared" si="137"/>
        <v>152346.41760240667</v>
      </c>
      <c r="AE318" s="63">
        <f t="shared" si="137"/>
        <v>0</v>
      </c>
      <c r="AF318" s="63">
        <f t="shared" si="138"/>
        <v>7802684.7143973289</v>
      </c>
      <c r="AG318" s="58" t="str">
        <f t="shared" si="139"/>
        <v>ok</v>
      </c>
    </row>
    <row r="319" spans="1:33">
      <c r="A319" s="60">
        <v>922</v>
      </c>
      <c r="B319" s="60" t="s">
        <v>268</v>
      </c>
      <c r="C319" s="44" t="s">
        <v>269</v>
      </c>
      <c r="D319" s="44" t="s">
        <v>642</v>
      </c>
      <c r="F319" s="79">
        <v>-5240118</v>
      </c>
      <c r="H319" s="63">
        <f t="shared" si="136"/>
        <v>-1706397.6968797189</v>
      </c>
      <c r="I319" s="63">
        <f t="shared" si="136"/>
        <v>0</v>
      </c>
      <c r="J319" s="63">
        <f t="shared" si="136"/>
        <v>0</v>
      </c>
      <c r="K319" s="63">
        <f t="shared" si="136"/>
        <v>-1447206.8299567795</v>
      </c>
      <c r="L319" s="63">
        <f t="shared" si="136"/>
        <v>0</v>
      </c>
      <c r="M319" s="63">
        <f t="shared" si="136"/>
        <v>0</v>
      </c>
      <c r="N319" s="63">
        <f t="shared" si="136"/>
        <v>-393257.21904641506</v>
      </c>
      <c r="O319" s="63">
        <f t="shared" si="136"/>
        <v>0</v>
      </c>
      <c r="P319" s="63">
        <f t="shared" si="136"/>
        <v>0</v>
      </c>
      <c r="Q319" s="63">
        <f t="shared" si="136"/>
        <v>0</v>
      </c>
      <c r="R319" s="63">
        <f t="shared" si="137"/>
        <v>-163672.44856370788</v>
      </c>
      <c r="S319" s="63">
        <f t="shared" si="137"/>
        <v>0</v>
      </c>
      <c r="T319" s="63">
        <f t="shared" si="137"/>
        <v>-162338.92753037455</v>
      </c>
      <c r="U319" s="63">
        <f t="shared" si="137"/>
        <v>-274323.9672900014</v>
      </c>
      <c r="V319" s="63">
        <f t="shared" si="137"/>
        <v>-53866.383165949126</v>
      </c>
      <c r="W319" s="63">
        <f t="shared" si="137"/>
        <v>-93803.688909643286</v>
      </c>
      <c r="X319" s="63">
        <f t="shared" si="137"/>
        <v>-14718.293912709116</v>
      </c>
      <c r="Y319" s="63">
        <f t="shared" si="137"/>
        <v>-8204.093390340835</v>
      </c>
      <c r="Z319" s="63">
        <f t="shared" si="137"/>
        <v>-3679.1170972432565</v>
      </c>
      <c r="AA319" s="63">
        <f t="shared" si="137"/>
        <v>-334009.91474185418</v>
      </c>
      <c r="AB319" s="63">
        <f t="shared" si="137"/>
        <v>-12693.50061848859</v>
      </c>
      <c r="AC319" s="63">
        <f t="shared" si="137"/>
        <v>-469633.28749685868</v>
      </c>
      <c r="AD319" s="63">
        <f t="shared" si="137"/>
        <v>-102312.63139991538</v>
      </c>
      <c r="AE319" s="63">
        <f t="shared" si="137"/>
        <v>0</v>
      </c>
      <c r="AF319" s="63">
        <f>SUM(H319:AE319)</f>
        <v>-5240118</v>
      </c>
      <c r="AG319" s="58" t="str">
        <f t="shared" si="139"/>
        <v>ok</v>
      </c>
    </row>
    <row r="320" spans="1:33">
      <c r="A320" s="60">
        <v>923</v>
      </c>
      <c r="B320" s="60" t="s">
        <v>976</v>
      </c>
      <c r="C320" s="44" t="s">
        <v>977</v>
      </c>
      <c r="D320" s="44" t="s">
        <v>642</v>
      </c>
      <c r="F320" s="79">
        <v>17066020.5</v>
      </c>
      <c r="H320" s="63">
        <f t="shared" si="136"/>
        <v>5557397.3861088753</v>
      </c>
      <c r="I320" s="63">
        <f t="shared" si="136"/>
        <v>0</v>
      </c>
      <c r="J320" s="63">
        <f t="shared" si="136"/>
        <v>0</v>
      </c>
      <c r="K320" s="63">
        <f t="shared" si="136"/>
        <v>4713264.3630892308</v>
      </c>
      <c r="L320" s="63">
        <f t="shared" si="136"/>
        <v>0</v>
      </c>
      <c r="M320" s="63">
        <f t="shared" si="136"/>
        <v>0</v>
      </c>
      <c r="N320" s="63">
        <f t="shared" si="136"/>
        <v>1280760.4260093207</v>
      </c>
      <c r="O320" s="63">
        <f t="shared" si="136"/>
        <v>0</v>
      </c>
      <c r="P320" s="63">
        <f t="shared" si="136"/>
        <v>0</v>
      </c>
      <c r="Q320" s="63">
        <f t="shared" si="136"/>
        <v>0</v>
      </c>
      <c r="R320" s="63">
        <f t="shared" si="137"/>
        <v>533048.56159220729</v>
      </c>
      <c r="S320" s="63">
        <f t="shared" si="137"/>
        <v>0</v>
      </c>
      <c r="T320" s="63">
        <f t="shared" si="137"/>
        <v>528705.5492226294</v>
      </c>
      <c r="U320" s="63">
        <f t="shared" si="137"/>
        <v>893418.51641747251</v>
      </c>
      <c r="V320" s="63">
        <f t="shared" si="137"/>
        <v>175432.07984456507</v>
      </c>
      <c r="W320" s="63">
        <f t="shared" si="137"/>
        <v>305499.92918243347</v>
      </c>
      <c r="X320" s="63">
        <f t="shared" si="137"/>
        <v>47934.551405010148</v>
      </c>
      <c r="Y320" s="63">
        <f t="shared" si="137"/>
        <v>26719.097925556485</v>
      </c>
      <c r="Z320" s="63">
        <f t="shared" si="137"/>
        <v>11982.151509461029</v>
      </c>
      <c r="AA320" s="63">
        <f t="shared" si="137"/>
        <v>1087803.7578901344</v>
      </c>
      <c r="AB320" s="63">
        <f t="shared" si="137"/>
        <v>41340.202982430732</v>
      </c>
      <c r="AC320" s="63">
        <f t="shared" si="137"/>
        <v>1529502.066919826</v>
      </c>
      <c r="AD320" s="63">
        <f t="shared" si="137"/>
        <v>333211.85990084568</v>
      </c>
      <c r="AE320" s="63">
        <f t="shared" si="137"/>
        <v>0</v>
      </c>
      <c r="AF320" s="63">
        <f t="shared" si="138"/>
        <v>17066020.499999996</v>
      </c>
      <c r="AG320" s="58" t="str">
        <f t="shared" si="139"/>
        <v>ok</v>
      </c>
    </row>
    <row r="321" spans="1:33">
      <c r="A321" s="60">
        <v>924</v>
      </c>
      <c r="B321" s="60" t="s">
        <v>978</v>
      </c>
      <c r="C321" s="44" t="s">
        <v>979</v>
      </c>
      <c r="D321" s="44" t="s">
        <v>892</v>
      </c>
      <c r="F321" s="79">
        <v>7218577.5</v>
      </c>
      <c r="H321" s="63">
        <f t="shared" si="136"/>
        <v>4385652.7896474302</v>
      </c>
      <c r="I321" s="63">
        <f t="shared" si="136"/>
        <v>0</v>
      </c>
      <c r="J321" s="63">
        <f t="shared" si="136"/>
        <v>0</v>
      </c>
      <c r="K321" s="63">
        <f t="shared" si="136"/>
        <v>0</v>
      </c>
      <c r="L321" s="63">
        <f t="shared" si="136"/>
        <v>0</v>
      </c>
      <c r="M321" s="63">
        <f t="shared" si="136"/>
        <v>0</v>
      </c>
      <c r="N321" s="63">
        <f t="shared" si="136"/>
        <v>695006.24001376785</v>
      </c>
      <c r="O321" s="63">
        <f t="shared" si="136"/>
        <v>0</v>
      </c>
      <c r="P321" s="63">
        <f t="shared" si="136"/>
        <v>0</v>
      </c>
      <c r="Q321" s="63">
        <f t="shared" si="136"/>
        <v>0</v>
      </c>
      <c r="R321" s="63">
        <f t="shared" si="137"/>
        <v>266602.05464531388</v>
      </c>
      <c r="S321" s="63">
        <f t="shared" si="137"/>
        <v>0</v>
      </c>
      <c r="T321" s="63">
        <f t="shared" si="137"/>
        <v>409281.79006459948</v>
      </c>
      <c r="U321" s="63">
        <f t="shared" si="137"/>
        <v>669760.52148736035</v>
      </c>
      <c r="V321" s="63">
        <f t="shared" si="137"/>
        <v>114193.35429251163</v>
      </c>
      <c r="W321" s="63">
        <f t="shared" si="137"/>
        <v>195128.49123151397</v>
      </c>
      <c r="X321" s="63">
        <f t="shared" si="137"/>
        <v>139893.29065750208</v>
      </c>
      <c r="Y321" s="63">
        <f t="shared" si="137"/>
        <v>77977.626214218719</v>
      </c>
      <c r="Z321" s="63">
        <f t="shared" si="137"/>
        <v>49856.63062387539</v>
      </c>
      <c r="AA321" s="63">
        <f t="shared" si="137"/>
        <v>50845.161742483935</v>
      </c>
      <c r="AB321" s="63">
        <f t="shared" si="137"/>
        <v>164379.5493794244</v>
      </c>
      <c r="AC321" s="63">
        <f t="shared" si="137"/>
        <v>0</v>
      </c>
      <c r="AD321" s="63">
        <f t="shared" si="137"/>
        <v>0</v>
      </c>
      <c r="AE321" s="63">
        <f t="shared" si="137"/>
        <v>0</v>
      </c>
      <c r="AF321" s="63">
        <f t="shared" si="138"/>
        <v>7218577.5000000019</v>
      </c>
      <c r="AG321" s="58" t="str">
        <f t="shared" si="139"/>
        <v>ok</v>
      </c>
    </row>
    <row r="322" spans="1:33">
      <c r="A322" s="60">
        <v>925</v>
      </c>
      <c r="B322" s="60" t="s">
        <v>1231</v>
      </c>
      <c r="C322" s="44" t="s">
        <v>980</v>
      </c>
      <c r="D322" s="44" t="s">
        <v>642</v>
      </c>
      <c r="F322" s="79">
        <v>3235547.75</v>
      </c>
      <c r="H322" s="63">
        <f t="shared" si="136"/>
        <v>1053627.2711309853</v>
      </c>
      <c r="I322" s="63">
        <f t="shared" si="136"/>
        <v>0</v>
      </c>
      <c r="J322" s="63">
        <f t="shared" si="136"/>
        <v>0</v>
      </c>
      <c r="K322" s="63">
        <f t="shared" si="136"/>
        <v>893588.04562250129</v>
      </c>
      <c r="L322" s="63">
        <f t="shared" si="136"/>
        <v>0</v>
      </c>
      <c r="M322" s="63">
        <f t="shared" si="136"/>
        <v>0</v>
      </c>
      <c r="N322" s="63">
        <f t="shared" si="136"/>
        <v>242819.4384662493</v>
      </c>
      <c r="O322" s="63">
        <f t="shared" si="136"/>
        <v>0</v>
      </c>
      <c r="P322" s="63">
        <f t="shared" si="136"/>
        <v>0</v>
      </c>
      <c r="Q322" s="63">
        <f t="shared" si="136"/>
        <v>0</v>
      </c>
      <c r="R322" s="63">
        <f t="shared" si="137"/>
        <v>101060.70563435704</v>
      </c>
      <c r="S322" s="63">
        <f t="shared" si="137"/>
        <v>0</v>
      </c>
      <c r="T322" s="63">
        <f t="shared" si="137"/>
        <v>100237.31368421788</v>
      </c>
      <c r="U322" s="63">
        <f t="shared" si="137"/>
        <v>169383.26486850824</v>
      </c>
      <c r="V322" s="63">
        <f t="shared" si="137"/>
        <v>33260.177509976791</v>
      </c>
      <c r="W322" s="63">
        <f t="shared" si="137"/>
        <v>57919.748103629783</v>
      </c>
      <c r="X322" s="63">
        <f t="shared" si="137"/>
        <v>9087.9141945094889</v>
      </c>
      <c r="Y322" s="63">
        <f t="shared" si="137"/>
        <v>5065.6752214181361</v>
      </c>
      <c r="Z322" s="63">
        <f t="shared" si="137"/>
        <v>2271.6967530066972</v>
      </c>
      <c r="AA322" s="63">
        <f t="shared" si="137"/>
        <v>206236.77331706998</v>
      </c>
      <c r="AB322" s="63">
        <f t="shared" si="137"/>
        <v>7837.6913202669039</v>
      </c>
      <c r="AC322" s="63">
        <f t="shared" si="137"/>
        <v>289978.37962533749</v>
      </c>
      <c r="AD322" s="63">
        <f t="shared" si="137"/>
        <v>63173.654547965438</v>
      </c>
      <c r="AE322" s="63">
        <f t="shared" si="137"/>
        <v>0</v>
      </c>
      <c r="AF322" s="63">
        <f t="shared" si="138"/>
        <v>3235547.7500000005</v>
      </c>
      <c r="AG322" s="58" t="str">
        <f t="shared" si="139"/>
        <v>ok</v>
      </c>
    </row>
    <row r="323" spans="1:33">
      <c r="A323" s="60">
        <v>926</v>
      </c>
      <c r="B323" s="60" t="s">
        <v>981</v>
      </c>
      <c r="C323" s="44" t="s">
        <v>982</v>
      </c>
      <c r="D323" s="44" t="s">
        <v>642</v>
      </c>
      <c r="F323" s="79">
        <v>23981335.249999899</v>
      </c>
      <c r="H323" s="63">
        <f t="shared" si="136"/>
        <v>7809307.9657176128</v>
      </c>
      <c r="I323" s="63">
        <f t="shared" si="136"/>
        <v>0</v>
      </c>
      <c r="J323" s="63">
        <f t="shared" si="136"/>
        <v>0</v>
      </c>
      <c r="K323" s="63">
        <f t="shared" si="136"/>
        <v>6623124.1672960659</v>
      </c>
      <c r="L323" s="63">
        <f t="shared" si="136"/>
        <v>0</v>
      </c>
      <c r="M323" s="63">
        <f t="shared" si="136"/>
        <v>0</v>
      </c>
      <c r="N323" s="63">
        <f t="shared" si="136"/>
        <v>1799736.8016206364</v>
      </c>
      <c r="O323" s="63">
        <f t="shared" si="136"/>
        <v>0</v>
      </c>
      <c r="P323" s="63">
        <f t="shared" si="136"/>
        <v>0</v>
      </c>
      <c r="Q323" s="63">
        <f t="shared" si="136"/>
        <v>0</v>
      </c>
      <c r="R323" s="63">
        <f t="shared" si="137"/>
        <v>749044.93757481093</v>
      </c>
      <c r="S323" s="63">
        <f t="shared" si="137"/>
        <v>0</v>
      </c>
      <c r="T323" s="63">
        <f t="shared" si="137"/>
        <v>742942.09505040734</v>
      </c>
      <c r="U323" s="63">
        <f t="shared" si="137"/>
        <v>1255440.2451798853</v>
      </c>
      <c r="V323" s="63">
        <f t="shared" si="137"/>
        <v>246518.83667649791</v>
      </c>
      <c r="W323" s="63">
        <f t="shared" si="137"/>
        <v>429291.4227177428</v>
      </c>
      <c r="X323" s="63">
        <f t="shared" si="137"/>
        <v>67358.090147723779</v>
      </c>
      <c r="Y323" s="63">
        <f t="shared" si="137"/>
        <v>37545.931983988121</v>
      </c>
      <c r="Z323" s="63">
        <f t="shared" si="137"/>
        <v>16837.433915228055</v>
      </c>
      <c r="AA323" s="63">
        <f t="shared" si="137"/>
        <v>1528592.2458708542</v>
      </c>
      <c r="AB323" s="63">
        <f t="shared" si="137"/>
        <v>58091.64866670101</v>
      </c>
      <c r="AC323" s="63">
        <f t="shared" si="137"/>
        <v>2149270.934742644</v>
      </c>
      <c r="AD323" s="63">
        <f t="shared" si="137"/>
        <v>468232.49283909966</v>
      </c>
      <c r="AE323" s="63">
        <f t="shared" si="137"/>
        <v>0</v>
      </c>
      <c r="AF323" s="63">
        <f t="shared" si="138"/>
        <v>23981335.249999892</v>
      </c>
      <c r="AG323" s="58" t="str">
        <f t="shared" si="139"/>
        <v>ok</v>
      </c>
    </row>
    <row r="324" spans="1:33">
      <c r="A324" s="60">
        <v>927</v>
      </c>
      <c r="B324" s="60" t="s">
        <v>578</v>
      </c>
      <c r="C324" s="44" t="s">
        <v>577</v>
      </c>
      <c r="D324" s="44" t="s">
        <v>892</v>
      </c>
      <c r="F324" s="79">
        <v>0</v>
      </c>
      <c r="H324" s="63">
        <f t="shared" si="136"/>
        <v>0</v>
      </c>
      <c r="I324" s="63">
        <f t="shared" si="136"/>
        <v>0</v>
      </c>
      <c r="J324" s="63">
        <f t="shared" si="136"/>
        <v>0</v>
      </c>
      <c r="K324" s="63">
        <f t="shared" si="136"/>
        <v>0</v>
      </c>
      <c r="L324" s="63">
        <f t="shared" si="136"/>
        <v>0</v>
      </c>
      <c r="M324" s="63">
        <f t="shared" si="136"/>
        <v>0</v>
      </c>
      <c r="N324" s="63">
        <f t="shared" si="136"/>
        <v>0</v>
      </c>
      <c r="O324" s="63">
        <f t="shared" si="136"/>
        <v>0</v>
      </c>
      <c r="P324" s="63">
        <f t="shared" si="136"/>
        <v>0</v>
      </c>
      <c r="Q324" s="63">
        <f t="shared" si="136"/>
        <v>0</v>
      </c>
      <c r="R324" s="63">
        <f t="shared" si="137"/>
        <v>0</v>
      </c>
      <c r="S324" s="63">
        <f t="shared" si="137"/>
        <v>0</v>
      </c>
      <c r="T324" s="63">
        <f t="shared" si="137"/>
        <v>0</v>
      </c>
      <c r="U324" s="63">
        <f t="shared" si="137"/>
        <v>0</v>
      </c>
      <c r="V324" s="63">
        <f t="shared" si="137"/>
        <v>0</v>
      </c>
      <c r="W324" s="63">
        <f t="shared" si="137"/>
        <v>0</v>
      </c>
      <c r="X324" s="63">
        <f t="shared" si="137"/>
        <v>0</v>
      </c>
      <c r="Y324" s="63">
        <f t="shared" si="137"/>
        <v>0</v>
      </c>
      <c r="Z324" s="63">
        <f t="shared" si="137"/>
        <v>0</v>
      </c>
      <c r="AA324" s="63">
        <f t="shared" si="137"/>
        <v>0</v>
      </c>
      <c r="AB324" s="63">
        <f t="shared" si="137"/>
        <v>0</v>
      </c>
      <c r="AC324" s="63">
        <f t="shared" si="137"/>
        <v>0</v>
      </c>
      <c r="AD324" s="63">
        <f t="shared" si="137"/>
        <v>0</v>
      </c>
      <c r="AE324" s="63">
        <f t="shared" si="137"/>
        <v>0</v>
      </c>
      <c r="AF324" s="63">
        <f>SUM(H324:AE324)</f>
        <v>0</v>
      </c>
      <c r="AG324" s="58" t="str">
        <f t="shared" si="139"/>
        <v>ok</v>
      </c>
    </row>
    <row r="325" spans="1:33">
      <c r="A325" s="60">
        <v>928</v>
      </c>
      <c r="B325" s="60" t="s">
        <v>819</v>
      </c>
      <c r="C325" s="44" t="s">
        <v>983</v>
      </c>
      <c r="D325" s="44" t="s">
        <v>892</v>
      </c>
      <c r="F325" s="79">
        <v>984809.49999999895</v>
      </c>
      <c r="H325" s="63">
        <f t="shared" si="136"/>
        <v>598321.83431517996</v>
      </c>
      <c r="I325" s="63">
        <f t="shared" si="136"/>
        <v>0</v>
      </c>
      <c r="J325" s="63">
        <f t="shared" si="136"/>
        <v>0</v>
      </c>
      <c r="K325" s="63">
        <f t="shared" si="136"/>
        <v>0</v>
      </c>
      <c r="L325" s="63">
        <f t="shared" si="136"/>
        <v>0</v>
      </c>
      <c r="M325" s="63">
        <f t="shared" si="136"/>
        <v>0</v>
      </c>
      <c r="N325" s="63">
        <f t="shared" si="136"/>
        <v>94817.676713291221</v>
      </c>
      <c r="O325" s="63">
        <f t="shared" si="136"/>
        <v>0</v>
      </c>
      <c r="P325" s="63">
        <f t="shared" si="136"/>
        <v>0</v>
      </c>
      <c r="Q325" s="63">
        <f t="shared" si="136"/>
        <v>0</v>
      </c>
      <c r="R325" s="63">
        <f t="shared" si="137"/>
        <v>36371.741680992403</v>
      </c>
      <c r="S325" s="63">
        <f t="shared" si="137"/>
        <v>0</v>
      </c>
      <c r="T325" s="63">
        <f t="shared" si="137"/>
        <v>55837.12234614406</v>
      </c>
      <c r="U325" s="63">
        <f t="shared" si="137"/>
        <v>91373.476877640496</v>
      </c>
      <c r="V325" s="63">
        <f t="shared" si="137"/>
        <v>15579.066671256369</v>
      </c>
      <c r="W325" s="63">
        <f t="shared" si="137"/>
        <v>26620.81163296528</v>
      </c>
      <c r="X325" s="63">
        <f t="shared" si="137"/>
        <v>19085.234123450104</v>
      </c>
      <c r="Y325" s="63">
        <f t="shared" si="137"/>
        <v>10638.260389004834</v>
      </c>
      <c r="Z325" s="63">
        <f t="shared" si="137"/>
        <v>6801.7948794458953</v>
      </c>
      <c r="AA325" s="63">
        <f t="shared" si="137"/>
        <v>6936.6573002831483</v>
      </c>
      <c r="AB325" s="63">
        <f t="shared" si="137"/>
        <v>22425.823070345381</v>
      </c>
      <c r="AC325" s="63">
        <f t="shared" si="137"/>
        <v>0</v>
      </c>
      <c r="AD325" s="63">
        <f t="shared" si="137"/>
        <v>0</v>
      </c>
      <c r="AE325" s="63">
        <f t="shared" si="137"/>
        <v>0</v>
      </c>
      <c r="AF325" s="63">
        <f t="shared" si="138"/>
        <v>984809.49999999907</v>
      </c>
      <c r="AG325" s="58" t="str">
        <f t="shared" si="139"/>
        <v>ok</v>
      </c>
    </row>
    <row r="326" spans="1:33">
      <c r="A326" s="60">
        <v>929</v>
      </c>
      <c r="B326" s="60" t="s">
        <v>1082</v>
      </c>
      <c r="C326" s="44" t="s">
        <v>1083</v>
      </c>
      <c r="D326" s="44" t="s">
        <v>642</v>
      </c>
      <c r="F326" s="79">
        <v>-216193</v>
      </c>
      <c r="H326" s="63">
        <f t="shared" si="136"/>
        <v>-70401.322504859068</v>
      </c>
      <c r="I326" s="63">
        <f t="shared" si="136"/>
        <v>0</v>
      </c>
      <c r="J326" s="63">
        <f t="shared" si="136"/>
        <v>0</v>
      </c>
      <c r="K326" s="63">
        <f t="shared" si="136"/>
        <v>-59707.813104370172</v>
      </c>
      <c r="L326" s="63">
        <f t="shared" si="136"/>
        <v>0</v>
      </c>
      <c r="M326" s="63">
        <f t="shared" si="136"/>
        <v>0</v>
      </c>
      <c r="N326" s="63">
        <f t="shared" si="136"/>
        <v>-16224.722030553818</v>
      </c>
      <c r="O326" s="63">
        <f t="shared" si="136"/>
        <v>0</v>
      </c>
      <c r="P326" s="63">
        <f t="shared" si="136"/>
        <v>0</v>
      </c>
      <c r="Q326" s="63">
        <f t="shared" si="136"/>
        <v>0</v>
      </c>
      <c r="R326" s="63">
        <f t="shared" si="137"/>
        <v>-6752.6795526997093</v>
      </c>
      <c r="S326" s="63">
        <f t="shared" si="137"/>
        <v>0</v>
      </c>
      <c r="T326" s="63">
        <f t="shared" si="137"/>
        <v>-6697.6621060010993</v>
      </c>
      <c r="U326" s="63">
        <f t="shared" si="137"/>
        <v>-11317.859914667431</v>
      </c>
      <c r="V326" s="63">
        <f t="shared" si="137"/>
        <v>-2222.3802929239455</v>
      </c>
      <c r="W326" s="63">
        <f t="shared" si="137"/>
        <v>-3870.0847798546733</v>
      </c>
      <c r="X326" s="63">
        <f t="shared" si="137"/>
        <v>-607.23672937714798</v>
      </c>
      <c r="Y326" s="63">
        <f t="shared" si="137"/>
        <v>-338.47855379171926</v>
      </c>
      <c r="Z326" s="63">
        <f t="shared" si="137"/>
        <v>-151.79035330966045</v>
      </c>
      <c r="AA326" s="63">
        <f t="shared" si="137"/>
        <v>-13780.339583533363</v>
      </c>
      <c r="AB326" s="63">
        <f t="shared" si="137"/>
        <v>-523.69927150741717</v>
      </c>
      <c r="AC326" s="63">
        <f t="shared" si="137"/>
        <v>-19375.790645135927</v>
      </c>
      <c r="AD326" s="63">
        <f t="shared" si="137"/>
        <v>-4221.1405774148416</v>
      </c>
      <c r="AE326" s="63">
        <f t="shared" si="137"/>
        <v>0</v>
      </c>
      <c r="AF326" s="63">
        <f t="shared" si="138"/>
        <v>-216192.99999999994</v>
      </c>
      <c r="AG326" s="58" t="str">
        <f t="shared" si="139"/>
        <v>ok</v>
      </c>
    </row>
    <row r="327" spans="1:33">
      <c r="A327" s="60">
        <v>930</v>
      </c>
      <c r="B327" s="60" t="s">
        <v>984</v>
      </c>
      <c r="C327" s="44" t="s">
        <v>985</v>
      </c>
      <c r="D327" s="44" t="s">
        <v>642</v>
      </c>
      <c r="F327" s="79">
        <f>2554269.6</f>
        <v>2554269.6</v>
      </c>
      <c r="H327" s="63">
        <f t="shared" si="136"/>
        <v>831775.11702024285</v>
      </c>
      <c r="I327" s="63">
        <f t="shared" si="136"/>
        <v>0</v>
      </c>
      <c r="J327" s="63">
        <f t="shared" si="136"/>
        <v>0</v>
      </c>
      <c r="K327" s="63">
        <f t="shared" si="136"/>
        <v>705433.8109697093</v>
      </c>
      <c r="L327" s="63">
        <f t="shared" si="136"/>
        <v>0</v>
      </c>
      <c r="M327" s="63">
        <f t="shared" si="136"/>
        <v>0</v>
      </c>
      <c r="N327" s="63">
        <f t="shared" si="136"/>
        <v>191691.28626317176</v>
      </c>
      <c r="O327" s="63">
        <f t="shared" si="136"/>
        <v>0</v>
      </c>
      <c r="P327" s="63">
        <f t="shared" si="136"/>
        <v>0</v>
      </c>
      <c r="Q327" s="63">
        <f t="shared" si="136"/>
        <v>0</v>
      </c>
      <c r="R327" s="63">
        <f t="shared" si="137"/>
        <v>79781.325482335073</v>
      </c>
      <c r="S327" s="63">
        <f t="shared" si="137"/>
        <v>0</v>
      </c>
      <c r="T327" s="63">
        <f t="shared" si="137"/>
        <v>79131.307250607497</v>
      </c>
      <c r="U327" s="63">
        <f t="shared" si="137"/>
        <v>133717.86097187983</v>
      </c>
      <c r="V327" s="63">
        <f t="shared" si="137"/>
        <v>26256.902035934232</v>
      </c>
      <c r="W327" s="63">
        <f t="shared" si="137"/>
        <v>45724.144179531642</v>
      </c>
      <c r="X327" s="63">
        <f t="shared" si="137"/>
        <v>7174.3595669215747</v>
      </c>
      <c r="Y327" s="63">
        <f t="shared" si="137"/>
        <v>3999.0447433642776</v>
      </c>
      <c r="Z327" s="63">
        <f t="shared" si="137"/>
        <v>1793.3674311014931</v>
      </c>
      <c r="AA327" s="63">
        <f t="shared" si="137"/>
        <v>162811.48083377321</v>
      </c>
      <c r="AB327" s="63">
        <f t="shared" si="137"/>
        <v>6187.384090851886</v>
      </c>
      <c r="AC327" s="63">
        <f t="shared" si="137"/>
        <v>228920.42305178745</v>
      </c>
      <c r="AD327" s="63">
        <f t="shared" si="137"/>
        <v>49871.786108787877</v>
      </c>
      <c r="AE327" s="63">
        <f t="shared" si="137"/>
        <v>0</v>
      </c>
      <c r="AF327" s="63">
        <f t="shared" si="138"/>
        <v>2554269.6</v>
      </c>
      <c r="AG327" s="58" t="str">
        <f t="shared" si="139"/>
        <v>ok</v>
      </c>
    </row>
    <row r="328" spans="1:33">
      <c r="A328" s="60">
        <v>931</v>
      </c>
      <c r="B328" s="60" t="s">
        <v>986</v>
      </c>
      <c r="C328" s="44" t="s">
        <v>987</v>
      </c>
      <c r="D328" s="44" t="s">
        <v>882</v>
      </c>
      <c r="F328" s="79">
        <v>1807941</v>
      </c>
      <c r="H328" s="63">
        <f t="shared" si="136"/>
        <v>1103634.6365621204</v>
      </c>
      <c r="I328" s="63">
        <f t="shared" si="136"/>
        <v>0</v>
      </c>
      <c r="J328" s="63">
        <f t="shared" si="136"/>
        <v>0</v>
      </c>
      <c r="K328" s="63">
        <f t="shared" si="136"/>
        <v>0</v>
      </c>
      <c r="L328" s="63">
        <f t="shared" si="136"/>
        <v>0</v>
      </c>
      <c r="M328" s="63">
        <f t="shared" si="136"/>
        <v>0</v>
      </c>
      <c r="N328" s="63">
        <f t="shared" si="136"/>
        <v>169506.94499818029</v>
      </c>
      <c r="O328" s="63">
        <f t="shared" si="136"/>
        <v>0</v>
      </c>
      <c r="P328" s="63">
        <f t="shared" si="136"/>
        <v>0</v>
      </c>
      <c r="Q328" s="63">
        <f t="shared" si="136"/>
        <v>0</v>
      </c>
      <c r="R328" s="63">
        <f t="shared" si="137"/>
        <v>66690.393369653524</v>
      </c>
      <c r="S328" s="63">
        <f t="shared" si="137"/>
        <v>0</v>
      </c>
      <c r="T328" s="63">
        <f t="shared" si="137"/>
        <v>102381.66999409457</v>
      </c>
      <c r="U328" s="63">
        <f t="shared" si="137"/>
        <v>167540.31659988733</v>
      </c>
      <c r="V328" s="63">
        <f t="shared" si="137"/>
        <v>28565.420203154743</v>
      </c>
      <c r="W328" s="63">
        <f t="shared" si="137"/>
        <v>48811.31113250176</v>
      </c>
      <c r="X328" s="63">
        <f t="shared" si="137"/>
        <v>34994.248623237596</v>
      </c>
      <c r="Y328" s="63">
        <f t="shared" si="137"/>
        <v>19506.070848465832</v>
      </c>
      <c r="Z328" s="63">
        <f t="shared" si="137"/>
        <v>12471.61546753746</v>
      </c>
      <c r="AA328" s="63">
        <f t="shared" si="137"/>
        <v>12718.896116765218</v>
      </c>
      <c r="AB328" s="63">
        <f t="shared" si="137"/>
        <v>41119.476084401176</v>
      </c>
      <c r="AC328" s="63">
        <f t="shared" si="137"/>
        <v>0</v>
      </c>
      <c r="AD328" s="63">
        <f t="shared" si="137"/>
        <v>0</v>
      </c>
      <c r="AE328" s="63">
        <f t="shared" si="137"/>
        <v>0</v>
      </c>
      <c r="AF328" s="63">
        <f t="shared" si="138"/>
        <v>1807941</v>
      </c>
      <c r="AG328" s="58" t="str">
        <f t="shared" si="139"/>
        <v>ok</v>
      </c>
    </row>
    <row r="329" spans="1:33">
      <c r="A329" s="60">
        <v>935</v>
      </c>
      <c r="B329" s="60" t="s">
        <v>988</v>
      </c>
      <c r="C329" s="44" t="s">
        <v>271</v>
      </c>
      <c r="D329" s="44" t="s">
        <v>882</v>
      </c>
      <c r="F329" s="79">
        <v>1055259.0900000001</v>
      </c>
      <c r="H329" s="63">
        <f t="shared" si="136"/>
        <v>644169.51784987678</v>
      </c>
      <c r="I329" s="63">
        <f t="shared" si="136"/>
        <v>0</v>
      </c>
      <c r="J329" s="63">
        <f t="shared" si="136"/>
        <v>0</v>
      </c>
      <c r="K329" s="63">
        <f t="shared" si="136"/>
        <v>0</v>
      </c>
      <c r="L329" s="63">
        <f t="shared" si="136"/>
        <v>0</v>
      </c>
      <c r="M329" s="63">
        <f t="shared" si="136"/>
        <v>0</v>
      </c>
      <c r="N329" s="63">
        <f t="shared" si="136"/>
        <v>98937.821824639075</v>
      </c>
      <c r="O329" s="63">
        <f t="shared" si="136"/>
        <v>0</v>
      </c>
      <c r="P329" s="63">
        <f t="shared" si="136"/>
        <v>0</v>
      </c>
      <c r="Q329" s="63">
        <f t="shared" si="136"/>
        <v>0</v>
      </c>
      <c r="R329" s="63">
        <f t="shared" si="137"/>
        <v>38925.852015636912</v>
      </c>
      <c r="S329" s="63">
        <f t="shared" si="137"/>
        <v>0</v>
      </c>
      <c r="T329" s="63">
        <f t="shared" si="137"/>
        <v>59758.138075660958</v>
      </c>
      <c r="U329" s="63">
        <f t="shared" si="137"/>
        <v>97789.940066356707</v>
      </c>
      <c r="V329" s="63">
        <f t="shared" si="137"/>
        <v>16673.065840671068</v>
      </c>
      <c r="W329" s="63">
        <f t="shared" si="137"/>
        <v>28490.188433909447</v>
      </c>
      <c r="X329" s="63">
        <f t="shared" si="137"/>
        <v>20425.444722693639</v>
      </c>
      <c r="Y329" s="63">
        <f t="shared" si="137"/>
        <v>11385.304372779634</v>
      </c>
      <c r="Z329" s="63">
        <f t="shared" si="137"/>
        <v>7279.433117067153</v>
      </c>
      <c r="AA329" s="63">
        <f t="shared" si="137"/>
        <v>7423.7658983242254</v>
      </c>
      <c r="AB329" s="63">
        <f t="shared" si="137"/>
        <v>24000.617782384466</v>
      </c>
      <c r="AC329" s="63">
        <f t="shared" si="137"/>
        <v>0</v>
      </c>
      <c r="AD329" s="63">
        <f t="shared" si="137"/>
        <v>0</v>
      </c>
      <c r="AE329" s="63">
        <f t="shared" si="137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989</v>
      </c>
      <c r="B331" s="60"/>
      <c r="C331" s="44" t="s">
        <v>990</v>
      </c>
      <c r="F331" s="173">
        <f t="shared" ref="F331:M331" si="140">SUM(F317:F330)</f>
        <v>86141161.403472722</v>
      </c>
      <c r="G331" s="62">
        <f t="shared" si="140"/>
        <v>0</v>
      </c>
      <c r="H331" s="62">
        <f t="shared" si="140"/>
        <v>31179144.410739217</v>
      </c>
      <c r="I331" s="62">
        <f t="shared" si="140"/>
        <v>0</v>
      </c>
      <c r="J331" s="62">
        <f t="shared" si="140"/>
        <v>0</v>
      </c>
      <c r="K331" s="62">
        <f t="shared" si="140"/>
        <v>20733967.575263679</v>
      </c>
      <c r="L331" s="62">
        <f t="shared" si="140"/>
        <v>0</v>
      </c>
      <c r="M331" s="62">
        <f t="shared" si="140"/>
        <v>0</v>
      </c>
      <c r="N331" s="62">
        <f>SUM(N317:N330)</f>
        <v>6692420.1121264314</v>
      </c>
      <c r="O331" s="62">
        <f>SUM(O317:O330)</f>
        <v>0</v>
      </c>
      <c r="P331" s="62">
        <f>SUM(P317:P330)</f>
        <v>0</v>
      </c>
      <c r="Q331" s="62">
        <f t="shared" ref="Q331:AB331" si="141">SUM(Q317:Q330)</f>
        <v>0</v>
      </c>
      <c r="R331" s="62">
        <f t="shared" si="141"/>
        <v>2753506.5880115326</v>
      </c>
      <c r="S331" s="62">
        <f t="shared" si="141"/>
        <v>0</v>
      </c>
      <c r="T331" s="62">
        <f t="shared" si="141"/>
        <v>2953070.0626770994</v>
      </c>
      <c r="U331" s="62">
        <f t="shared" si="141"/>
        <v>4956672.5190970311</v>
      </c>
      <c r="V331" s="62">
        <f t="shared" si="141"/>
        <v>946748.44917554583</v>
      </c>
      <c r="W331" s="62">
        <f t="shared" si="141"/>
        <v>1642965.5795265385</v>
      </c>
      <c r="X331" s="62">
        <f t="shared" si="141"/>
        <v>425265.5402210069</v>
      </c>
      <c r="Y331" s="62">
        <f t="shared" si="141"/>
        <v>237046.37428487805</v>
      </c>
      <c r="Z331" s="62">
        <f t="shared" si="141"/>
        <v>129119.76609374654</v>
      </c>
      <c r="AA331" s="62">
        <f t="shared" si="141"/>
        <v>4863246.5226080706</v>
      </c>
      <c r="AB331" s="62">
        <f t="shared" si="141"/>
        <v>433783.80528541713</v>
      </c>
      <c r="AC331" s="62">
        <f>SUM(AC317:AC330)</f>
        <v>6728382.6704405174</v>
      </c>
      <c r="AD331" s="62">
        <f>SUM(AD317:AD330)</f>
        <v>1465821.4279220221</v>
      </c>
      <c r="AE331" s="62">
        <f>SUM(AE317:AE330)</f>
        <v>0</v>
      </c>
      <c r="AF331" s="63">
        <f>SUM(H331:AE331)</f>
        <v>86141161.403472766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991</v>
      </c>
      <c r="B333" s="60"/>
      <c r="C333" s="44" t="s">
        <v>992</v>
      </c>
      <c r="F333" s="76">
        <f>F280+F292+F306+F331</f>
        <v>643436661.2413125</v>
      </c>
      <c r="G333" s="62"/>
      <c r="H333" s="62">
        <f t="shared" ref="H333:AE333" si="142">H280+H292+H306+H331</f>
        <v>111958098.21523491</v>
      </c>
      <c r="I333" s="62">
        <f t="shared" si="142"/>
        <v>0</v>
      </c>
      <c r="J333" s="62">
        <f t="shared" si="142"/>
        <v>0</v>
      </c>
      <c r="K333" s="62">
        <f t="shared" si="142"/>
        <v>397495518.54181111</v>
      </c>
      <c r="L333" s="62">
        <f t="shared" si="142"/>
        <v>0</v>
      </c>
      <c r="M333" s="62">
        <f t="shared" si="142"/>
        <v>0</v>
      </c>
      <c r="N333" s="62">
        <f t="shared" si="142"/>
        <v>34465993.112126328</v>
      </c>
      <c r="O333" s="62">
        <f t="shared" si="142"/>
        <v>0</v>
      </c>
      <c r="P333" s="62">
        <f t="shared" si="142"/>
        <v>0</v>
      </c>
      <c r="Q333" s="62">
        <f t="shared" si="142"/>
        <v>0</v>
      </c>
      <c r="R333" s="62">
        <f t="shared" si="142"/>
        <v>8074378.6521175466</v>
      </c>
      <c r="S333" s="62">
        <f t="shared" si="142"/>
        <v>0</v>
      </c>
      <c r="T333" s="62">
        <f t="shared" si="142"/>
        <v>13200174.80048782</v>
      </c>
      <c r="U333" s="62">
        <f t="shared" si="142"/>
        <v>22092723.664574921</v>
      </c>
      <c r="V333" s="62">
        <f t="shared" si="142"/>
        <v>4169128.806815919</v>
      </c>
      <c r="W333" s="62">
        <f t="shared" si="142"/>
        <v>7223790.8391335364</v>
      </c>
      <c r="X333" s="62">
        <f t="shared" si="142"/>
        <v>1117029.2182578882</v>
      </c>
      <c r="Y333" s="62">
        <f t="shared" si="142"/>
        <v>622640.91753283411</v>
      </c>
      <c r="Z333" s="62">
        <f t="shared" si="142"/>
        <v>332912.57849805721</v>
      </c>
      <c r="AA333" s="62">
        <f t="shared" si="142"/>
        <v>13918315.257724669</v>
      </c>
      <c r="AB333" s="62">
        <f t="shared" si="142"/>
        <v>1673935.4718376463</v>
      </c>
      <c r="AC333" s="62">
        <f t="shared" si="142"/>
        <v>22203327.895651627</v>
      </c>
      <c r="AD333" s="62">
        <f t="shared" si="142"/>
        <v>4888693.2695076521</v>
      </c>
      <c r="AE333" s="62">
        <f t="shared" si="142"/>
        <v>0</v>
      </c>
      <c r="AF333" s="63">
        <f>SUM(H333:AE333)</f>
        <v>643436661.24131227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901</v>
      </c>
      <c r="F335" s="80">
        <f>F333-F214-F215-F216-F217</f>
        <v>600159989.99844694</v>
      </c>
      <c r="G335" s="64">
        <f>G333-G214</f>
        <v>0</v>
      </c>
      <c r="H335" s="64">
        <f t="shared" ref="H335:AE335" si="143">H333-H214-H215-H216-H217</f>
        <v>88271387.475935325</v>
      </c>
      <c r="I335" s="64">
        <f t="shared" si="143"/>
        <v>0</v>
      </c>
      <c r="J335" s="64">
        <f t="shared" si="143"/>
        <v>0</v>
      </c>
      <c r="K335" s="64">
        <f t="shared" si="143"/>
        <v>377905558.0382452</v>
      </c>
      <c r="L335" s="64">
        <f t="shared" si="143"/>
        <v>0</v>
      </c>
      <c r="M335" s="64">
        <f t="shared" si="143"/>
        <v>0</v>
      </c>
      <c r="N335" s="64">
        <f t="shared" si="143"/>
        <v>34465993.112126328</v>
      </c>
      <c r="O335" s="64">
        <f t="shared" si="143"/>
        <v>0</v>
      </c>
      <c r="P335" s="64">
        <f t="shared" si="143"/>
        <v>0</v>
      </c>
      <c r="Q335" s="64">
        <f t="shared" si="143"/>
        <v>0</v>
      </c>
      <c r="R335" s="64">
        <f t="shared" si="143"/>
        <v>8074378.6521175466</v>
      </c>
      <c r="S335" s="64">
        <f t="shared" si="143"/>
        <v>0</v>
      </c>
      <c r="T335" s="64">
        <f t="shared" si="143"/>
        <v>13200174.80048782</v>
      </c>
      <c r="U335" s="64">
        <f t="shared" si="143"/>
        <v>22092723.664574921</v>
      </c>
      <c r="V335" s="64">
        <f t="shared" si="143"/>
        <v>4169128.806815919</v>
      </c>
      <c r="W335" s="64">
        <f t="shared" si="143"/>
        <v>7223790.8391335364</v>
      </c>
      <c r="X335" s="64">
        <f t="shared" si="143"/>
        <v>1117029.2182578882</v>
      </c>
      <c r="Y335" s="64">
        <f t="shared" si="143"/>
        <v>622640.91753283411</v>
      </c>
      <c r="Z335" s="64">
        <f t="shared" si="143"/>
        <v>332912.57849805721</v>
      </c>
      <c r="AA335" s="64">
        <f t="shared" si="143"/>
        <v>13918315.257724669</v>
      </c>
      <c r="AB335" s="64">
        <f t="shared" si="143"/>
        <v>1673935.4718376463</v>
      </c>
      <c r="AC335" s="64">
        <f t="shared" si="143"/>
        <v>22203327.895651627</v>
      </c>
      <c r="AD335" s="64">
        <f t="shared" si="143"/>
        <v>4888693.2695076521</v>
      </c>
      <c r="AE335" s="64">
        <f t="shared" si="143"/>
        <v>0</v>
      </c>
      <c r="AF335" s="63">
        <f>SUM(H335:AE335)</f>
        <v>600159989.9984467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70751094.7351432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4.1">
      <c r="A361" s="59" t="s">
        <v>993</v>
      </c>
      <c r="B361" s="60"/>
      <c r="W361" s="44"/>
      <c r="AG361" s="58"/>
    </row>
    <row r="362" spans="1:33" ht="14.1">
      <c r="A362" s="59"/>
      <c r="B362" s="60"/>
      <c r="W362" s="44"/>
      <c r="AG362" s="58"/>
    </row>
    <row r="363" spans="1:33" ht="14.1">
      <c r="A363" s="65" t="s">
        <v>207</v>
      </c>
      <c r="B363" s="60"/>
      <c r="W363" s="44"/>
      <c r="AG363" s="58"/>
    </row>
    <row r="364" spans="1:33">
      <c r="A364" s="60">
        <v>500</v>
      </c>
      <c r="B364" s="60" t="s">
        <v>199</v>
      </c>
      <c r="C364" s="44" t="s">
        <v>272</v>
      </c>
      <c r="D364" s="44" t="s">
        <v>621</v>
      </c>
      <c r="F364" s="76">
        <v>3778998</v>
      </c>
      <c r="H364" s="63">
        <f t="shared" ref="H364:Q370" si="144">IF(VLOOKUP($D364,$C$6:$AE$653,H$2,)=0,0,((VLOOKUP($D364,$C$6:$AE$653,H$2,)/VLOOKUP($D364,$C$6:$AE$653,4,))*$F364))</f>
        <v>3300979.6732154498</v>
      </c>
      <c r="I364" s="63">
        <f t="shared" si="144"/>
        <v>0</v>
      </c>
      <c r="J364" s="63">
        <f t="shared" si="144"/>
        <v>0</v>
      </c>
      <c r="K364" s="63">
        <f t="shared" si="144"/>
        <v>478018.32678455021</v>
      </c>
      <c r="L364" s="63">
        <f t="shared" si="144"/>
        <v>0</v>
      </c>
      <c r="M364" s="63">
        <f t="shared" si="144"/>
        <v>0</v>
      </c>
      <c r="N364" s="63">
        <f t="shared" si="144"/>
        <v>0</v>
      </c>
      <c r="O364" s="63">
        <f t="shared" si="144"/>
        <v>0</v>
      </c>
      <c r="P364" s="63">
        <f t="shared" si="144"/>
        <v>0</v>
      </c>
      <c r="Q364" s="63">
        <f t="shared" si="144"/>
        <v>0</v>
      </c>
      <c r="R364" s="63">
        <f t="shared" ref="R364:AE370" si="145">IF(VLOOKUP($D364,$C$6:$AE$653,R$2,)=0,0,((VLOOKUP($D364,$C$6:$AE$653,R$2,)/VLOOKUP($D364,$C$6:$AE$653,4,))*$F364))</f>
        <v>0</v>
      </c>
      <c r="S364" s="63">
        <f t="shared" si="145"/>
        <v>0</v>
      </c>
      <c r="T364" s="63">
        <f t="shared" si="145"/>
        <v>0</v>
      </c>
      <c r="U364" s="63">
        <f t="shared" si="145"/>
        <v>0</v>
      </c>
      <c r="V364" s="63">
        <f t="shared" si="145"/>
        <v>0</v>
      </c>
      <c r="W364" s="63">
        <f t="shared" si="145"/>
        <v>0</v>
      </c>
      <c r="X364" s="63">
        <f t="shared" si="145"/>
        <v>0</v>
      </c>
      <c r="Y364" s="63">
        <f t="shared" si="145"/>
        <v>0</v>
      </c>
      <c r="Z364" s="63">
        <f t="shared" si="145"/>
        <v>0</v>
      </c>
      <c r="AA364" s="63">
        <f t="shared" si="145"/>
        <v>0</v>
      </c>
      <c r="AB364" s="63">
        <f t="shared" si="145"/>
        <v>0</v>
      </c>
      <c r="AC364" s="63">
        <f t="shared" si="145"/>
        <v>0</v>
      </c>
      <c r="AD364" s="63">
        <f t="shared" si="145"/>
        <v>0</v>
      </c>
      <c r="AE364" s="63">
        <f t="shared" si="145"/>
        <v>0</v>
      </c>
      <c r="AF364" s="63">
        <f t="shared" ref="AF364:AF383" si="146">SUM(H364:AE364)</f>
        <v>3778998</v>
      </c>
      <c r="AG364" s="58" t="str">
        <f t="shared" ref="AG364:AG370" si="147">IF(ABS(AF364-F364)&lt;1,"ok","err")</f>
        <v>ok</v>
      </c>
    </row>
    <row r="365" spans="1:33">
      <c r="A365" s="275">
        <v>501</v>
      </c>
      <c r="B365" s="60" t="s">
        <v>201</v>
      </c>
      <c r="C365" s="44" t="s">
        <v>273</v>
      </c>
      <c r="D365" s="44" t="s">
        <v>854</v>
      </c>
      <c r="F365" s="79">
        <v>1594068</v>
      </c>
      <c r="H365" s="63">
        <f t="shared" si="144"/>
        <v>0</v>
      </c>
      <c r="I365" s="63">
        <f t="shared" si="144"/>
        <v>0</v>
      </c>
      <c r="J365" s="63">
        <f t="shared" si="144"/>
        <v>0</v>
      </c>
      <c r="K365" s="63">
        <f t="shared" si="144"/>
        <v>1594068</v>
      </c>
      <c r="L365" s="63">
        <f t="shared" si="144"/>
        <v>0</v>
      </c>
      <c r="M365" s="63">
        <f t="shared" si="144"/>
        <v>0</v>
      </c>
      <c r="N365" s="63">
        <f t="shared" si="144"/>
        <v>0</v>
      </c>
      <c r="O365" s="63">
        <f t="shared" si="144"/>
        <v>0</v>
      </c>
      <c r="P365" s="63">
        <f t="shared" si="144"/>
        <v>0</v>
      </c>
      <c r="Q365" s="63">
        <f t="shared" si="144"/>
        <v>0</v>
      </c>
      <c r="R365" s="63">
        <f t="shared" si="145"/>
        <v>0</v>
      </c>
      <c r="S365" s="63">
        <f t="shared" si="145"/>
        <v>0</v>
      </c>
      <c r="T365" s="63">
        <f t="shared" si="145"/>
        <v>0</v>
      </c>
      <c r="U365" s="63">
        <f t="shared" si="145"/>
        <v>0</v>
      </c>
      <c r="V365" s="63">
        <f t="shared" si="145"/>
        <v>0</v>
      </c>
      <c r="W365" s="63">
        <f t="shared" si="145"/>
        <v>0</v>
      </c>
      <c r="X365" s="63">
        <f t="shared" si="145"/>
        <v>0</v>
      </c>
      <c r="Y365" s="63">
        <f t="shared" si="145"/>
        <v>0</v>
      </c>
      <c r="Z365" s="63">
        <f t="shared" si="145"/>
        <v>0</v>
      </c>
      <c r="AA365" s="63">
        <f t="shared" si="145"/>
        <v>0</v>
      </c>
      <c r="AB365" s="63">
        <f t="shared" si="145"/>
        <v>0</v>
      </c>
      <c r="AC365" s="63">
        <f t="shared" si="145"/>
        <v>0</v>
      </c>
      <c r="AD365" s="63">
        <f t="shared" si="145"/>
        <v>0</v>
      </c>
      <c r="AE365" s="63">
        <f t="shared" si="145"/>
        <v>0</v>
      </c>
      <c r="AF365" s="63">
        <f t="shared" si="146"/>
        <v>1594068</v>
      </c>
      <c r="AG365" s="58" t="str">
        <f t="shared" si="147"/>
        <v>ok</v>
      </c>
    </row>
    <row r="366" spans="1:33">
      <c r="A366" s="60">
        <v>502</v>
      </c>
      <c r="B366" s="60" t="s">
        <v>203</v>
      </c>
      <c r="C366" s="44" t="s">
        <v>274</v>
      </c>
      <c r="D366" s="44" t="s">
        <v>624</v>
      </c>
      <c r="F366" s="79">
        <v>6850162</v>
      </c>
      <c r="H366" s="63">
        <f t="shared" si="144"/>
        <v>6850162</v>
      </c>
      <c r="I366" s="63">
        <f t="shared" si="144"/>
        <v>0</v>
      </c>
      <c r="J366" s="63">
        <f t="shared" si="144"/>
        <v>0</v>
      </c>
      <c r="K366" s="63">
        <f t="shared" si="144"/>
        <v>0</v>
      </c>
      <c r="L366" s="63">
        <f t="shared" si="144"/>
        <v>0</v>
      </c>
      <c r="M366" s="63">
        <f t="shared" si="144"/>
        <v>0</v>
      </c>
      <c r="N366" s="63">
        <f t="shared" si="144"/>
        <v>0</v>
      </c>
      <c r="O366" s="63">
        <f t="shared" si="144"/>
        <v>0</v>
      </c>
      <c r="P366" s="63">
        <f t="shared" si="144"/>
        <v>0</v>
      </c>
      <c r="Q366" s="63">
        <f t="shared" si="144"/>
        <v>0</v>
      </c>
      <c r="R366" s="63">
        <f t="shared" si="145"/>
        <v>0</v>
      </c>
      <c r="S366" s="63">
        <f t="shared" si="145"/>
        <v>0</v>
      </c>
      <c r="T366" s="63">
        <f t="shared" si="145"/>
        <v>0</v>
      </c>
      <c r="U366" s="63">
        <f t="shared" si="145"/>
        <v>0</v>
      </c>
      <c r="V366" s="63">
        <f t="shared" si="145"/>
        <v>0</v>
      </c>
      <c r="W366" s="63">
        <f t="shared" si="145"/>
        <v>0</v>
      </c>
      <c r="X366" s="63">
        <f t="shared" si="145"/>
        <v>0</v>
      </c>
      <c r="Y366" s="63">
        <f t="shared" si="145"/>
        <v>0</v>
      </c>
      <c r="Z366" s="63">
        <f t="shared" si="145"/>
        <v>0</v>
      </c>
      <c r="AA366" s="63">
        <f t="shared" si="145"/>
        <v>0</v>
      </c>
      <c r="AB366" s="63">
        <f t="shared" si="145"/>
        <v>0</v>
      </c>
      <c r="AC366" s="63">
        <f t="shared" si="145"/>
        <v>0</v>
      </c>
      <c r="AD366" s="63">
        <f t="shared" si="145"/>
        <v>0</v>
      </c>
      <c r="AE366" s="63">
        <f t="shared" si="145"/>
        <v>0</v>
      </c>
      <c r="AF366" s="63">
        <f t="shared" si="146"/>
        <v>6850162</v>
      </c>
      <c r="AG366" s="58" t="str">
        <f t="shared" si="147"/>
        <v>ok</v>
      </c>
    </row>
    <row r="367" spans="1:33">
      <c r="A367" s="60">
        <v>504</v>
      </c>
      <c r="B367" s="60" t="s">
        <v>1176</v>
      </c>
      <c r="C367" s="44" t="s">
        <v>1175</v>
      </c>
      <c r="D367" s="44" t="s">
        <v>624</v>
      </c>
      <c r="F367" s="79">
        <v>0</v>
      </c>
      <c r="H367" s="63">
        <f t="shared" si="144"/>
        <v>0</v>
      </c>
      <c r="I367" s="63">
        <f t="shared" si="144"/>
        <v>0</v>
      </c>
      <c r="J367" s="63">
        <f t="shared" si="144"/>
        <v>0</v>
      </c>
      <c r="K367" s="63">
        <f t="shared" si="144"/>
        <v>0</v>
      </c>
      <c r="L367" s="63">
        <f t="shared" si="144"/>
        <v>0</v>
      </c>
      <c r="M367" s="63">
        <f t="shared" si="144"/>
        <v>0</v>
      </c>
      <c r="N367" s="63">
        <f t="shared" si="144"/>
        <v>0</v>
      </c>
      <c r="O367" s="63">
        <f t="shared" si="144"/>
        <v>0</v>
      </c>
      <c r="P367" s="63">
        <f t="shared" si="144"/>
        <v>0</v>
      </c>
      <c r="Q367" s="63">
        <f t="shared" si="144"/>
        <v>0</v>
      </c>
      <c r="R367" s="63">
        <f t="shared" si="145"/>
        <v>0</v>
      </c>
      <c r="S367" s="63">
        <f t="shared" si="145"/>
        <v>0</v>
      </c>
      <c r="T367" s="63">
        <f t="shared" si="145"/>
        <v>0</v>
      </c>
      <c r="U367" s="63">
        <f t="shared" si="145"/>
        <v>0</v>
      </c>
      <c r="V367" s="63">
        <f t="shared" si="145"/>
        <v>0</v>
      </c>
      <c r="W367" s="63">
        <f t="shared" si="145"/>
        <v>0</v>
      </c>
      <c r="X367" s="63">
        <f t="shared" si="145"/>
        <v>0</v>
      </c>
      <c r="Y367" s="63">
        <f t="shared" si="145"/>
        <v>0</v>
      </c>
      <c r="Z367" s="63">
        <f t="shared" si="145"/>
        <v>0</v>
      </c>
      <c r="AA367" s="63">
        <f t="shared" si="145"/>
        <v>0</v>
      </c>
      <c r="AB367" s="63">
        <f t="shared" si="145"/>
        <v>0</v>
      </c>
      <c r="AC367" s="63">
        <f t="shared" si="145"/>
        <v>0</v>
      </c>
      <c r="AD367" s="63">
        <f t="shared" si="145"/>
        <v>0</v>
      </c>
      <c r="AE367" s="63">
        <f t="shared" si="145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205</v>
      </c>
      <c r="C368" s="44" t="s">
        <v>275</v>
      </c>
      <c r="D368" s="44" t="s">
        <v>624</v>
      </c>
      <c r="F368" s="79">
        <v>1917383</v>
      </c>
      <c r="H368" s="63">
        <f t="shared" si="144"/>
        <v>1917383</v>
      </c>
      <c r="I368" s="63">
        <f t="shared" si="144"/>
        <v>0</v>
      </c>
      <c r="J368" s="63">
        <f t="shared" si="144"/>
        <v>0</v>
      </c>
      <c r="K368" s="63">
        <f t="shared" si="144"/>
        <v>0</v>
      </c>
      <c r="L368" s="63">
        <f t="shared" si="144"/>
        <v>0</v>
      </c>
      <c r="M368" s="63">
        <f t="shared" si="144"/>
        <v>0</v>
      </c>
      <c r="N368" s="63">
        <f t="shared" si="144"/>
        <v>0</v>
      </c>
      <c r="O368" s="63">
        <f t="shared" si="144"/>
        <v>0</v>
      </c>
      <c r="P368" s="63">
        <f t="shared" si="144"/>
        <v>0</v>
      </c>
      <c r="Q368" s="63">
        <f t="shared" si="144"/>
        <v>0</v>
      </c>
      <c r="R368" s="63">
        <f t="shared" si="145"/>
        <v>0</v>
      </c>
      <c r="S368" s="63">
        <f t="shared" si="145"/>
        <v>0</v>
      </c>
      <c r="T368" s="63">
        <f t="shared" si="145"/>
        <v>0</v>
      </c>
      <c r="U368" s="63">
        <f t="shared" si="145"/>
        <v>0</v>
      </c>
      <c r="V368" s="63">
        <f t="shared" si="145"/>
        <v>0</v>
      </c>
      <c r="W368" s="63">
        <f t="shared" si="145"/>
        <v>0</v>
      </c>
      <c r="X368" s="63">
        <f t="shared" si="145"/>
        <v>0</v>
      </c>
      <c r="Y368" s="63">
        <f t="shared" si="145"/>
        <v>0</v>
      </c>
      <c r="Z368" s="63">
        <f t="shared" si="145"/>
        <v>0</v>
      </c>
      <c r="AA368" s="63">
        <f t="shared" si="145"/>
        <v>0</v>
      </c>
      <c r="AB368" s="63">
        <f t="shared" si="145"/>
        <v>0</v>
      </c>
      <c r="AC368" s="63">
        <f t="shared" si="145"/>
        <v>0</v>
      </c>
      <c r="AD368" s="63">
        <f t="shared" si="145"/>
        <v>0</v>
      </c>
      <c r="AE368" s="63">
        <f t="shared" si="145"/>
        <v>0</v>
      </c>
      <c r="AF368" s="63">
        <f t="shared" si="146"/>
        <v>1917383</v>
      </c>
      <c r="AG368" s="58" t="str">
        <f t="shared" si="147"/>
        <v>ok</v>
      </c>
    </row>
    <row r="369" spans="1:33">
      <c r="A369" s="60">
        <v>506</v>
      </c>
      <c r="B369" s="60" t="s">
        <v>208</v>
      </c>
      <c r="C369" s="44" t="s">
        <v>276</v>
      </c>
      <c r="D369" s="44" t="s">
        <v>624</v>
      </c>
      <c r="F369" s="79">
        <v>2240372</v>
      </c>
      <c r="H369" s="63">
        <f t="shared" si="144"/>
        <v>2240372</v>
      </c>
      <c r="I369" s="63">
        <f t="shared" si="144"/>
        <v>0</v>
      </c>
      <c r="J369" s="63">
        <f t="shared" si="144"/>
        <v>0</v>
      </c>
      <c r="K369" s="63">
        <f t="shared" si="144"/>
        <v>0</v>
      </c>
      <c r="L369" s="63">
        <f t="shared" si="144"/>
        <v>0</v>
      </c>
      <c r="M369" s="63">
        <f t="shared" si="144"/>
        <v>0</v>
      </c>
      <c r="N369" s="63">
        <f t="shared" si="144"/>
        <v>0</v>
      </c>
      <c r="O369" s="63">
        <f t="shared" si="144"/>
        <v>0</v>
      </c>
      <c r="P369" s="63">
        <f t="shared" si="144"/>
        <v>0</v>
      </c>
      <c r="Q369" s="63">
        <f t="shared" si="144"/>
        <v>0</v>
      </c>
      <c r="R369" s="63">
        <f t="shared" si="145"/>
        <v>0</v>
      </c>
      <c r="S369" s="63">
        <f t="shared" si="145"/>
        <v>0</v>
      </c>
      <c r="T369" s="63">
        <f t="shared" si="145"/>
        <v>0</v>
      </c>
      <c r="U369" s="63">
        <f t="shared" si="145"/>
        <v>0</v>
      </c>
      <c r="V369" s="63">
        <f t="shared" si="145"/>
        <v>0</v>
      </c>
      <c r="W369" s="63">
        <f t="shared" si="145"/>
        <v>0</v>
      </c>
      <c r="X369" s="63">
        <f t="shared" si="145"/>
        <v>0</v>
      </c>
      <c r="Y369" s="63">
        <f t="shared" si="145"/>
        <v>0</v>
      </c>
      <c r="Z369" s="63">
        <f t="shared" si="145"/>
        <v>0</v>
      </c>
      <c r="AA369" s="63">
        <f t="shared" si="145"/>
        <v>0</v>
      </c>
      <c r="AB369" s="63">
        <f t="shared" si="145"/>
        <v>0</v>
      </c>
      <c r="AC369" s="63">
        <f t="shared" si="145"/>
        <v>0</v>
      </c>
      <c r="AD369" s="63">
        <f t="shared" si="145"/>
        <v>0</v>
      </c>
      <c r="AE369" s="63">
        <f t="shared" si="145"/>
        <v>0</v>
      </c>
      <c r="AF369" s="63">
        <f t="shared" si="146"/>
        <v>2240372</v>
      </c>
      <c r="AG369" s="58" t="str">
        <f t="shared" si="147"/>
        <v>ok</v>
      </c>
    </row>
    <row r="370" spans="1:33">
      <c r="A370" s="60">
        <v>507</v>
      </c>
      <c r="B370" s="60" t="s">
        <v>928</v>
      </c>
      <c r="C370" s="44" t="s">
        <v>347</v>
      </c>
      <c r="D370" s="44" t="s">
        <v>624</v>
      </c>
      <c r="F370" s="79">
        <v>0</v>
      </c>
      <c r="H370" s="63">
        <f t="shared" si="144"/>
        <v>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0</v>
      </c>
      <c r="N370" s="63">
        <f t="shared" si="144"/>
        <v>0</v>
      </c>
      <c r="O370" s="63">
        <f t="shared" si="144"/>
        <v>0</v>
      </c>
      <c r="P370" s="63">
        <f t="shared" si="144"/>
        <v>0</v>
      </c>
      <c r="Q370" s="63">
        <f t="shared" si="144"/>
        <v>0</v>
      </c>
      <c r="R370" s="63">
        <f t="shared" si="145"/>
        <v>0</v>
      </c>
      <c r="S370" s="63">
        <f t="shared" si="145"/>
        <v>0</v>
      </c>
      <c r="T370" s="63">
        <f t="shared" si="145"/>
        <v>0</v>
      </c>
      <c r="U370" s="63">
        <f t="shared" si="145"/>
        <v>0</v>
      </c>
      <c r="V370" s="63">
        <f t="shared" si="145"/>
        <v>0</v>
      </c>
      <c r="W370" s="63">
        <f t="shared" si="145"/>
        <v>0</v>
      </c>
      <c r="X370" s="63">
        <f t="shared" si="145"/>
        <v>0</v>
      </c>
      <c r="Y370" s="63">
        <f t="shared" si="145"/>
        <v>0</v>
      </c>
      <c r="Z370" s="63">
        <f t="shared" si="145"/>
        <v>0</v>
      </c>
      <c r="AA370" s="63">
        <f t="shared" si="145"/>
        <v>0</v>
      </c>
      <c r="AB370" s="63">
        <f t="shared" si="145"/>
        <v>0</v>
      </c>
      <c r="AC370" s="63">
        <f t="shared" si="145"/>
        <v>0</v>
      </c>
      <c r="AD370" s="63">
        <f t="shared" si="145"/>
        <v>0</v>
      </c>
      <c r="AE370" s="63">
        <f t="shared" si="145"/>
        <v>0</v>
      </c>
      <c r="AF370" s="63">
        <f t="shared" si="146"/>
        <v>0</v>
      </c>
      <c r="AG370" s="58" t="str">
        <f t="shared" si="147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210</v>
      </c>
      <c r="C372" s="44" t="s">
        <v>629</v>
      </c>
      <c r="F372" s="76">
        <f>SUM(F364:F371)</f>
        <v>16380983</v>
      </c>
      <c r="H372" s="62">
        <f t="shared" ref="H372:M372" si="148">SUM(H364:H371)</f>
        <v>14308896.673215449</v>
      </c>
      <c r="I372" s="62">
        <f t="shared" si="148"/>
        <v>0</v>
      </c>
      <c r="J372" s="62">
        <f t="shared" si="148"/>
        <v>0</v>
      </c>
      <c r="K372" s="62">
        <f t="shared" si="148"/>
        <v>2072086.3267845502</v>
      </c>
      <c r="L372" s="62">
        <f t="shared" si="148"/>
        <v>0</v>
      </c>
      <c r="M372" s="62">
        <f t="shared" si="148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49">SUM(Q364:Q371)</f>
        <v>0</v>
      </c>
      <c r="R372" s="62">
        <f t="shared" si="149"/>
        <v>0</v>
      </c>
      <c r="S372" s="62">
        <f t="shared" si="149"/>
        <v>0</v>
      </c>
      <c r="T372" s="62">
        <f t="shared" si="149"/>
        <v>0</v>
      </c>
      <c r="U372" s="62">
        <f t="shared" si="149"/>
        <v>0</v>
      </c>
      <c r="V372" s="62">
        <f t="shared" si="149"/>
        <v>0</v>
      </c>
      <c r="W372" s="62">
        <f t="shared" si="149"/>
        <v>0</v>
      </c>
      <c r="X372" s="62">
        <f t="shared" si="149"/>
        <v>0</v>
      </c>
      <c r="Y372" s="62">
        <f t="shared" si="149"/>
        <v>0</v>
      </c>
      <c r="Z372" s="62">
        <f t="shared" si="149"/>
        <v>0</v>
      </c>
      <c r="AA372" s="62">
        <f t="shared" si="149"/>
        <v>0</v>
      </c>
      <c r="AB372" s="62">
        <f t="shared" si="149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6"/>
        <v>16380983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4.1">
      <c r="A374" s="65" t="s">
        <v>211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214</v>
      </c>
      <c r="C375" s="44" t="s">
        <v>277</v>
      </c>
      <c r="D375" s="44" t="s">
        <v>626</v>
      </c>
      <c r="F375" s="76">
        <v>5516682</v>
      </c>
      <c r="H375" s="63">
        <f t="shared" ref="H375:Q379" si="150">IF(VLOOKUP($D375,$C$6:$AE$653,H$2,)=0,0,((VLOOKUP($D375,$C$6:$AE$653,H$2,)/VLOOKUP($D375,$C$6:$AE$653,4,))*$F375))</f>
        <v>21651.584021179897</v>
      </c>
      <c r="I375" s="63">
        <f t="shared" si="150"/>
        <v>0</v>
      </c>
      <c r="J375" s="63">
        <f t="shared" si="150"/>
        <v>0</v>
      </c>
      <c r="K375" s="63">
        <f t="shared" si="150"/>
        <v>5495030.4159788201</v>
      </c>
      <c r="L375" s="63">
        <f t="shared" si="150"/>
        <v>0</v>
      </c>
      <c r="M375" s="63">
        <f t="shared" si="150"/>
        <v>0</v>
      </c>
      <c r="N375" s="63">
        <f t="shared" si="150"/>
        <v>0</v>
      </c>
      <c r="O375" s="63">
        <f t="shared" si="150"/>
        <v>0</v>
      </c>
      <c r="P375" s="63">
        <f t="shared" si="150"/>
        <v>0</v>
      </c>
      <c r="Q375" s="63">
        <f t="shared" si="150"/>
        <v>0</v>
      </c>
      <c r="R375" s="63">
        <f t="shared" ref="R375:AE379" si="151">IF(VLOOKUP($D375,$C$6:$AE$653,R$2,)=0,0,((VLOOKUP($D375,$C$6:$AE$653,R$2,)/VLOOKUP($D375,$C$6:$AE$653,4,))*$F375))</f>
        <v>0</v>
      </c>
      <c r="S375" s="63">
        <f t="shared" si="151"/>
        <v>0</v>
      </c>
      <c r="T375" s="63">
        <f t="shared" si="151"/>
        <v>0</v>
      </c>
      <c r="U375" s="63">
        <f t="shared" si="151"/>
        <v>0</v>
      </c>
      <c r="V375" s="63">
        <f t="shared" si="151"/>
        <v>0</v>
      </c>
      <c r="W375" s="63">
        <f t="shared" si="151"/>
        <v>0</v>
      </c>
      <c r="X375" s="63">
        <f t="shared" si="151"/>
        <v>0</v>
      </c>
      <c r="Y375" s="63">
        <f t="shared" si="151"/>
        <v>0</v>
      </c>
      <c r="Z375" s="63">
        <f t="shared" si="151"/>
        <v>0</v>
      </c>
      <c r="AA375" s="63">
        <f t="shared" si="151"/>
        <v>0</v>
      </c>
      <c r="AB375" s="63">
        <f t="shared" si="151"/>
        <v>0</v>
      </c>
      <c r="AC375" s="63">
        <f t="shared" si="151"/>
        <v>0</v>
      </c>
      <c r="AD375" s="63">
        <f t="shared" si="151"/>
        <v>0</v>
      </c>
      <c r="AE375" s="63">
        <f t="shared" si="151"/>
        <v>0</v>
      </c>
      <c r="AF375" s="63">
        <f t="shared" si="146"/>
        <v>5516682</v>
      </c>
      <c r="AG375" s="58" t="str">
        <f>IF(ABS(AF375-F375)&lt;1,"ok","err")</f>
        <v>ok</v>
      </c>
    </row>
    <row r="376" spans="1:33">
      <c r="A376" s="60">
        <v>511</v>
      </c>
      <c r="B376" s="60" t="s">
        <v>213</v>
      </c>
      <c r="C376" s="44" t="s">
        <v>278</v>
      </c>
      <c r="D376" s="44" t="s">
        <v>624</v>
      </c>
      <c r="F376" s="79">
        <v>30396</v>
      </c>
      <c r="H376" s="63">
        <f t="shared" si="150"/>
        <v>30396</v>
      </c>
      <c r="I376" s="63">
        <f t="shared" si="150"/>
        <v>0</v>
      </c>
      <c r="J376" s="63">
        <f t="shared" si="150"/>
        <v>0</v>
      </c>
      <c r="K376" s="63">
        <f t="shared" si="150"/>
        <v>0</v>
      </c>
      <c r="L376" s="63">
        <f t="shared" si="150"/>
        <v>0</v>
      </c>
      <c r="M376" s="63">
        <f t="shared" si="150"/>
        <v>0</v>
      </c>
      <c r="N376" s="63">
        <f t="shared" si="150"/>
        <v>0</v>
      </c>
      <c r="O376" s="63">
        <f t="shared" si="150"/>
        <v>0</v>
      </c>
      <c r="P376" s="63">
        <f t="shared" si="150"/>
        <v>0</v>
      </c>
      <c r="Q376" s="63">
        <f t="shared" si="150"/>
        <v>0</v>
      </c>
      <c r="R376" s="63">
        <f t="shared" si="151"/>
        <v>0</v>
      </c>
      <c r="S376" s="63">
        <f t="shared" si="151"/>
        <v>0</v>
      </c>
      <c r="T376" s="63">
        <f t="shared" si="151"/>
        <v>0</v>
      </c>
      <c r="U376" s="63">
        <f t="shared" si="151"/>
        <v>0</v>
      </c>
      <c r="V376" s="63">
        <f t="shared" si="151"/>
        <v>0</v>
      </c>
      <c r="W376" s="63">
        <f t="shared" si="151"/>
        <v>0</v>
      </c>
      <c r="X376" s="63">
        <f t="shared" si="151"/>
        <v>0</v>
      </c>
      <c r="Y376" s="63">
        <f t="shared" si="151"/>
        <v>0</v>
      </c>
      <c r="Z376" s="63">
        <f t="shared" si="151"/>
        <v>0</v>
      </c>
      <c r="AA376" s="63">
        <f t="shared" si="151"/>
        <v>0</v>
      </c>
      <c r="AB376" s="63">
        <f t="shared" si="151"/>
        <v>0</v>
      </c>
      <c r="AC376" s="63">
        <f t="shared" si="151"/>
        <v>0</v>
      </c>
      <c r="AD376" s="63">
        <f t="shared" si="151"/>
        <v>0</v>
      </c>
      <c r="AE376" s="63">
        <f t="shared" si="151"/>
        <v>0</v>
      </c>
      <c r="AF376" s="63">
        <f t="shared" si="146"/>
        <v>30396</v>
      </c>
      <c r="AG376" s="58" t="str">
        <f>IF(ABS(AF376-F376)&lt;1,"ok","err")</f>
        <v>ok</v>
      </c>
    </row>
    <row r="377" spans="1:33">
      <c r="A377" s="60">
        <v>512</v>
      </c>
      <c r="B377" s="60" t="s">
        <v>216</v>
      </c>
      <c r="C377" s="44" t="s">
        <v>279</v>
      </c>
      <c r="D377" s="44" t="s">
        <v>854</v>
      </c>
      <c r="F377" s="79">
        <v>4426057</v>
      </c>
      <c r="H377" s="63">
        <f t="shared" si="150"/>
        <v>0</v>
      </c>
      <c r="I377" s="63">
        <f t="shared" si="150"/>
        <v>0</v>
      </c>
      <c r="J377" s="63">
        <f t="shared" si="150"/>
        <v>0</v>
      </c>
      <c r="K377" s="63">
        <f t="shared" si="150"/>
        <v>4426057</v>
      </c>
      <c r="L377" s="63">
        <f t="shared" si="150"/>
        <v>0</v>
      </c>
      <c r="M377" s="63">
        <f t="shared" si="150"/>
        <v>0</v>
      </c>
      <c r="N377" s="63">
        <f t="shared" si="150"/>
        <v>0</v>
      </c>
      <c r="O377" s="63">
        <f t="shared" si="150"/>
        <v>0</v>
      </c>
      <c r="P377" s="63">
        <f t="shared" si="150"/>
        <v>0</v>
      </c>
      <c r="Q377" s="63">
        <f t="shared" si="150"/>
        <v>0</v>
      </c>
      <c r="R377" s="63">
        <f t="shared" si="151"/>
        <v>0</v>
      </c>
      <c r="S377" s="63">
        <f t="shared" si="151"/>
        <v>0</v>
      </c>
      <c r="T377" s="63">
        <f t="shared" si="151"/>
        <v>0</v>
      </c>
      <c r="U377" s="63">
        <f t="shared" si="151"/>
        <v>0</v>
      </c>
      <c r="V377" s="63">
        <f t="shared" si="151"/>
        <v>0</v>
      </c>
      <c r="W377" s="63">
        <f t="shared" si="151"/>
        <v>0</v>
      </c>
      <c r="X377" s="63">
        <f t="shared" si="151"/>
        <v>0</v>
      </c>
      <c r="Y377" s="63">
        <f t="shared" si="151"/>
        <v>0</v>
      </c>
      <c r="Z377" s="63">
        <f t="shared" si="151"/>
        <v>0</v>
      </c>
      <c r="AA377" s="63">
        <f t="shared" si="151"/>
        <v>0</v>
      </c>
      <c r="AB377" s="63">
        <f t="shared" si="151"/>
        <v>0</v>
      </c>
      <c r="AC377" s="63">
        <f t="shared" si="151"/>
        <v>0</v>
      </c>
      <c r="AD377" s="63">
        <f t="shared" si="151"/>
        <v>0</v>
      </c>
      <c r="AE377" s="63">
        <f t="shared" si="151"/>
        <v>0</v>
      </c>
      <c r="AF377" s="63">
        <f t="shared" si="146"/>
        <v>4426057</v>
      </c>
      <c r="AG377" s="58" t="str">
        <f>IF(ABS(AF377-F377)&lt;1,"ok","err")</f>
        <v>ok</v>
      </c>
    </row>
    <row r="378" spans="1:33">
      <c r="A378" s="60">
        <v>513</v>
      </c>
      <c r="B378" s="60" t="s">
        <v>217</v>
      </c>
      <c r="C378" s="44" t="s">
        <v>280</v>
      </c>
      <c r="D378" s="44" t="s">
        <v>854</v>
      </c>
      <c r="F378" s="79">
        <v>3169334</v>
      </c>
      <c r="H378" s="63">
        <f t="shared" si="150"/>
        <v>0</v>
      </c>
      <c r="I378" s="63">
        <f t="shared" si="150"/>
        <v>0</v>
      </c>
      <c r="J378" s="63">
        <f t="shared" si="150"/>
        <v>0</v>
      </c>
      <c r="K378" s="63">
        <f t="shared" si="150"/>
        <v>3169334</v>
      </c>
      <c r="L378" s="63">
        <f t="shared" si="150"/>
        <v>0</v>
      </c>
      <c r="M378" s="63">
        <f t="shared" si="150"/>
        <v>0</v>
      </c>
      <c r="N378" s="63">
        <f t="shared" si="150"/>
        <v>0</v>
      </c>
      <c r="O378" s="63">
        <f t="shared" si="150"/>
        <v>0</v>
      </c>
      <c r="P378" s="63">
        <f t="shared" si="150"/>
        <v>0</v>
      </c>
      <c r="Q378" s="63">
        <f t="shared" si="150"/>
        <v>0</v>
      </c>
      <c r="R378" s="63">
        <f t="shared" si="151"/>
        <v>0</v>
      </c>
      <c r="S378" s="63">
        <f t="shared" si="151"/>
        <v>0</v>
      </c>
      <c r="T378" s="63">
        <f t="shared" si="151"/>
        <v>0</v>
      </c>
      <c r="U378" s="63">
        <f t="shared" si="151"/>
        <v>0</v>
      </c>
      <c r="V378" s="63">
        <f t="shared" si="151"/>
        <v>0</v>
      </c>
      <c r="W378" s="63">
        <f t="shared" si="151"/>
        <v>0</v>
      </c>
      <c r="X378" s="63">
        <f t="shared" si="151"/>
        <v>0</v>
      </c>
      <c r="Y378" s="63">
        <f t="shared" si="151"/>
        <v>0</v>
      </c>
      <c r="Z378" s="63">
        <f t="shared" si="151"/>
        <v>0</v>
      </c>
      <c r="AA378" s="63">
        <f t="shared" si="151"/>
        <v>0</v>
      </c>
      <c r="AB378" s="63">
        <f t="shared" si="151"/>
        <v>0</v>
      </c>
      <c r="AC378" s="63">
        <f t="shared" si="151"/>
        <v>0</v>
      </c>
      <c r="AD378" s="63">
        <f t="shared" si="151"/>
        <v>0</v>
      </c>
      <c r="AE378" s="63">
        <f t="shared" si="151"/>
        <v>0</v>
      </c>
      <c r="AF378" s="63">
        <f t="shared" si="146"/>
        <v>3169334</v>
      </c>
      <c r="AG378" s="58" t="str">
        <f>IF(ABS(AF378-F378)&lt;1,"ok","err")</f>
        <v>ok</v>
      </c>
    </row>
    <row r="379" spans="1:33">
      <c r="A379" s="60">
        <v>514</v>
      </c>
      <c r="B379" s="60" t="s">
        <v>220</v>
      </c>
      <c r="C379" s="44" t="s">
        <v>281</v>
      </c>
      <c r="D379" s="44" t="s">
        <v>854</v>
      </c>
      <c r="F379" s="79">
        <v>118915</v>
      </c>
      <c r="H379" s="63">
        <f t="shared" si="150"/>
        <v>0</v>
      </c>
      <c r="I379" s="63">
        <f t="shared" si="150"/>
        <v>0</v>
      </c>
      <c r="J379" s="63">
        <f t="shared" si="150"/>
        <v>0</v>
      </c>
      <c r="K379" s="63">
        <f t="shared" si="150"/>
        <v>118915</v>
      </c>
      <c r="L379" s="63">
        <f t="shared" si="150"/>
        <v>0</v>
      </c>
      <c r="M379" s="63">
        <f t="shared" si="150"/>
        <v>0</v>
      </c>
      <c r="N379" s="63">
        <f t="shared" si="150"/>
        <v>0</v>
      </c>
      <c r="O379" s="63">
        <f t="shared" si="150"/>
        <v>0</v>
      </c>
      <c r="P379" s="63">
        <f t="shared" si="150"/>
        <v>0</v>
      </c>
      <c r="Q379" s="63">
        <f t="shared" si="150"/>
        <v>0</v>
      </c>
      <c r="R379" s="63">
        <f t="shared" si="151"/>
        <v>0</v>
      </c>
      <c r="S379" s="63">
        <f t="shared" si="151"/>
        <v>0</v>
      </c>
      <c r="T379" s="63">
        <f t="shared" si="151"/>
        <v>0</v>
      </c>
      <c r="U379" s="63">
        <f t="shared" si="151"/>
        <v>0</v>
      </c>
      <c r="V379" s="63">
        <f t="shared" si="151"/>
        <v>0</v>
      </c>
      <c r="W379" s="63">
        <f t="shared" si="151"/>
        <v>0</v>
      </c>
      <c r="X379" s="63">
        <f t="shared" si="151"/>
        <v>0</v>
      </c>
      <c r="Y379" s="63">
        <f t="shared" si="151"/>
        <v>0</v>
      </c>
      <c r="Z379" s="63">
        <f t="shared" si="151"/>
        <v>0</v>
      </c>
      <c r="AA379" s="63">
        <f t="shared" si="151"/>
        <v>0</v>
      </c>
      <c r="AB379" s="63">
        <f t="shared" si="151"/>
        <v>0</v>
      </c>
      <c r="AC379" s="63">
        <f t="shared" si="151"/>
        <v>0</v>
      </c>
      <c r="AD379" s="63">
        <f t="shared" si="151"/>
        <v>0</v>
      </c>
      <c r="AE379" s="63">
        <f t="shared" si="151"/>
        <v>0</v>
      </c>
      <c r="AF379" s="63">
        <f t="shared" si="146"/>
        <v>118915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222</v>
      </c>
      <c r="C381" s="44" t="s">
        <v>86</v>
      </c>
      <c r="F381" s="76">
        <f>SUM(F375:F380)</f>
        <v>13261384</v>
      </c>
      <c r="H381" s="62">
        <f t="shared" ref="H381:M381" si="152">SUM(H375:H380)</f>
        <v>52047.584021179893</v>
      </c>
      <c r="I381" s="62">
        <f t="shared" si="152"/>
        <v>0</v>
      </c>
      <c r="J381" s="62">
        <f t="shared" si="152"/>
        <v>0</v>
      </c>
      <c r="K381" s="62">
        <f t="shared" si="152"/>
        <v>13209336.415978819</v>
      </c>
      <c r="L381" s="62">
        <f t="shared" si="152"/>
        <v>0</v>
      </c>
      <c r="M381" s="62">
        <f t="shared" si="152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3">SUM(Q375:Q380)</f>
        <v>0</v>
      </c>
      <c r="R381" s="62">
        <f t="shared" si="153"/>
        <v>0</v>
      </c>
      <c r="S381" s="62">
        <f t="shared" si="153"/>
        <v>0</v>
      </c>
      <c r="T381" s="62">
        <f t="shared" si="153"/>
        <v>0</v>
      </c>
      <c r="U381" s="62">
        <f t="shared" si="153"/>
        <v>0</v>
      </c>
      <c r="V381" s="62">
        <f t="shared" si="153"/>
        <v>0</v>
      </c>
      <c r="W381" s="62">
        <f t="shared" si="153"/>
        <v>0</v>
      </c>
      <c r="X381" s="62">
        <f t="shared" si="153"/>
        <v>0</v>
      </c>
      <c r="Y381" s="62">
        <f t="shared" si="153"/>
        <v>0</v>
      </c>
      <c r="Z381" s="62">
        <f t="shared" si="153"/>
        <v>0</v>
      </c>
      <c r="AA381" s="62">
        <f t="shared" si="153"/>
        <v>0</v>
      </c>
      <c r="AB381" s="62">
        <f t="shared" si="153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6"/>
        <v>13261383.999999998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223</v>
      </c>
      <c r="F383" s="76">
        <f>F372+F381</f>
        <v>29642367</v>
      </c>
      <c r="H383" s="62">
        <f t="shared" ref="H383:M383" si="154">H372+H381</f>
        <v>14360944.257236628</v>
      </c>
      <c r="I383" s="62">
        <f t="shared" si="154"/>
        <v>0</v>
      </c>
      <c r="J383" s="62">
        <f t="shared" si="154"/>
        <v>0</v>
      </c>
      <c r="K383" s="62">
        <f t="shared" si="154"/>
        <v>15281422.74276337</v>
      </c>
      <c r="L383" s="62">
        <f t="shared" si="154"/>
        <v>0</v>
      </c>
      <c r="M383" s="62">
        <f t="shared" si="154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5">Q372+Q381</f>
        <v>0</v>
      </c>
      <c r="R383" s="62">
        <f t="shared" si="155"/>
        <v>0</v>
      </c>
      <c r="S383" s="62">
        <f t="shared" si="155"/>
        <v>0</v>
      </c>
      <c r="T383" s="62">
        <f t="shared" si="155"/>
        <v>0</v>
      </c>
      <c r="U383" s="62">
        <f t="shared" si="155"/>
        <v>0</v>
      </c>
      <c r="V383" s="62">
        <f t="shared" si="155"/>
        <v>0</v>
      </c>
      <c r="W383" s="62">
        <f t="shared" si="155"/>
        <v>0</v>
      </c>
      <c r="X383" s="62">
        <f t="shared" si="155"/>
        <v>0</v>
      </c>
      <c r="Y383" s="62">
        <f t="shared" si="155"/>
        <v>0</v>
      </c>
      <c r="Z383" s="62">
        <f t="shared" si="155"/>
        <v>0</v>
      </c>
      <c r="AA383" s="62">
        <f t="shared" si="155"/>
        <v>0</v>
      </c>
      <c r="AB383" s="62">
        <f t="shared" si="155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6"/>
        <v>29642367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4.1">
      <c r="A385" s="65" t="s">
        <v>309</v>
      </c>
      <c r="B385" s="60"/>
      <c r="W385" s="44"/>
      <c r="AG385" s="58"/>
    </row>
    <row r="386" spans="1:33">
      <c r="A386" s="70">
        <v>535</v>
      </c>
      <c r="B386" s="60" t="s">
        <v>199</v>
      </c>
      <c r="C386" s="44" t="s">
        <v>579</v>
      </c>
      <c r="D386" s="44" t="s">
        <v>628</v>
      </c>
      <c r="F386" s="76">
        <v>93014</v>
      </c>
      <c r="H386" s="63">
        <f t="shared" ref="H386:Q391" si="156">IF(VLOOKUP($D386,$C$6:$AE$653,H$2,)=0,0,((VLOOKUP($D386,$C$6:$AE$653,H$2,)/VLOOKUP($D386,$C$6:$AE$653,4,))*$F386))</f>
        <v>93014</v>
      </c>
      <c r="I386" s="63">
        <f t="shared" si="156"/>
        <v>0</v>
      </c>
      <c r="J386" s="63">
        <f t="shared" si="156"/>
        <v>0</v>
      </c>
      <c r="K386" s="63">
        <f t="shared" si="156"/>
        <v>0</v>
      </c>
      <c r="L386" s="63">
        <f t="shared" si="156"/>
        <v>0</v>
      </c>
      <c r="M386" s="63">
        <f t="shared" si="156"/>
        <v>0</v>
      </c>
      <c r="N386" s="63">
        <f t="shared" si="156"/>
        <v>0</v>
      </c>
      <c r="O386" s="63">
        <f t="shared" si="156"/>
        <v>0</v>
      </c>
      <c r="P386" s="63">
        <f t="shared" si="156"/>
        <v>0</v>
      </c>
      <c r="Q386" s="63">
        <f t="shared" si="156"/>
        <v>0</v>
      </c>
      <c r="R386" s="63">
        <f t="shared" ref="R386:AE391" si="157">IF(VLOOKUP($D386,$C$6:$AE$653,R$2,)=0,0,((VLOOKUP($D386,$C$6:$AE$653,R$2,)/VLOOKUP($D386,$C$6:$AE$653,4,))*$F386))</f>
        <v>0</v>
      </c>
      <c r="S386" s="63">
        <f t="shared" si="157"/>
        <v>0</v>
      </c>
      <c r="T386" s="63">
        <f t="shared" si="157"/>
        <v>0</v>
      </c>
      <c r="U386" s="63">
        <f t="shared" si="157"/>
        <v>0</v>
      </c>
      <c r="V386" s="63">
        <f t="shared" si="157"/>
        <v>0</v>
      </c>
      <c r="W386" s="63">
        <f t="shared" si="157"/>
        <v>0</v>
      </c>
      <c r="X386" s="63">
        <f t="shared" si="157"/>
        <v>0</v>
      </c>
      <c r="Y386" s="63">
        <f t="shared" si="157"/>
        <v>0</v>
      </c>
      <c r="Z386" s="63">
        <f t="shared" si="157"/>
        <v>0</v>
      </c>
      <c r="AA386" s="63">
        <f t="shared" si="157"/>
        <v>0</v>
      </c>
      <c r="AB386" s="63">
        <f t="shared" si="157"/>
        <v>0</v>
      </c>
      <c r="AC386" s="63">
        <f t="shared" si="157"/>
        <v>0</v>
      </c>
      <c r="AD386" s="63">
        <f t="shared" si="157"/>
        <v>0</v>
      </c>
      <c r="AE386" s="63">
        <f t="shared" si="157"/>
        <v>0</v>
      </c>
      <c r="AF386" s="63">
        <f t="shared" ref="AF386:AF391" si="158">SUM(H386:AE386)</f>
        <v>93014</v>
      </c>
      <c r="AG386" s="58" t="str">
        <f t="shared" ref="AG386:AG391" si="159">IF(ABS(AF386-F386)&lt;1,"ok","err")</f>
        <v>ok</v>
      </c>
    </row>
    <row r="387" spans="1:33">
      <c r="A387" s="276">
        <v>536</v>
      </c>
      <c r="B387" s="60" t="s">
        <v>316</v>
      </c>
      <c r="C387" s="44" t="s">
        <v>580</v>
      </c>
      <c r="D387" s="44" t="s">
        <v>624</v>
      </c>
      <c r="F387" s="79">
        <v>0</v>
      </c>
      <c r="H387" s="63">
        <f t="shared" si="156"/>
        <v>0</v>
      </c>
      <c r="I387" s="63">
        <f t="shared" si="156"/>
        <v>0</v>
      </c>
      <c r="J387" s="63">
        <f t="shared" si="156"/>
        <v>0</v>
      </c>
      <c r="K387" s="63">
        <f t="shared" si="156"/>
        <v>0</v>
      </c>
      <c r="L387" s="63">
        <f t="shared" si="156"/>
        <v>0</v>
      </c>
      <c r="M387" s="63">
        <f t="shared" si="156"/>
        <v>0</v>
      </c>
      <c r="N387" s="63">
        <f t="shared" si="156"/>
        <v>0</v>
      </c>
      <c r="O387" s="63">
        <f t="shared" si="156"/>
        <v>0</v>
      </c>
      <c r="P387" s="63">
        <f t="shared" si="156"/>
        <v>0</v>
      </c>
      <c r="Q387" s="63">
        <f t="shared" si="156"/>
        <v>0</v>
      </c>
      <c r="R387" s="63">
        <f t="shared" si="157"/>
        <v>0</v>
      </c>
      <c r="S387" s="63">
        <f t="shared" si="157"/>
        <v>0</v>
      </c>
      <c r="T387" s="63">
        <f t="shared" si="157"/>
        <v>0</v>
      </c>
      <c r="U387" s="63">
        <f t="shared" si="157"/>
        <v>0</v>
      </c>
      <c r="V387" s="63">
        <f t="shared" si="157"/>
        <v>0</v>
      </c>
      <c r="W387" s="63">
        <f t="shared" si="157"/>
        <v>0</v>
      </c>
      <c r="X387" s="63">
        <f t="shared" si="157"/>
        <v>0</v>
      </c>
      <c r="Y387" s="63">
        <f t="shared" si="157"/>
        <v>0</v>
      </c>
      <c r="Z387" s="63">
        <f t="shared" si="157"/>
        <v>0</v>
      </c>
      <c r="AA387" s="63">
        <f t="shared" si="157"/>
        <v>0</v>
      </c>
      <c r="AB387" s="63">
        <f t="shared" si="157"/>
        <v>0</v>
      </c>
      <c r="AC387" s="63">
        <f t="shared" si="157"/>
        <v>0</v>
      </c>
      <c r="AD387" s="63">
        <f t="shared" si="157"/>
        <v>0</v>
      </c>
      <c r="AE387" s="63">
        <f t="shared" si="157"/>
        <v>0</v>
      </c>
      <c r="AF387" s="63">
        <f t="shared" si="158"/>
        <v>0</v>
      </c>
      <c r="AG387" s="58" t="str">
        <f t="shared" si="159"/>
        <v>ok</v>
      </c>
    </row>
    <row r="388" spans="1:33">
      <c r="A388" s="60">
        <v>537</v>
      </c>
      <c r="B388" s="60" t="s">
        <v>315</v>
      </c>
      <c r="C388" s="44" t="s">
        <v>581</v>
      </c>
      <c r="D388" s="44" t="s">
        <v>624</v>
      </c>
      <c r="F388" s="79">
        <v>0</v>
      </c>
      <c r="H388" s="63">
        <f t="shared" si="156"/>
        <v>0</v>
      </c>
      <c r="I388" s="63">
        <f t="shared" si="156"/>
        <v>0</v>
      </c>
      <c r="J388" s="63">
        <f t="shared" si="156"/>
        <v>0</v>
      </c>
      <c r="K388" s="63">
        <f t="shared" si="156"/>
        <v>0</v>
      </c>
      <c r="L388" s="63">
        <f t="shared" si="156"/>
        <v>0</v>
      </c>
      <c r="M388" s="63">
        <f t="shared" si="156"/>
        <v>0</v>
      </c>
      <c r="N388" s="63">
        <f t="shared" si="156"/>
        <v>0</v>
      </c>
      <c r="O388" s="63">
        <f t="shared" si="156"/>
        <v>0</v>
      </c>
      <c r="P388" s="63">
        <f t="shared" si="156"/>
        <v>0</v>
      </c>
      <c r="Q388" s="63">
        <f t="shared" si="156"/>
        <v>0</v>
      </c>
      <c r="R388" s="63">
        <f t="shared" si="157"/>
        <v>0</v>
      </c>
      <c r="S388" s="63">
        <f t="shared" si="157"/>
        <v>0</v>
      </c>
      <c r="T388" s="63">
        <f t="shared" si="157"/>
        <v>0</v>
      </c>
      <c r="U388" s="63">
        <f t="shared" si="157"/>
        <v>0</v>
      </c>
      <c r="V388" s="63">
        <f t="shared" si="157"/>
        <v>0</v>
      </c>
      <c r="W388" s="63">
        <f t="shared" si="157"/>
        <v>0</v>
      </c>
      <c r="X388" s="63">
        <f t="shared" si="157"/>
        <v>0</v>
      </c>
      <c r="Y388" s="63">
        <f t="shared" si="157"/>
        <v>0</v>
      </c>
      <c r="Z388" s="63">
        <f t="shared" si="157"/>
        <v>0</v>
      </c>
      <c r="AA388" s="63">
        <f t="shared" si="157"/>
        <v>0</v>
      </c>
      <c r="AB388" s="63">
        <f t="shared" si="157"/>
        <v>0</v>
      </c>
      <c r="AC388" s="63">
        <f t="shared" si="157"/>
        <v>0</v>
      </c>
      <c r="AD388" s="63">
        <f t="shared" si="157"/>
        <v>0</v>
      </c>
      <c r="AE388" s="63">
        <f t="shared" si="157"/>
        <v>0</v>
      </c>
      <c r="AF388" s="63">
        <f t="shared" si="158"/>
        <v>0</v>
      </c>
      <c r="AG388" s="58" t="str">
        <f t="shared" si="159"/>
        <v>ok</v>
      </c>
    </row>
    <row r="389" spans="1:33">
      <c r="A389" s="275">
        <v>538</v>
      </c>
      <c r="B389" s="60" t="s">
        <v>205</v>
      </c>
      <c r="C389" s="44" t="s">
        <v>582</v>
      </c>
      <c r="D389" s="44" t="s">
        <v>624</v>
      </c>
      <c r="F389" s="79">
        <v>262377</v>
      </c>
      <c r="H389" s="63">
        <f t="shared" si="156"/>
        <v>262377</v>
      </c>
      <c r="I389" s="63">
        <f t="shared" si="156"/>
        <v>0</v>
      </c>
      <c r="J389" s="63">
        <f t="shared" si="156"/>
        <v>0</v>
      </c>
      <c r="K389" s="63">
        <f t="shared" si="156"/>
        <v>0</v>
      </c>
      <c r="L389" s="63">
        <f t="shared" si="156"/>
        <v>0</v>
      </c>
      <c r="M389" s="63">
        <f t="shared" si="156"/>
        <v>0</v>
      </c>
      <c r="N389" s="63">
        <f t="shared" si="156"/>
        <v>0</v>
      </c>
      <c r="O389" s="63">
        <f t="shared" si="156"/>
        <v>0</v>
      </c>
      <c r="P389" s="63">
        <f t="shared" si="156"/>
        <v>0</v>
      </c>
      <c r="Q389" s="63">
        <f t="shared" si="156"/>
        <v>0</v>
      </c>
      <c r="R389" s="63">
        <f t="shared" si="157"/>
        <v>0</v>
      </c>
      <c r="S389" s="63">
        <f t="shared" si="157"/>
        <v>0</v>
      </c>
      <c r="T389" s="63">
        <f t="shared" si="157"/>
        <v>0</v>
      </c>
      <c r="U389" s="63">
        <f t="shared" si="157"/>
        <v>0</v>
      </c>
      <c r="V389" s="63">
        <f t="shared" si="157"/>
        <v>0</v>
      </c>
      <c r="W389" s="63">
        <f t="shared" si="157"/>
        <v>0</v>
      </c>
      <c r="X389" s="63">
        <f t="shared" si="157"/>
        <v>0</v>
      </c>
      <c r="Y389" s="63">
        <f t="shared" si="157"/>
        <v>0</v>
      </c>
      <c r="Z389" s="63">
        <f t="shared" si="157"/>
        <v>0</v>
      </c>
      <c r="AA389" s="63">
        <f t="shared" si="157"/>
        <v>0</v>
      </c>
      <c r="AB389" s="63">
        <f t="shared" si="157"/>
        <v>0</v>
      </c>
      <c r="AC389" s="63">
        <f t="shared" si="157"/>
        <v>0</v>
      </c>
      <c r="AD389" s="63">
        <f t="shared" si="157"/>
        <v>0</v>
      </c>
      <c r="AE389" s="63">
        <f t="shared" si="157"/>
        <v>0</v>
      </c>
      <c r="AF389" s="63">
        <f t="shared" si="158"/>
        <v>262377</v>
      </c>
      <c r="AG389" s="58" t="str">
        <f t="shared" si="159"/>
        <v>ok</v>
      </c>
    </row>
    <row r="390" spans="1:33">
      <c r="A390" s="60">
        <v>539</v>
      </c>
      <c r="B390" s="60" t="s">
        <v>317</v>
      </c>
      <c r="C390" s="44" t="s">
        <v>583</v>
      </c>
      <c r="D390" s="44" t="s">
        <v>624</v>
      </c>
      <c r="F390" s="79">
        <v>0</v>
      </c>
      <c r="H390" s="63">
        <f t="shared" si="156"/>
        <v>0</v>
      </c>
      <c r="I390" s="63">
        <f t="shared" si="156"/>
        <v>0</v>
      </c>
      <c r="J390" s="63">
        <f t="shared" si="156"/>
        <v>0</v>
      </c>
      <c r="K390" s="63">
        <f t="shared" si="156"/>
        <v>0</v>
      </c>
      <c r="L390" s="63">
        <f t="shared" si="156"/>
        <v>0</v>
      </c>
      <c r="M390" s="63">
        <f t="shared" si="156"/>
        <v>0</v>
      </c>
      <c r="N390" s="63">
        <f t="shared" si="156"/>
        <v>0</v>
      </c>
      <c r="O390" s="63">
        <f t="shared" si="156"/>
        <v>0</v>
      </c>
      <c r="P390" s="63">
        <f t="shared" si="156"/>
        <v>0</v>
      </c>
      <c r="Q390" s="63">
        <f t="shared" si="156"/>
        <v>0</v>
      </c>
      <c r="R390" s="63">
        <f t="shared" si="157"/>
        <v>0</v>
      </c>
      <c r="S390" s="63">
        <f t="shared" si="157"/>
        <v>0</v>
      </c>
      <c r="T390" s="63">
        <f t="shared" si="157"/>
        <v>0</v>
      </c>
      <c r="U390" s="63">
        <f t="shared" si="157"/>
        <v>0</v>
      </c>
      <c r="V390" s="63">
        <f t="shared" si="157"/>
        <v>0</v>
      </c>
      <c r="W390" s="63">
        <f t="shared" si="157"/>
        <v>0</v>
      </c>
      <c r="X390" s="63">
        <f t="shared" si="157"/>
        <v>0</v>
      </c>
      <c r="Y390" s="63">
        <f t="shared" si="157"/>
        <v>0</v>
      </c>
      <c r="Z390" s="63">
        <f t="shared" si="157"/>
        <v>0</v>
      </c>
      <c r="AA390" s="63">
        <f t="shared" si="157"/>
        <v>0</v>
      </c>
      <c r="AB390" s="63">
        <f t="shared" si="157"/>
        <v>0</v>
      </c>
      <c r="AC390" s="63">
        <f t="shared" si="157"/>
        <v>0</v>
      </c>
      <c r="AD390" s="63">
        <f t="shared" si="157"/>
        <v>0</v>
      </c>
      <c r="AE390" s="63">
        <f t="shared" si="157"/>
        <v>0</v>
      </c>
      <c r="AF390" s="63">
        <f t="shared" si="158"/>
        <v>0</v>
      </c>
      <c r="AG390" s="58" t="str">
        <f t="shared" si="159"/>
        <v>ok</v>
      </c>
    </row>
    <row r="391" spans="1:33">
      <c r="A391" s="275">
        <v>540</v>
      </c>
      <c r="B391" s="60" t="s">
        <v>928</v>
      </c>
      <c r="D391" s="44" t="s">
        <v>624</v>
      </c>
      <c r="F391" s="79">
        <v>0</v>
      </c>
      <c r="H391" s="63">
        <f t="shared" si="156"/>
        <v>0</v>
      </c>
      <c r="I391" s="63">
        <f t="shared" si="156"/>
        <v>0</v>
      </c>
      <c r="J391" s="63">
        <f t="shared" si="156"/>
        <v>0</v>
      </c>
      <c r="K391" s="63">
        <f t="shared" si="156"/>
        <v>0</v>
      </c>
      <c r="L391" s="63">
        <f t="shared" si="156"/>
        <v>0</v>
      </c>
      <c r="M391" s="63">
        <f t="shared" si="156"/>
        <v>0</v>
      </c>
      <c r="N391" s="63">
        <f t="shared" si="156"/>
        <v>0</v>
      </c>
      <c r="O391" s="63">
        <f t="shared" si="156"/>
        <v>0</v>
      </c>
      <c r="P391" s="63">
        <f t="shared" si="156"/>
        <v>0</v>
      </c>
      <c r="Q391" s="63">
        <f t="shared" si="156"/>
        <v>0</v>
      </c>
      <c r="R391" s="63">
        <f t="shared" si="157"/>
        <v>0</v>
      </c>
      <c r="S391" s="63">
        <f t="shared" si="157"/>
        <v>0</v>
      </c>
      <c r="T391" s="63">
        <f t="shared" si="157"/>
        <v>0</v>
      </c>
      <c r="U391" s="63">
        <f t="shared" si="157"/>
        <v>0</v>
      </c>
      <c r="V391" s="63">
        <f t="shared" si="157"/>
        <v>0</v>
      </c>
      <c r="W391" s="63">
        <f t="shared" si="157"/>
        <v>0</v>
      </c>
      <c r="X391" s="63">
        <f t="shared" si="157"/>
        <v>0</v>
      </c>
      <c r="Y391" s="63">
        <f t="shared" si="157"/>
        <v>0</v>
      </c>
      <c r="Z391" s="63">
        <f t="shared" si="157"/>
        <v>0</v>
      </c>
      <c r="AA391" s="63">
        <f t="shared" si="157"/>
        <v>0</v>
      </c>
      <c r="AB391" s="63">
        <f t="shared" si="157"/>
        <v>0</v>
      </c>
      <c r="AC391" s="63">
        <f t="shared" si="157"/>
        <v>0</v>
      </c>
      <c r="AD391" s="63">
        <f t="shared" si="157"/>
        <v>0</v>
      </c>
      <c r="AE391" s="63">
        <f t="shared" si="157"/>
        <v>0</v>
      </c>
      <c r="AF391" s="63">
        <f t="shared" si="158"/>
        <v>0</v>
      </c>
      <c r="AG391" s="58" t="str">
        <f t="shared" si="159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312</v>
      </c>
      <c r="C393" s="44" t="s">
        <v>630</v>
      </c>
      <c r="F393" s="76">
        <f>SUM(F386:F392)</f>
        <v>355391</v>
      </c>
      <c r="H393" s="62">
        <f t="shared" ref="H393:M393" si="160">SUM(H386:H392)</f>
        <v>355391</v>
      </c>
      <c r="I393" s="62">
        <f t="shared" si="160"/>
        <v>0</v>
      </c>
      <c r="J393" s="62">
        <f t="shared" si="160"/>
        <v>0</v>
      </c>
      <c r="K393" s="62">
        <f t="shared" si="160"/>
        <v>0</v>
      </c>
      <c r="L393" s="62">
        <f t="shared" si="160"/>
        <v>0</v>
      </c>
      <c r="M393" s="62">
        <f t="shared" si="160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1">SUM(Q386:Q392)</f>
        <v>0</v>
      </c>
      <c r="R393" s="62">
        <f t="shared" si="161"/>
        <v>0</v>
      </c>
      <c r="S393" s="62">
        <f t="shared" si="161"/>
        <v>0</v>
      </c>
      <c r="T393" s="62">
        <f t="shared" si="161"/>
        <v>0</v>
      </c>
      <c r="U393" s="62">
        <f t="shared" si="161"/>
        <v>0</v>
      </c>
      <c r="V393" s="62">
        <f t="shared" si="161"/>
        <v>0</v>
      </c>
      <c r="W393" s="62">
        <f t="shared" si="161"/>
        <v>0</v>
      </c>
      <c r="X393" s="62">
        <f t="shared" si="161"/>
        <v>0</v>
      </c>
      <c r="Y393" s="62">
        <f t="shared" si="161"/>
        <v>0</v>
      </c>
      <c r="Z393" s="62">
        <f t="shared" si="161"/>
        <v>0</v>
      </c>
      <c r="AA393" s="62">
        <f t="shared" si="161"/>
        <v>0</v>
      </c>
      <c r="AB393" s="62">
        <f t="shared" si="161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355391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4.1">
      <c r="A395" s="65" t="s">
        <v>310</v>
      </c>
      <c r="B395" s="60"/>
      <c r="F395" s="76"/>
      <c r="W395" s="44"/>
      <c r="AG395" s="58"/>
    </row>
    <row r="396" spans="1:33">
      <c r="A396" s="70">
        <v>541</v>
      </c>
      <c r="B396" s="60" t="s">
        <v>214</v>
      </c>
      <c r="C396" s="44" t="s">
        <v>584</v>
      </c>
      <c r="D396" s="44" t="s">
        <v>635</v>
      </c>
      <c r="F396" s="76">
        <v>0</v>
      </c>
      <c r="H396" s="63">
        <f t="shared" ref="H396:Q400" si="162">IF(VLOOKUP($D396,$C$6:$AE$653,H$2,)=0,0,((VLOOKUP($D396,$C$6:$AE$653,H$2,)/VLOOKUP($D396,$C$6:$AE$653,4,))*$F396))</f>
        <v>0</v>
      </c>
      <c r="I396" s="63">
        <f t="shared" si="162"/>
        <v>0</v>
      </c>
      <c r="J396" s="63">
        <f t="shared" si="162"/>
        <v>0</v>
      </c>
      <c r="K396" s="63">
        <f t="shared" si="162"/>
        <v>0</v>
      </c>
      <c r="L396" s="63">
        <f t="shared" si="162"/>
        <v>0</v>
      </c>
      <c r="M396" s="63">
        <f t="shared" si="162"/>
        <v>0</v>
      </c>
      <c r="N396" s="63">
        <f t="shared" si="162"/>
        <v>0</v>
      </c>
      <c r="O396" s="63">
        <f t="shared" si="162"/>
        <v>0</v>
      </c>
      <c r="P396" s="63">
        <f t="shared" si="162"/>
        <v>0</v>
      </c>
      <c r="Q396" s="63">
        <f t="shared" si="162"/>
        <v>0</v>
      </c>
      <c r="R396" s="63">
        <f t="shared" ref="R396:AE400" si="163">IF(VLOOKUP($D396,$C$6:$AE$653,R$2,)=0,0,((VLOOKUP($D396,$C$6:$AE$653,R$2,)/VLOOKUP($D396,$C$6:$AE$653,4,))*$F396))</f>
        <v>0</v>
      </c>
      <c r="S396" s="63">
        <f t="shared" si="163"/>
        <v>0</v>
      </c>
      <c r="T396" s="63">
        <f t="shared" si="163"/>
        <v>0</v>
      </c>
      <c r="U396" s="63">
        <f t="shared" si="163"/>
        <v>0</v>
      </c>
      <c r="V396" s="63">
        <f t="shared" si="163"/>
        <v>0</v>
      </c>
      <c r="W396" s="63">
        <f t="shared" si="163"/>
        <v>0</v>
      </c>
      <c r="X396" s="63">
        <f t="shared" si="163"/>
        <v>0</v>
      </c>
      <c r="Y396" s="63">
        <f t="shared" si="163"/>
        <v>0</v>
      </c>
      <c r="Z396" s="63">
        <f t="shared" si="163"/>
        <v>0</v>
      </c>
      <c r="AA396" s="63">
        <f t="shared" si="163"/>
        <v>0</v>
      </c>
      <c r="AB396" s="63">
        <f t="shared" si="163"/>
        <v>0</v>
      </c>
      <c r="AC396" s="63">
        <f t="shared" si="163"/>
        <v>0</v>
      </c>
      <c r="AD396" s="63">
        <f t="shared" si="163"/>
        <v>0</v>
      </c>
      <c r="AE396" s="63">
        <f t="shared" si="163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213</v>
      </c>
      <c r="C397" s="44" t="s">
        <v>585</v>
      </c>
      <c r="D397" s="44" t="s">
        <v>624</v>
      </c>
      <c r="F397" s="79">
        <v>50196</v>
      </c>
      <c r="H397" s="63">
        <f t="shared" si="162"/>
        <v>50196</v>
      </c>
      <c r="I397" s="63">
        <f t="shared" si="162"/>
        <v>0</v>
      </c>
      <c r="J397" s="63">
        <f t="shared" si="162"/>
        <v>0</v>
      </c>
      <c r="K397" s="63">
        <f t="shared" si="162"/>
        <v>0</v>
      </c>
      <c r="L397" s="63">
        <f t="shared" si="162"/>
        <v>0</v>
      </c>
      <c r="M397" s="63">
        <f t="shared" si="162"/>
        <v>0</v>
      </c>
      <c r="N397" s="63">
        <f t="shared" si="162"/>
        <v>0</v>
      </c>
      <c r="O397" s="63">
        <f t="shared" si="162"/>
        <v>0</v>
      </c>
      <c r="P397" s="63">
        <f t="shared" si="162"/>
        <v>0</v>
      </c>
      <c r="Q397" s="63">
        <f t="shared" si="162"/>
        <v>0</v>
      </c>
      <c r="R397" s="63">
        <f t="shared" si="163"/>
        <v>0</v>
      </c>
      <c r="S397" s="63">
        <f t="shared" si="163"/>
        <v>0</v>
      </c>
      <c r="T397" s="63">
        <f t="shared" si="163"/>
        <v>0</v>
      </c>
      <c r="U397" s="63">
        <f t="shared" si="163"/>
        <v>0</v>
      </c>
      <c r="V397" s="63">
        <f t="shared" si="163"/>
        <v>0</v>
      </c>
      <c r="W397" s="63">
        <f t="shared" si="163"/>
        <v>0</v>
      </c>
      <c r="X397" s="63">
        <f t="shared" si="163"/>
        <v>0</v>
      </c>
      <c r="Y397" s="63">
        <f t="shared" si="163"/>
        <v>0</v>
      </c>
      <c r="Z397" s="63">
        <f t="shared" si="163"/>
        <v>0</v>
      </c>
      <c r="AA397" s="63">
        <f t="shared" si="163"/>
        <v>0</v>
      </c>
      <c r="AB397" s="63">
        <f t="shared" si="163"/>
        <v>0</v>
      </c>
      <c r="AC397" s="63">
        <f t="shared" si="163"/>
        <v>0</v>
      </c>
      <c r="AD397" s="63">
        <f t="shared" si="163"/>
        <v>0</v>
      </c>
      <c r="AE397" s="63">
        <f t="shared" si="163"/>
        <v>0</v>
      </c>
      <c r="AF397" s="63">
        <f>SUM(H397:AE397)</f>
        <v>50196</v>
      </c>
      <c r="AG397" s="58" t="str">
        <f>IF(ABS(AF397-F397)&lt;1,"ok","err")</f>
        <v>ok</v>
      </c>
    </row>
    <row r="398" spans="1:33">
      <c r="A398" s="70">
        <v>543</v>
      </c>
      <c r="B398" s="60" t="s">
        <v>311</v>
      </c>
      <c r="C398" s="44" t="s">
        <v>586</v>
      </c>
      <c r="D398" s="44" t="s">
        <v>624</v>
      </c>
      <c r="F398" s="79">
        <v>35849</v>
      </c>
      <c r="H398" s="63">
        <f t="shared" si="162"/>
        <v>35849</v>
      </c>
      <c r="I398" s="63">
        <f t="shared" si="162"/>
        <v>0</v>
      </c>
      <c r="J398" s="63">
        <f t="shared" si="162"/>
        <v>0</v>
      </c>
      <c r="K398" s="63">
        <f t="shared" si="162"/>
        <v>0</v>
      </c>
      <c r="L398" s="63">
        <f t="shared" si="162"/>
        <v>0</v>
      </c>
      <c r="M398" s="63">
        <f t="shared" si="162"/>
        <v>0</v>
      </c>
      <c r="N398" s="63">
        <f t="shared" si="162"/>
        <v>0</v>
      </c>
      <c r="O398" s="63">
        <f t="shared" si="162"/>
        <v>0</v>
      </c>
      <c r="P398" s="63">
        <f t="shared" si="162"/>
        <v>0</v>
      </c>
      <c r="Q398" s="63">
        <f t="shared" si="162"/>
        <v>0</v>
      </c>
      <c r="R398" s="63">
        <f t="shared" si="163"/>
        <v>0</v>
      </c>
      <c r="S398" s="63">
        <f t="shared" si="163"/>
        <v>0</v>
      </c>
      <c r="T398" s="63">
        <f t="shared" si="163"/>
        <v>0</v>
      </c>
      <c r="U398" s="63">
        <f t="shared" si="163"/>
        <v>0</v>
      </c>
      <c r="V398" s="63">
        <f t="shared" si="163"/>
        <v>0</v>
      </c>
      <c r="W398" s="63">
        <f t="shared" si="163"/>
        <v>0</v>
      </c>
      <c r="X398" s="63">
        <f t="shared" si="163"/>
        <v>0</v>
      </c>
      <c r="Y398" s="63">
        <f t="shared" si="163"/>
        <v>0</v>
      </c>
      <c r="Z398" s="63">
        <f t="shared" si="163"/>
        <v>0</v>
      </c>
      <c r="AA398" s="63">
        <f t="shared" si="163"/>
        <v>0</v>
      </c>
      <c r="AB398" s="63">
        <f t="shared" si="163"/>
        <v>0</v>
      </c>
      <c r="AC398" s="63">
        <f t="shared" si="163"/>
        <v>0</v>
      </c>
      <c r="AD398" s="63">
        <f t="shared" si="163"/>
        <v>0</v>
      </c>
      <c r="AE398" s="63">
        <f t="shared" si="163"/>
        <v>0</v>
      </c>
      <c r="AF398" s="63">
        <f>SUM(H398:AE398)</f>
        <v>35849</v>
      </c>
      <c r="AG398" s="58" t="str">
        <f>IF(ABS(AF398-F398)&lt;1,"ok","err")</f>
        <v>ok</v>
      </c>
    </row>
    <row r="399" spans="1:33">
      <c r="A399" s="60">
        <v>544</v>
      </c>
      <c r="B399" s="60" t="s">
        <v>217</v>
      </c>
      <c r="C399" s="44" t="s">
        <v>587</v>
      </c>
      <c r="D399" s="44" t="s">
        <v>854</v>
      </c>
      <c r="F399" s="79">
        <v>72238</v>
      </c>
      <c r="H399" s="63">
        <f t="shared" si="162"/>
        <v>0</v>
      </c>
      <c r="I399" s="63">
        <f t="shared" si="162"/>
        <v>0</v>
      </c>
      <c r="J399" s="63">
        <f t="shared" si="162"/>
        <v>0</v>
      </c>
      <c r="K399" s="63">
        <f t="shared" si="162"/>
        <v>72238</v>
      </c>
      <c r="L399" s="63">
        <f t="shared" si="162"/>
        <v>0</v>
      </c>
      <c r="M399" s="63">
        <f t="shared" si="162"/>
        <v>0</v>
      </c>
      <c r="N399" s="63">
        <f t="shared" si="162"/>
        <v>0</v>
      </c>
      <c r="O399" s="63">
        <f t="shared" si="162"/>
        <v>0</v>
      </c>
      <c r="P399" s="63">
        <f t="shared" si="162"/>
        <v>0</v>
      </c>
      <c r="Q399" s="63">
        <f t="shared" si="162"/>
        <v>0</v>
      </c>
      <c r="R399" s="63">
        <f t="shared" si="163"/>
        <v>0</v>
      </c>
      <c r="S399" s="63">
        <f t="shared" si="163"/>
        <v>0</v>
      </c>
      <c r="T399" s="63">
        <f t="shared" si="163"/>
        <v>0</v>
      </c>
      <c r="U399" s="63">
        <f t="shared" si="163"/>
        <v>0</v>
      </c>
      <c r="V399" s="63">
        <f t="shared" si="163"/>
        <v>0</v>
      </c>
      <c r="W399" s="63">
        <f t="shared" si="163"/>
        <v>0</v>
      </c>
      <c r="X399" s="63">
        <f t="shared" si="163"/>
        <v>0</v>
      </c>
      <c r="Y399" s="63">
        <f t="shared" si="163"/>
        <v>0</v>
      </c>
      <c r="Z399" s="63">
        <f t="shared" si="163"/>
        <v>0</v>
      </c>
      <c r="AA399" s="63">
        <f t="shared" si="163"/>
        <v>0</v>
      </c>
      <c r="AB399" s="63">
        <f t="shared" si="163"/>
        <v>0</v>
      </c>
      <c r="AC399" s="63">
        <f t="shared" si="163"/>
        <v>0</v>
      </c>
      <c r="AD399" s="63">
        <f t="shared" si="163"/>
        <v>0</v>
      </c>
      <c r="AE399" s="63">
        <f t="shared" si="163"/>
        <v>0</v>
      </c>
      <c r="AF399" s="63">
        <f>SUM(H399:AE399)</f>
        <v>72238</v>
      </c>
      <c r="AG399" s="58" t="str">
        <f>IF(ABS(AF399-F399)&lt;1,"ok","err")</f>
        <v>ok</v>
      </c>
    </row>
    <row r="400" spans="1:33">
      <c r="A400" s="60">
        <v>545</v>
      </c>
      <c r="B400" s="60" t="s">
        <v>318</v>
      </c>
      <c r="C400" s="44" t="s">
        <v>588</v>
      </c>
      <c r="D400" s="44" t="s">
        <v>854</v>
      </c>
      <c r="F400" s="79">
        <v>0</v>
      </c>
      <c r="H400" s="63">
        <f t="shared" si="162"/>
        <v>0</v>
      </c>
      <c r="I400" s="63">
        <f t="shared" si="162"/>
        <v>0</v>
      </c>
      <c r="J400" s="63">
        <f t="shared" si="162"/>
        <v>0</v>
      </c>
      <c r="K400" s="63">
        <f t="shared" si="162"/>
        <v>0</v>
      </c>
      <c r="L400" s="63">
        <f t="shared" si="162"/>
        <v>0</v>
      </c>
      <c r="M400" s="63">
        <f t="shared" si="162"/>
        <v>0</v>
      </c>
      <c r="N400" s="63">
        <f t="shared" si="162"/>
        <v>0</v>
      </c>
      <c r="O400" s="63">
        <f t="shared" si="162"/>
        <v>0</v>
      </c>
      <c r="P400" s="63">
        <f t="shared" si="162"/>
        <v>0</v>
      </c>
      <c r="Q400" s="63">
        <f t="shared" si="162"/>
        <v>0</v>
      </c>
      <c r="R400" s="63">
        <f t="shared" si="163"/>
        <v>0</v>
      </c>
      <c r="S400" s="63">
        <f t="shared" si="163"/>
        <v>0</v>
      </c>
      <c r="T400" s="63">
        <f t="shared" si="163"/>
        <v>0</v>
      </c>
      <c r="U400" s="63">
        <f t="shared" si="163"/>
        <v>0</v>
      </c>
      <c r="V400" s="63">
        <f t="shared" si="163"/>
        <v>0</v>
      </c>
      <c r="W400" s="63">
        <f t="shared" si="163"/>
        <v>0</v>
      </c>
      <c r="X400" s="63">
        <f t="shared" si="163"/>
        <v>0</v>
      </c>
      <c r="Y400" s="63">
        <f t="shared" si="163"/>
        <v>0</v>
      </c>
      <c r="Z400" s="63">
        <f t="shared" si="163"/>
        <v>0</v>
      </c>
      <c r="AA400" s="63">
        <f t="shared" si="163"/>
        <v>0</v>
      </c>
      <c r="AB400" s="63">
        <f t="shared" si="163"/>
        <v>0</v>
      </c>
      <c r="AC400" s="63">
        <f t="shared" si="163"/>
        <v>0</v>
      </c>
      <c r="AD400" s="63">
        <f t="shared" si="163"/>
        <v>0</v>
      </c>
      <c r="AE400" s="63">
        <f t="shared" si="163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314</v>
      </c>
      <c r="C402" s="44" t="s">
        <v>631</v>
      </c>
      <c r="F402" s="76">
        <f>SUM(F396:F401)</f>
        <v>158283</v>
      </c>
      <c r="H402" s="62">
        <f t="shared" ref="H402:M402" si="164">SUM(H396:H401)</f>
        <v>86045</v>
      </c>
      <c r="I402" s="62">
        <f t="shared" si="164"/>
        <v>0</v>
      </c>
      <c r="J402" s="62">
        <f t="shared" si="164"/>
        <v>0</v>
      </c>
      <c r="K402" s="62">
        <f t="shared" si="164"/>
        <v>72238</v>
      </c>
      <c r="L402" s="62">
        <f t="shared" si="164"/>
        <v>0</v>
      </c>
      <c r="M402" s="62">
        <f t="shared" si="164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5">SUM(Q396:Q401)</f>
        <v>0</v>
      </c>
      <c r="R402" s="62">
        <f t="shared" si="165"/>
        <v>0</v>
      </c>
      <c r="S402" s="62">
        <f t="shared" si="165"/>
        <v>0</v>
      </c>
      <c r="T402" s="62">
        <f t="shared" si="165"/>
        <v>0</v>
      </c>
      <c r="U402" s="62">
        <f t="shared" si="165"/>
        <v>0</v>
      </c>
      <c r="V402" s="62">
        <f t="shared" si="165"/>
        <v>0</v>
      </c>
      <c r="W402" s="62">
        <f t="shared" si="165"/>
        <v>0</v>
      </c>
      <c r="X402" s="62">
        <f t="shared" si="165"/>
        <v>0</v>
      </c>
      <c r="Y402" s="62">
        <f t="shared" si="165"/>
        <v>0</v>
      </c>
      <c r="Z402" s="62">
        <f t="shared" si="165"/>
        <v>0</v>
      </c>
      <c r="AA402" s="62">
        <f t="shared" si="165"/>
        <v>0</v>
      </c>
      <c r="AB402" s="62">
        <f t="shared" si="165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158283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313</v>
      </c>
      <c r="F404" s="76">
        <f>F393+F402</f>
        <v>513674</v>
      </c>
      <c r="H404" s="62">
        <f t="shared" ref="H404:M404" si="166">H393+H402</f>
        <v>441436</v>
      </c>
      <c r="I404" s="62">
        <f t="shared" si="166"/>
        <v>0</v>
      </c>
      <c r="J404" s="62">
        <f t="shared" si="166"/>
        <v>0</v>
      </c>
      <c r="K404" s="62">
        <f t="shared" si="166"/>
        <v>72238</v>
      </c>
      <c r="L404" s="62">
        <f t="shared" si="166"/>
        <v>0</v>
      </c>
      <c r="M404" s="62">
        <f t="shared" si="166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7">Q393+Q402</f>
        <v>0</v>
      </c>
      <c r="R404" s="62">
        <f t="shared" si="167"/>
        <v>0</v>
      </c>
      <c r="S404" s="62">
        <f t="shared" si="167"/>
        <v>0</v>
      </c>
      <c r="T404" s="62">
        <f t="shared" si="167"/>
        <v>0</v>
      </c>
      <c r="U404" s="62">
        <f t="shared" si="167"/>
        <v>0</v>
      </c>
      <c r="V404" s="62">
        <f t="shared" si="167"/>
        <v>0</v>
      </c>
      <c r="W404" s="62">
        <f t="shared" si="167"/>
        <v>0</v>
      </c>
      <c r="X404" s="62">
        <f t="shared" si="167"/>
        <v>0</v>
      </c>
      <c r="Y404" s="62">
        <f t="shared" si="167"/>
        <v>0</v>
      </c>
      <c r="Z404" s="62">
        <f t="shared" si="167"/>
        <v>0</v>
      </c>
      <c r="AA404" s="62">
        <f t="shared" si="167"/>
        <v>0</v>
      </c>
      <c r="AB404" s="62">
        <f t="shared" si="167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513674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4.1">
      <c r="A406" s="59" t="s">
        <v>44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4.1">
      <c r="A408" s="65" t="s">
        <v>224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199</v>
      </c>
      <c r="C409" s="44" t="s">
        <v>282</v>
      </c>
      <c r="D409" s="44" t="s">
        <v>624</v>
      </c>
      <c r="F409" s="76">
        <v>115734</v>
      </c>
      <c r="H409" s="63">
        <f t="shared" ref="H409:Q413" si="168">IF(VLOOKUP($D409,$C$6:$AE$653,H$2,)=0,0,((VLOOKUP($D409,$C$6:$AE$653,H$2,)/VLOOKUP($D409,$C$6:$AE$653,4,))*$F409))</f>
        <v>115734</v>
      </c>
      <c r="I409" s="63">
        <f t="shared" si="168"/>
        <v>0</v>
      </c>
      <c r="J409" s="63">
        <f t="shared" si="168"/>
        <v>0</v>
      </c>
      <c r="K409" s="63">
        <f t="shared" si="168"/>
        <v>0</v>
      </c>
      <c r="L409" s="63">
        <f t="shared" si="168"/>
        <v>0</v>
      </c>
      <c r="M409" s="63">
        <f t="shared" si="168"/>
        <v>0</v>
      </c>
      <c r="N409" s="63">
        <f t="shared" si="168"/>
        <v>0</v>
      </c>
      <c r="O409" s="63">
        <f t="shared" si="168"/>
        <v>0</v>
      </c>
      <c r="P409" s="63">
        <f t="shared" si="168"/>
        <v>0</v>
      </c>
      <c r="Q409" s="63">
        <f t="shared" si="168"/>
        <v>0</v>
      </c>
      <c r="R409" s="63">
        <f t="shared" ref="R409:AE413" si="169">IF(VLOOKUP($D409,$C$6:$AE$653,R$2,)=0,0,((VLOOKUP($D409,$C$6:$AE$653,R$2,)/VLOOKUP($D409,$C$6:$AE$653,4,))*$F409))</f>
        <v>0</v>
      </c>
      <c r="S409" s="63">
        <f t="shared" si="169"/>
        <v>0</v>
      </c>
      <c r="T409" s="63">
        <f t="shared" si="169"/>
        <v>0</v>
      </c>
      <c r="U409" s="63">
        <f t="shared" si="169"/>
        <v>0</v>
      </c>
      <c r="V409" s="63">
        <f t="shared" si="169"/>
        <v>0</v>
      </c>
      <c r="W409" s="63">
        <f t="shared" si="169"/>
        <v>0</v>
      </c>
      <c r="X409" s="63">
        <f t="shared" si="169"/>
        <v>0</v>
      </c>
      <c r="Y409" s="63">
        <f t="shared" si="169"/>
        <v>0</v>
      </c>
      <c r="Z409" s="63">
        <f t="shared" si="169"/>
        <v>0</v>
      </c>
      <c r="AA409" s="63">
        <f t="shared" si="169"/>
        <v>0</v>
      </c>
      <c r="AB409" s="63">
        <f t="shared" si="169"/>
        <v>0</v>
      </c>
      <c r="AC409" s="63">
        <f t="shared" si="169"/>
        <v>0</v>
      </c>
      <c r="AD409" s="63">
        <f t="shared" si="169"/>
        <v>0</v>
      </c>
      <c r="AE409" s="63">
        <f t="shared" si="169"/>
        <v>0</v>
      </c>
      <c r="AF409" s="63">
        <f t="shared" ref="AF409:AF415" si="170">SUM(H409:AE409)</f>
        <v>115734</v>
      </c>
      <c r="AG409" s="58" t="str">
        <f>IF(ABS(AF409-F409)&lt;1,"ok","err")</f>
        <v>ok</v>
      </c>
    </row>
    <row r="410" spans="1:33">
      <c r="A410" s="60">
        <v>547</v>
      </c>
      <c r="B410" s="60" t="s">
        <v>201</v>
      </c>
      <c r="C410" s="44" t="s">
        <v>283</v>
      </c>
      <c r="D410" s="44" t="s">
        <v>854</v>
      </c>
      <c r="F410" s="79">
        <v>0</v>
      </c>
      <c r="H410" s="63">
        <f t="shared" si="168"/>
        <v>0</v>
      </c>
      <c r="I410" s="63">
        <f t="shared" si="168"/>
        <v>0</v>
      </c>
      <c r="J410" s="63">
        <f t="shared" si="168"/>
        <v>0</v>
      </c>
      <c r="K410" s="63">
        <f t="shared" si="168"/>
        <v>0</v>
      </c>
      <c r="L410" s="63">
        <f t="shared" si="168"/>
        <v>0</v>
      </c>
      <c r="M410" s="63">
        <f t="shared" si="168"/>
        <v>0</v>
      </c>
      <c r="N410" s="63">
        <f t="shared" si="168"/>
        <v>0</v>
      </c>
      <c r="O410" s="63">
        <f t="shared" si="168"/>
        <v>0</v>
      </c>
      <c r="P410" s="63">
        <f t="shared" si="168"/>
        <v>0</v>
      </c>
      <c r="Q410" s="63">
        <f t="shared" si="168"/>
        <v>0</v>
      </c>
      <c r="R410" s="63">
        <f t="shared" si="169"/>
        <v>0</v>
      </c>
      <c r="S410" s="63">
        <f t="shared" si="169"/>
        <v>0</v>
      </c>
      <c r="T410" s="63">
        <f t="shared" si="169"/>
        <v>0</v>
      </c>
      <c r="U410" s="63">
        <f t="shared" si="169"/>
        <v>0</v>
      </c>
      <c r="V410" s="63">
        <f t="shared" si="169"/>
        <v>0</v>
      </c>
      <c r="W410" s="63">
        <f t="shared" si="169"/>
        <v>0</v>
      </c>
      <c r="X410" s="63">
        <f t="shared" si="169"/>
        <v>0</v>
      </c>
      <c r="Y410" s="63">
        <f t="shared" si="169"/>
        <v>0</v>
      </c>
      <c r="Z410" s="63">
        <f t="shared" si="169"/>
        <v>0</v>
      </c>
      <c r="AA410" s="63">
        <f t="shared" si="169"/>
        <v>0</v>
      </c>
      <c r="AB410" s="63">
        <f t="shared" si="169"/>
        <v>0</v>
      </c>
      <c r="AC410" s="63">
        <f t="shared" si="169"/>
        <v>0</v>
      </c>
      <c r="AD410" s="63">
        <f t="shared" si="169"/>
        <v>0</v>
      </c>
      <c r="AE410" s="63">
        <f t="shared" si="169"/>
        <v>0</v>
      </c>
      <c r="AF410" s="63">
        <f t="shared" si="170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227</v>
      </c>
      <c r="C411" s="44" t="s">
        <v>284</v>
      </c>
      <c r="D411" s="44" t="s">
        <v>624</v>
      </c>
      <c r="F411" s="79">
        <v>166747</v>
      </c>
      <c r="H411" s="63">
        <f t="shared" si="168"/>
        <v>166747</v>
      </c>
      <c r="I411" s="63">
        <f t="shared" si="168"/>
        <v>0</v>
      </c>
      <c r="J411" s="63">
        <f t="shared" si="168"/>
        <v>0</v>
      </c>
      <c r="K411" s="63">
        <f t="shared" si="168"/>
        <v>0</v>
      </c>
      <c r="L411" s="63">
        <f t="shared" si="168"/>
        <v>0</v>
      </c>
      <c r="M411" s="63">
        <f t="shared" si="168"/>
        <v>0</v>
      </c>
      <c r="N411" s="63">
        <f t="shared" si="168"/>
        <v>0</v>
      </c>
      <c r="O411" s="63">
        <f t="shared" si="168"/>
        <v>0</v>
      </c>
      <c r="P411" s="63">
        <f t="shared" si="168"/>
        <v>0</v>
      </c>
      <c r="Q411" s="63">
        <f t="shared" si="168"/>
        <v>0</v>
      </c>
      <c r="R411" s="63">
        <f t="shared" si="169"/>
        <v>0</v>
      </c>
      <c r="S411" s="63">
        <f t="shared" si="169"/>
        <v>0</v>
      </c>
      <c r="T411" s="63">
        <f t="shared" si="169"/>
        <v>0</v>
      </c>
      <c r="U411" s="63">
        <f t="shared" si="169"/>
        <v>0</v>
      </c>
      <c r="V411" s="63">
        <f t="shared" si="169"/>
        <v>0</v>
      </c>
      <c r="W411" s="63">
        <f t="shared" si="169"/>
        <v>0</v>
      </c>
      <c r="X411" s="63">
        <f t="shared" si="169"/>
        <v>0</v>
      </c>
      <c r="Y411" s="63">
        <f t="shared" si="169"/>
        <v>0</v>
      </c>
      <c r="Z411" s="63">
        <f t="shared" si="169"/>
        <v>0</v>
      </c>
      <c r="AA411" s="63">
        <f t="shared" si="169"/>
        <v>0</v>
      </c>
      <c r="AB411" s="63">
        <f t="shared" si="169"/>
        <v>0</v>
      </c>
      <c r="AC411" s="63">
        <f t="shared" si="169"/>
        <v>0</v>
      </c>
      <c r="AD411" s="63">
        <f t="shared" si="169"/>
        <v>0</v>
      </c>
      <c r="AE411" s="63">
        <f t="shared" si="169"/>
        <v>0</v>
      </c>
      <c r="AF411" s="63">
        <f t="shared" si="170"/>
        <v>166747</v>
      </c>
      <c r="AG411" s="58" t="str">
        <f>IF(ABS(AF411-F411)&lt;1,"ok","err")</f>
        <v>ok</v>
      </c>
    </row>
    <row r="412" spans="1:33">
      <c r="A412" s="60">
        <v>549</v>
      </c>
      <c r="B412" s="60" t="s">
        <v>229</v>
      </c>
      <c r="C412" s="44" t="s">
        <v>285</v>
      </c>
      <c r="D412" s="44" t="s">
        <v>624</v>
      </c>
      <c r="F412" s="79">
        <v>746366</v>
      </c>
      <c r="H412" s="63">
        <f t="shared" si="168"/>
        <v>746366</v>
      </c>
      <c r="I412" s="63">
        <f t="shared" si="168"/>
        <v>0</v>
      </c>
      <c r="J412" s="63">
        <f t="shared" si="168"/>
        <v>0</v>
      </c>
      <c r="K412" s="63">
        <f t="shared" si="168"/>
        <v>0</v>
      </c>
      <c r="L412" s="63">
        <f t="shared" si="168"/>
        <v>0</v>
      </c>
      <c r="M412" s="63">
        <f t="shared" si="168"/>
        <v>0</v>
      </c>
      <c r="N412" s="63">
        <f t="shared" si="168"/>
        <v>0</v>
      </c>
      <c r="O412" s="63">
        <f t="shared" si="168"/>
        <v>0</v>
      </c>
      <c r="P412" s="63">
        <f t="shared" si="168"/>
        <v>0</v>
      </c>
      <c r="Q412" s="63">
        <f t="shared" si="168"/>
        <v>0</v>
      </c>
      <c r="R412" s="63">
        <f t="shared" si="169"/>
        <v>0</v>
      </c>
      <c r="S412" s="63">
        <f t="shared" si="169"/>
        <v>0</v>
      </c>
      <c r="T412" s="63">
        <f t="shared" si="169"/>
        <v>0</v>
      </c>
      <c r="U412" s="63">
        <f t="shared" si="169"/>
        <v>0</v>
      </c>
      <c r="V412" s="63">
        <f t="shared" si="169"/>
        <v>0</v>
      </c>
      <c r="W412" s="63">
        <f t="shared" si="169"/>
        <v>0</v>
      </c>
      <c r="X412" s="63">
        <f t="shared" si="169"/>
        <v>0</v>
      </c>
      <c r="Y412" s="63">
        <f t="shared" si="169"/>
        <v>0</v>
      </c>
      <c r="Z412" s="63">
        <f t="shared" si="169"/>
        <v>0</v>
      </c>
      <c r="AA412" s="63">
        <f t="shared" si="169"/>
        <v>0</v>
      </c>
      <c r="AB412" s="63">
        <f t="shared" si="169"/>
        <v>0</v>
      </c>
      <c r="AC412" s="63">
        <f t="shared" si="169"/>
        <v>0</v>
      </c>
      <c r="AD412" s="63">
        <f t="shared" si="169"/>
        <v>0</v>
      </c>
      <c r="AE412" s="63">
        <f t="shared" si="169"/>
        <v>0</v>
      </c>
      <c r="AF412" s="63">
        <f t="shared" si="170"/>
        <v>746366</v>
      </c>
      <c r="AG412" s="58" t="str">
        <f>IF(ABS(AF412-F412)&lt;1,"ok","err")</f>
        <v>ok</v>
      </c>
    </row>
    <row r="413" spans="1:33">
      <c r="A413" s="60">
        <v>550</v>
      </c>
      <c r="B413" s="60" t="s">
        <v>928</v>
      </c>
      <c r="C413" s="44" t="s">
        <v>286</v>
      </c>
      <c r="D413" s="44" t="s">
        <v>624</v>
      </c>
      <c r="F413" s="79">
        <v>0</v>
      </c>
      <c r="H413" s="63">
        <f t="shared" si="168"/>
        <v>0</v>
      </c>
      <c r="I413" s="63">
        <f t="shared" si="168"/>
        <v>0</v>
      </c>
      <c r="J413" s="63">
        <f t="shared" si="168"/>
        <v>0</v>
      </c>
      <c r="K413" s="63">
        <f t="shared" si="168"/>
        <v>0</v>
      </c>
      <c r="L413" s="63">
        <f t="shared" si="168"/>
        <v>0</v>
      </c>
      <c r="M413" s="63">
        <f t="shared" si="168"/>
        <v>0</v>
      </c>
      <c r="N413" s="63">
        <f t="shared" si="168"/>
        <v>0</v>
      </c>
      <c r="O413" s="63">
        <f t="shared" si="168"/>
        <v>0</v>
      </c>
      <c r="P413" s="63">
        <f t="shared" si="168"/>
        <v>0</v>
      </c>
      <c r="Q413" s="63">
        <f t="shared" si="168"/>
        <v>0</v>
      </c>
      <c r="R413" s="63">
        <f t="shared" si="169"/>
        <v>0</v>
      </c>
      <c r="S413" s="63">
        <f t="shared" si="169"/>
        <v>0</v>
      </c>
      <c r="T413" s="63">
        <f t="shared" si="169"/>
        <v>0</v>
      </c>
      <c r="U413" s="63">
        <f t="shared" si="169"/>
        <v>0</v>
      </c>
      <c r="V413" s="63">
        <f t="shared" si="169"/>
        <v>0</v>
      </c>
      <c r="W413" s="63">
        <f t="shared" si="169"/>
        <v>0</v>
      </c>
      <c r="X413" s="63">
        <f t="shared" si="169"/>
        <v>0</v>
      </c>
      <c r="Y413" s="63">
        <f t="shared" si="169"/>
        <v>0</v>
      </c>
      <c r="Z413" s="63">
        <f t="shared" si="169"/>
        <v>0</v>
      </c>
      <c r="AA413" s="63">
        <f t="shared" si="169"/>
        <v>0</v>
      </c>
      <c r="AB413" s="63">
        <f t="shared" si="169"/>
        <v>0</v>
      </c>
      <c r="AC413" s="63">
        <f t="shared" si="169"/>
        <v>0</v>
      </c>
      <c r="AD413" s="63">
        <f t="shared" si="169"/>
        <v>0</v>
      </c>
      <c r="AE413" s="63">
        <f t="shared" si="169"/>
        <v>0</v>
      </c>
      <c r="AF413" s="63">
        <f t="shared" si="170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232</v>
      </c>
      <c r="C415" s="44" t="s">
        <v>632</v>
      </c>
      <c r="F415" s="76">
        <f>SUM(F409:F414)</f>
        <v>1028847</v>
      </c>
      <c r="H415" s="62">
        <f t="shared" ref="H415:M415" si="171">SUM(H409:H414)</f>
        <v>1028847</v>
      </c>
      <c r="I415" s="62">
        <f t="shared" si="171"/>
        <v>0</v>
      </c>
      <c r="J415" s="62">
        <f t="shared" si="171"/>
        <v>0</v>
      </c>
      <c r="K415" s="62">
        <f t="shared" si="171"/>
        <v>0</v>
      </c>
      <c r="L415" s="62">
        <f t="shared" si="171"/>
        <v>0</v>
      </c>
      <c r="M415" s="62">
        <f t="shared" si="171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2">SUM(Q409:Q414)</f>
        <v>0</v>
      </c>
      <c r="R415" s="62">
        <f t="shared" si="172"/>
        <v>0</v>
      </c>
      <c r="S415" s="62">
        <f t="shared" si="172"/>
        <v>0</v>
      </c>
      <c r="T415" s="62">
        <f t="shared" si="172"/>
        <v>0</v>
      </c>
      <c r="U415" s="62">
        <f t="shared" si="172"/>
        <v>0</v>
      </c>
      <c r="V415" s="62">
        <f t="shared" si="172"/>
        <v>0</v>
      </c>
      <c r="W415" s="62">
        <f t="shared" si="172"/>
        <v>0</v>
      </c>
      <c r="X415" s="62">
        <f t="shared" si="172"/>
        <v>0</v>
      </c>
      <c r="Y415" s="62">
        <f t="shared" si="172"/>
        <v>0</v>
      </c>
      <c r="Z415" s="62">
        <f t="shared" si="172"/>
        <v>0</v>
      </c>
      <c r="AA415" s="62">
        <f t="shared" si="172"/>
        <v>0</v>
      </c>
      <c r="AB415" s="62">
        <f t="shared" si="172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0"/>
        <v>1028847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4.1">
      <c r="A417" s="65" t="s">
        <v>233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214</v>
      </c>
      <c r="C418" s="44" t="s">
        <v>287</v>
      </c>
      <c r="D418" s="44" t="s">
        <v>624</v>
      </c>
      <c r="F418" s="76">
        <v>171475</v>
      </c>
      <c r="H418" s="63">
        <f t="shared" ref="H418:Q421" si="173">IF(VLOOKUP($D418,$C$6:$AE$653,H$2,)=0,0,((VLOOKUP($D418,$C$6:$AE$653,H$2,)/VLOOKUP($D418,$C$6:$AE$653,4,))*$F418))</f>
        <v>171475</v>
      </c>
      <c r="I418" s="63">
        <f t="shared" si="173"/>
        <v>0</v>
      </c>
      <c r="J418" s="63">
        <f t="shared" si="173"/>
        <v>0</v>
      </c>
      <c r="K418" s="63">
        <f t="shared" si="173"/>
        <v>0</v>
      </c>
      <c r="L418" s="63">
        <f t="shared" si="173"/>
        <v>0</v>
      </c>
      <c r="M418" s="63">
        <f t="shared" si="173"/>
        <v>0</v>
      </c>
      <c r="N418" s="63">
        <f t="shared" si="173"/>
        <v>0</v>
      </c>
      <c r="O418" s="63">
        <f t="shared" si="173"/>
        <v>0</v>
      </c>
      <c r="P418" s="63">
        <f t="shared" si="173"/>
        <v>0</v>
      </c>
      <c r="Q418" s="63">
        <f t="shared" si="173"/>
        <v>0</v>
      </c>
      <c r="R418" s="63">
        <f t="shared" ref="R418:AE421" si="174">IF(VLOOKUP($D418,$C$6:$AE$653,R$2,)=0,0,((VLOOKUP($D418,$C$6:$AE$653,R$2,)/VLOOKUP($D418,$C$6:$AE$653,4,))*$F418))</f>
        <v>0</v>
      </c>
      <c r="S418" s="63">
        <f t="shared" si="174"/>
        <v>0</v>
      </c>
      <c r="T418" s="63">
        <f t="shared" si="174"/>
        <v>0</v>
      </c>
      <c r="U418" s="63">
        <f t="shared" si="174"/>
        <v>0</v>
      </c>
      <c r="V418" s="63">
        <f t="shared" si="174"/>
        <v>0</v>
      </c>
      <c r="W418" s="63">
        <f t="shared" si="174"/>
        <v>0</v>
      </c>
      <c r="X418" s="63">
        <f t="shared" si="174"/>
        <v>0</v>
      </c>
      <c r="Y418" s="63">
        <f t="shared" si="174"/>
        <v>0</v>
      </c>
      <c r="Z418" s="63">
        <f t="shared" si="174"/>
        <v>0</v>
      </c>
      <c r="AA418" s="63">
        <f t="shared" si="174"/>
        <v>0</v>
      </c>
      <c r="AB418" s="63">
        <f t="shared" si="174"/>
        <v>0</v>
      </c>
      <c r="AC418" s="63">
        <f t="shared" si="174"/>
        <v>0</v>
      </c>
      <c r="AD418" s="63">
        <f t="shared" si="174"/>
        <v>0</v>
      </c>
      <c r="AE418" s="63">
        <f t="shared" si="174"/>
        <v>0</v>
      </c>
      <c r="AF418" s="63">
        <f t="shared" ref="AF418:AF425" si="175">SUM(H418:AE418)</f>
        <v>171475</v>
      </c>
      <c r="AG418" s="58" t="str">
        <f>IF(ABS(AF418-F418)&lt;1,"ok","err")</f>
        <v>ok</v>
      </c>
    </row>
    <row r="419" spans="1:33">
      <c r="A419" s="60">
        <v>552</v>
      </c>
      <c r="B419" s="60" t="s">
        <v>213</v>
      </c>
      <c r="C419" s="44" t="s">
        <v>288</v>
      </c>
      <c r="D419" s="44" t="s">
        <v>624</v>
      </c>
      <c r="F419" s="79">
        <v>82367</v>
      </c>
      <c r="H419" s="63">
        <f t="shared" si="173"/>
        <v>82367</v>
      </c>
      <c r="I419" s="63">
        <f t="shared" si="173"/>
        <v>0</v>
      </c>
      <c r="J419" s="63">
        <f t="shared" si="173"/>
        <v>0</v>
      </c>
      <c r="K419" s="63">
        <f t="shared" si="173"/>
        <v>0</v>
      </c>
      <c r="L419" s="63">
        <f t="shared" si="173"/>
        <v>0</v>
      </c>
      <c r="M419" s="63">
        <f t="shared" si="173"/>
        <v>0</v>
      </c>
      <c r="N419" s="63">
        <f t="shared" si="173"/>
        <v>0</v>
      </c>
      <c r="O419" s="63">
        <f t="shared" si="173"/>
        <v>0</v>
      </c>
      <c r="P419" s="63">
        <f t="shared" si="173"/>
        <v>0</v>
      </c>
      <c r="Q419" s="63">
        <f t="shared" si="173"/>
        <v>0</v>
      </c>
      <c r="R419" s="63">
        <f t="shared" si="174"/>
        <v>0</v>
      </c>
      <c r="S419" s="63">
        <f t="shared" si="174"/>
        <v>0</v>
      </c>
      <c r="T419" s="63">
        <f t="shared" si="174"/>
        <v>0</v>
      </c>
      <c r="U419" s="63">
        <f t="shared" si="174"/>
        <v>0</v>
      </c>
      <c r="V419" s="63">
        <f t="shared" si="174"/>
        <v>0</v>
      </c>
      <c r="W419" s="63">
        <f t="shared" si="174"/>
        <v>0</v>
      </c>
      <c r="X419" s="63">
        <f t="shared" si="174"/>
        <v>0</v>
      </c>
      <c r="Y419" s="63">
        <f t="shared" si="174"/>
        <v>0</v>
      </c>
      <c r="Z419" s="63">
        <f t="shared" si="174"/>
        <v>0</v>
      </c>
      <c r="AA419" s="63">
        <f t="shared" si="174"/>
        <v>0</v>
      </c>
      <c r="AB419" s="63">
        <f t="shared" si="174"/>
        <v>0</v>
      </c>
      <c r="AC419" s="63">
        <f t="shared" si="174"/>
        <v>0</v>
      </c>
      <c r="AD419" s="63">
        <f t="shared" si="174"/>
        <v>0</v>
      </c>
      <c r="AE419" s="63">
        <f t="shared" si="174"/>
        <v>0</v>
      </c>
      <c r="AF419" s="63">
        <f t="shared" si="175"/>
        <v>82367</v>
      </c>
      <c r="AG419" s="58" t="str">
        <f>IF(ABS(AF419-F419)&lt;1,"ok","err")</f>
        <v>ok</v>
      </c>
    </row>
    <row r="420" spans="1:33">
      <c r="A420" s="60">
        <v>553</v>
      </c>
      <c r="B420" s="60" t="s">
        <v>236</v>
      </c>
      <c r="C420" s="44" t="s">
        <v>289</v>
      </c>
      <c r="D420" s="44" t="s">
        <v>624</v>
      </c>
      <c r="F420" s="79">
        <v>361575</v>
      </c>
      <c r="H420" s="63">
        <f t="shared" si="173"/>
        <v>361575</v>
      </c>
      <c r="I420" s="63">
        <f t="shared" si="173"/>
        <v>0</v>
      </c>
      <c r="J420" s="63">
        <f t="shared" si="173"/>
        <v>0</v>
      </c>
      <c r="K420" s="63">
        <f t="shared" si="173"/>
        <v>0</v>
      </c>
      <c r="L420" s="63">
        <f t="shared" si="173"/>
        <v>0</v>
      </c>
      <c r="M420" s="63">
        <f t="shared" si="173"/>
        <v>0</v>
      </c>
      <c r="N420" s="63">
        <f t="shared" si="173"/>
        <v>0</v>
      </c>
      <c r="O420" s="63">
        <f t="shared" si="173"/>
        <v>0</v>
      </c>
      <c r="P420" s="63">
        <f t="shared" si="173"/>
        <v>0</v>
      </c>
      <c r="Q420" s="63">
        <f t="shared" si="173"/>
        <v>0</v>
      </c>
      <c r="R420" s="63">
        <f t="shared" si="174"/>
        <v>0</v>
      </c>
      <c r="S420" s="63">
        <f t="shared" si="174"/>
        <v>0</v>
      </c>
      <c r="T420" s="63">
        <f t="shared" si="174"/>
        <v>0</v>
      </c>
      <c r="U420" s="63">
        <f t="shared" si="174"/>
        <v>0</v>
      </c>
      <c r="V420" s="63">
        <f t="shared" si="174"/>
        <v>0</v>
      </c>
      <c r="W420" s="63">
        <f t="shared" si="174"/>
        <v>0</v>
      </c>
      <c r="X420" s="63">
        <f t="shared" si="174"/>
        <v>0</v>
      </c>
      <c r="Y420" s="63">
        <f t="shared" si="174"/>
        <v>0</v>
      </c>
      <c r="Z420" s="63">
        <f t="shared" si="174"/>
        <v>0</v>
      </c>
      <c r="AA420" s="63">
        <f t="shared" si="174"/>
        <v>0</v>
      </c>
      <c r="AB420" s="63">
        <f t="shared" si="174"/>
        <v>0</v>
      </c>
      <c r="AC420" s="63">
        <f t="shared" si="174"/>
        <v>0</v>
      </c>
      <c r="AD420" s="63">
        <f t="shared" si="174"/>
        <v>0</v>
      </c>
      <c r="AE420" s="63">
        <f t="shared" si="174"/>
        <v>0</v>
      </c>
      <c r="AF420" s="63">
        <f t="shared" si="175"/>
        <v>361575</v>
      </c>
      <c r="AG420" s="58" t="str">
        <f>IF(ABS(AF420-F420)&lt;1,"ok","err")</f>
        <v>ok</v>
      </c>
    </row>
    <row r="421" spans="1:33">
      <c r="A421" s="60">
        <v>554</v>
      </c>
      <c r="B421" s="60" t="s">
        <v>238</v>
      </c>
      <c r="C421" s="44" t="s">
        <v>290</v>
      </c>
      <c r="D421" s="44" t="s">
        <v>624</v>
      </c>
      <c r="F421" s="79">
        <v>305811</v>
      </c>
      <c r="H421" s="63">
        <f t="shared" si="173"/>
        <v>305811</v>
      </c>
      <c r="I421" s="63">
        <f t="shared" si="173"/>
        <v>0</v>
      </c>
      <c r="J421" s="63">
        <f t="shared" si="173"/>
        <v>0</v>
      </c>
      <c r="K421" s="63">
        <f t="shared" si="173"/>
        <v>0</v>
      </c>
      <c r="L421" s="63">
        <f t="shared" si="173"/>
        <v>0</v>
      </c>
      <c r="M421" s="63">
        <f t="shared" si="173"/>
        <v>0</v>
      </c>
      <c r="N421" s="63">
        <f t="shared" si="173"/>
        <v>0</v>
      </c>
      <c r="O421" s="63">
        <f t="shared" si="173"/>
        <v>0</v>
      </c>
      <c r="P421" s="63">
        <f t="shared" si="173"/>
        <v>0</v>
      </c>
      <c r="Q421" s="63">
        <f t="shared" si="173"/>
        <v>0</v>
      </c>
      <c r="R421" s="63">
        <f t="shared" si="174"/>
        <v>0</v>
      </c>
      <c r="S421" s="63">
        <f t="shared" si="174"/>
        <v>0</v>
      </c>
      <c r="T421" s="63">
        <f t="shared" si="174"/>
        <v>0</v>
      </c>
      <c r="U421" s="63">
        <f t="shared" si="174"/>
        <v>0</v>
      </c>
      <c r="V421" s="63">
        <f t="shared" si="174"/>
        <v>0</v>
      </c>
      <c r="W421" s="63">
        <f t="shared" si="174"/>
        <v>0</v>
      </c>
      <c r="X421" s="63">
        <f t="shared" si="174"/>
        <v>0</v>
      </c>
      <c r="Y421" s="63">
        <f t="shared" si="174"/>
        <v>0</v>
      </c>
      <c r="Z421" s="63">
        <f t="shared" si="174"/>
        <v>0</v>
      </c>
      <c r="AA421" s="63">
        <f t="shared" si="174"/>
        <v>0</v>
      </c>
      <c r="AB421" s="63">
        <f t="shared" si="174"/>
        <v>0</v>
      </c>
      <c r="AC421" s="63">
        <f t="shared" si="174"/>
        <v>0</v>
      </c>
      <c r="AD421" s="63">
        <f t="shared" si="174"/>
        <v>0</v>
      </c>
      <c r="AE421" s="63">
        <f t="shared" si="174"/>
        <v>0</v>
      </c>
      <c r="AF421" s="63">
        <f t="shared" si="175"/>
        <v>305811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241</v>
      </c>
      <c r="C423" s="44" t="s">
        <v>633</v>
      </c>
      <c r="F423" s="76">
        <f>SUM(F418:F422)</f>
        <v>921228</v>
      </c>
      <c r="H423" s="62">
        <f t="shared" ref="H423:M423" si="176">SUM(H418:H422)</f>
        <v>921228</v>
      </c>
      <c r="I423" s="62">
        <f t="shared" si="176"/>
        <v>0</v>
      </c>
      <c r="J423" s="62">
        <f t="shared" si="176"/>
        <v>0</v>
      </c>
      <c r="K423" s="62">
        <f t="shared" si="176"/>
        <v>0</v>
      </c>
      <c r="L423" s="62">
        <f t="shared" si="176"/>
        <v>0</v>
      </c>
      <c r="M423" s="62">
        <f t="shared" si="176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7">SUM(Q418:Q422)</f>
        <v>0</v>
      </c>
      <c r="R423" s="62">
        <f t="shared" si="177"/>
        <v>0</v>
      </c>
      <c r="S423" s="62">
        <f t="shared" si="177"/>
        <v>0</v>
      </c>
      <c r="T423" s="62">
        <f t="shared" si="177"/>
        <v>0</v>
      </c>
      <c r="U423" s="62">
        <f t="shared" si="177"/>
        <v>0</v>
      </c>
      <c r="V423" s="62">
        <f t="shared" si="177"/>
        <v>0</v>
      </c>
      <c r="W423" s="62">
        <f t="shared" si="177"/>
        <v>0</v>
      </c>
      <c r="X423" s="62">
        <f t="shared" si="177"/>
        <v>0</v>
      </c>
      <c r="Y423" s="62">
        <f t="shared" si="177"/>
        <v>0</v>
      </c>
      <c r="Z423" s="62">
        <f t="shared" si="177"/>
        <v>0</v>
      </c>
      <c r="AA423" s="62">
        <f t="shared" si="177"/>
        <v>0</v>
      </c>
      <c r="AB423" s="62">
        <f t="shared" si="177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5"/>
        <v>921228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240</v>
      </c>
      <c r="F425" s="76">
        <f>F415+F423</f>
        <v>1950075</v>
      </c>
      <c r="H425" s="62">
        <f t="shared" ref="H425:M425" si="178">H415+H423</f>
        <v>1950075</v>
      </c>
      <c r="I425" s="62">
        <f t="shared" si="178"/>
        <v>0</v>
      </c>
      <c r="J425" s="62">
        <f t="shared" si="178"/>
        <v>0</v>
      </c>
      <c r="K425" s="62">
        <f t="shared" si="178"/>
        <v>0</v>
      </c>
      <c r="L425" s="62">
        <f t="shared" si="178"/>
        <v>0</v>
      </c>
      <c r="M425" s="62">
        <f t="shared" si="178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79">Q415+Q423</f>
        <v>0</v>
      </c>
      <c r="R425" s="62">
        <f t="shared" si="179"/>
        <v>0</v>
      </c>
      <c r="S425" s="62">
        <f t="shared" si="179"/>
        <v>0</v>
      </c>
      <c r="T425" s="62">
        <f t="shared" si="179"/>
        <v>0</v>
      </c>
      <c r="U425" s="62">
        <f t="shared" si="179"/>
        <v>0</v>
      </c>
      <c r="V425" s="62">
        <f t="shared" si="179"/>
        <v>0</v>
      </c>
      <c r="W425" s="62">
        <f t="shared" si="179"/>
        <v>0</v>
      </c>
      <c r="X425" s="62">
        <f t="shared" si="179"/>
        <v>0</v>
      </c>
      <c r="Y425" s="62">
        <f t="shared" si="179"/>
        <v>0</v>
      </c>
      <c r="Z425" s="62">
        <f t="shared" si="179"/>
        <v>0</v>
      </c>
      <c r="AA425" s="62">
        <f t="shared" si="179"/>
        <v>0</v>
      </c>
      <c r="AB425" s="62">
        <f t="shared" si="179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5"/>
        <v>1950075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330</v>
      </c>
      <c r="C427" s="44" t="s">
        <v>331</v>
      </c>
      <c r="F427" s="76">
        <f>F383+F404+F425</f>
        <v>32106116</v>
      </c>
      <c r="H427" s="62">
        <f t="shared" ref="H427:M427" si="180">H383+H404+H425</f>
        <v>16752455.257236628</v>
      </c>
      <c r="I427" s="62">
        <f t="shared" si="180"/>
        <v>0</v>
      </c>
      <c r="J427" s="62">
        <f t="shared" si="180"/>
        <v>0</v>
      </c>
      <c r="K427" s="62">
        <f t="shared" si="180"/>
        <v>15353660.74276337</v>
      </c>
      <c r="L427" s="62">
        <f t="shared" si="180"/>
        <v>0</v>
      </c>
      <c r="M427" s="62">
        <f t="shared" si="180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1">Q383+Q404+Q425</f>
        <v>0</v>
      </c>
      <c r="R427" s="62">
        <f t="shared" si="181"/>
        <v>0</v>
      </c>
      <c r="S427" s="62">
        <f t="shared" si="181"/>
        <v>0</v>
      </c>
      <c r="T427" s="62">
        <f t="shared" si="181"/>
        <v>0</v>
      </c>
      <c r="U427" s="62">
        <f t="shared" si="181"/>
        <v>0</v>
      </c>
      <c r="V427" s="62">
        <f t="shared" si="181"/>
        <v>0</v>
      </c>
      <c r="W427" s="62">
        <f t="shared" si="181"/>
        <v>0</v>
      </c>
      <c r="X427" s="62">
        <f t="shared" si="181"/>
        <v>0</v>
      </c>
      <c r="Y427" s="62">
        <f t="shared" si="181"/>
        <v>0</v>
      </c>
      <c r="Z427" s="62">
        <f t="shared" si="181"/>
        <v>0</v>
      </c>
      <c r="AA427" s="62">
        <f t="shared" si="181"/>
        <v>0</v>
      </c>
      <c r="AB427" s="62">
        <f t="shared" si="181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32106116</v>
      </c>
      <c r="AG427" s="58" t="str">
        <f>IF(ABS(AF427-F427)&lt;1,"ok","err")</f>
        <v>ok</v>
      </c>
    </row>
    <row r="428" spans="1:33" ht="14.1">
      <c r="A428" s="59"/>
      <c r="B428" s="60"/>
      <c r="W428" s="44"/>
      <c r="AG428" s="58"/>
    </row>
    <row r="429" spans="1:33" ht="14.1">
      <c r="A429" s="65" t="s">
        <v>909</v>
      </c>
      <c r="B429" s="60"/>
      <c r="W429" s="44"/>
      <c r="AG429" s="58"/>
    </row>
    <row r="430" spans="1:33">
      <c r="A430" s="60">
        <v>555</v>
      </c>
      <c r="B430" s="60" t="s">
        <v>1075</v>
      </c>
      <c r="C430" s="44" t="s">
        <v>100</v>
      </c>
      <c r="D430" s="44" t="s">
        <v>910</v>
      </c>
      <c r="F430" s="76">
        <v>0</v>
      </c>
      <c r="G430" s="62"/>
      <c r="H430" s="63">
        <f t="shared" ref="H430:Q432" si="182">IF(VLOOKUP($D430,$C$6:$AE$653,H$2,)=0,0,((VLOOKUP($D430,$C$6:$AE$653,H$2,)/VLOOKUP($D430,$C$6:$AE$653,4,))*$F430))</f>
        <v>0</v>
      </c>
      <c r="I430" s="63">
        <f t="shared" si="182"/>
        <v>0</v>
      </c>
      <c r="J430" s="63">
        <f t="shared" si="182"/>
        <v>0</v>
      </c>
      <c r="K430" s="63">
        <f t="shared" si="182"/>
        <v>0</v>
      </c>
      <c r="L430" s="63">
        <f t="shared" si="182"/>
        <v>0</v>
      </c>
      <c r="M430" s="63">
        <f t="shared" si="182"/>
        <v>0</v>
      </c>
      <c r="N430" s="63">
        <f t="shared" si="182"/>
        <v>0</v>
      </c>
      <c r="O430" s="63">
        <f t="shared" si="182"/>
        <v>0</v>
      </c>
      <c r="P430" s="63">
        <f t="shared" si="182"/>
        <v>0</v>
      </c>
      <c r="Q430" s="63">
        <f t="shared" si="182"/>
        <v>0</v>
      </c>
      <c r="R430" s="63">
        <f t="shared" ref="R430:AE432" si="183">IF(VLOOKUP($D430,$C$6:$AE$653,R$2,)=0,0,((VLOOKUP($D430,$C$6:$AE$653,R$2,)/VLOOKUP($D430,$C$6:$AE$653,4,))*$F430))</f>
        <v>0</v>
      </c>
      <c r="S430" s="63">
        <f t="shared" si="183"/>
        <v>0</v>
      </c>
      <c r="T430" s="63">
        <f t="shared" si="183"/>
        <v>0</v>
      </c>
      <c r="U430" s="63">
        <f t="shared" si="183"/>
        <v>0</v>
      </c>
      <c r="V430" s="63">
        <f t="shared" si="183"/>
        <v>0</v>
      </c>
      <c r="W430" s="63">
        <f t="shared" si="183"/>
        <v>0</v>
      </c>
      <c r="X430" s="63">
        <f t="shared" si="183"/>
        <v>0</v>
      </c>
      <c r="Y430" s="63">
        <f t="shared" si="183"/>
        <v>0</v>
      </c>
      <c r="Z430" s="63">
        <f t="shared" si="183"/>
        <v>0</v>
      </c>
      <c r="AA430" s="63">
        <f t="shared" si="183"/>
        <v>0</v>
      </c>
      <c r="AB430" s="63">
        <f t="shared" si="183"/>
        <v>0</v>
      </c>
      <c r="AC430" s="63">
        <f t="shared" si="183"/>
        <v>0</v>
      </c>
      <c r="AD430" s="63">
        <f t="shared" si="183"/>
        <v>0</v>
      </c>
      <c r="AE430" s="63">
        <f t="shared" si="183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250</v>
      </c>
      <c r="C431" s="44" t="s">
        <v>589</v>
      </c>
      <c r="D431" s="44" t="s">
        <v>624</v>
      </c>
      <c r="F431" s="79">
        <v>1351005</v>
      </c>
      <c r="G431" s="62"/>
      <c r="H431" s="63">
        <f t="shared" si="182"/>
        <v>1351005</v>
      </c>
      <c r="I431" s="63">
        <f t="shared" si="182"/>
        <v>0</v>
      </c>
      <c r="J431" s="63">
        <f t="shared" si="182"/>
        <v>0</v>
      </c>
      <c r="K431" s="63">
        <f t="shared" si="182"/>
        <v>0</v>
      </c>
      <c r="L431" s="63">
        <f t="shared" si="182"/>
        <v>0</v>
      </c>
      <c r="M431" s="63">
        <f t="shared" si="182"/>
        <v>0</v>
      </c>
      <c r="N431" s="63">
        <f t="shared" si="182"/>
        <v>0</v>
      </c>
      <c r="O431" s="63">
        <f t="shared" si="182"/>
        <v>0</v>
      </c>
      <c r="P431" s="63">
        <f t="shared" si="182"/>
        <v>0</v>
      </c>
      <c r="Q431" s="63">
        <f t="shared" si="182"/>
        <v>0</v>
      </c>
      <c r="R431" s="63">
        <f t="shared" si="183"/>
        <v>0</v>
      </c>
      <c r="S431" s="63">
        <f t="shared" si="183"/>
        <v>0</v>
      </c>
      <c r="T431" s="63">
        <f t="shared" si="183"/>
        <v>0</v>
      </c>
      <c r="U431" s="63">
        <f t="shared" si="183"/>
        <v>0</v>
      </c>
      <c r="V431" s="63">
        <f t="shared" si="183"/>
        <v>0</v>
      </c>
      <c r="W431" s="63">
        <f t="shared" si="183"/>
        <v>0</v>
      </c>
      <c r="X431" s="63">
        <f t="shared" si="183"/>
        <v>0</v>
      </c>
      <c r="Y431" s="63">
        <f t="shared" si="183"/>
        <v>0</v>
      </c>
      <c r="Z431" s="63">
        <f t="shared" si="183"/>
        <v>0</v>
      </c>
      <c r="AA431" s="63">
        <f t="shared" si="183"/>
        <v>0</v>
      </c>
      <c r="AB431" s="63">
        <f t="shared" si="183"/>
        <v>0</v>
      </c>
      <c r="AC431" s="63">
        <f t="shared" si="183"/>
        <v>0</v>
      </c>
      <c r="AD431" s="63">
        <f t="shared" si="183"/>
        <v>0</v>
      </c>
      <c r="AE431" s="63">
        <f t="shared" si="183"/>
        <v>0</v>
      </c>
      <c r="AF431" s="63">
        <f>SUM(H431:AE431)</f>
        <v>1351005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46</v>
      </c>
      <c r="D432" s="44" t="s">
        <v>624</v>
      </c>
      <c r="F432" s="79">
        <v>0</v>
      </c>
      <c r="G432" s="62"/>
      <c r="H432" s="63">
        <f t="shared" si="182"/>
        <v>0</v>
      </c>
      <c r="I432" s="63">
        <f t="shared" si="182"/>
        <v>0</v>
      </c>
      <c r="J432" s="63">
        <f t="shared" si="182"/>
        <v>0</v>
      </c>
      <c r="K432" s="63">
        <f t="shared" si="182"/>
        <v>0</v>
      </c>
      <c r="L432" s="63">
        <f t="shared" si="182"/>
        <v>0</v>
      </c>
      <c r="M432" s="63">
        <f t="shared" si="182"/>
        <v>0</v>
      </c>
      <c r="N432" s="63">
        <f t="shared" si="182"/>
        <v>0</v>
      </c>
      <c r="O432" s="63">
        <f t="shared" si="182"/>
        <v>0</v>
      </c>
      <c r="P432" s="63">
        <f t="shared" si="182"/>
        <v>0</v>
      </c>
      <c r="Q432" s="63">
        <f t="shared" si="182"/>
        <v>0</v>
      </c>
      <c r="R432" s="63">
        <f t="shared" si="183"/>
        <v>0</v>
      </c>
      <c r="S432" s="63">
        <f t="shared" si="183"/>
        <v>0</v>
      </c>
      <c r="T432" s="63">
        <f t="shared" si="183"/>
        <v>0</v>
      </c>
      <c r="U432" s="63">
        <f t="shared" si="183"/>
        <v>0</v>
      </c>
      <c r="V432" s="63">
        <f t="shared" si="183"/>
        <v>0</v>
      </c>
      <c r="W432" s="63">
        <f t="shared" si="183"/>
        <v>0</v>
      </c>
      <c r="X432" s="63">
        <f t="shared" si="183"/>
        <v>0</v>
      </c>
      <c r="Y432" s="63">
        <f t="shared" si="183"/>
        <v>0</v>
      </c>
      <c r="Z432" s="63">
        <f t="shared" si="183"/>
        <v>0</v>
      </c>
      <c r="AA432" s="63">
        <f t="shared" si="183"/>
        <v>0</v>
      </c>
      <c r="AB432" s="63">
        <f t="shared" si="183"/>
        <v>0</v>
      </c>
      <c r="AC432" s="63">
        <f t="shared" si="183"/>
        <v>0</v>
      </c>
      <c r="AD432" s="63">
        <f t="shared" si="183"/>
        <v>0</v>
      </c>
      <c r="AE432" s="63">
        <f t="shared" si="183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102</v>
      </c>
      <c r="C434" s="44" t="s">
        <v>45</v>
      </c>
      <c r="F434" s="76">
        <f>SUM(F430:F432)</f>
        <v>1351005</v>
      </c>
      <c r="G434" s="62"/>
      <c r="H434" s="62">
        <f t="shared" ref="H434:M434" si="184">SUM(H430:H432)</f>
        <v>1351005</v>
      </c>
      <c r="I434" s="62">
        <f t="shared" si="184"/>
        <v>0</v>
      </c>
      <c r="J434" s="62">
        <f t="shared" si="184"/>
        <v>0</v>
      </c>
      <c r="K434" s="62">
        <f t="shared" si="184"/>
        <v>0</v>
      </c>
      <c r="L434" s="62">
        <f t="shared" si="184"/>
        <v>0</v>
      </c>
      <c r="M434" s="62">
        <f t="shared" si="184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5">SUM(Q430:Q432)</f>
        <v>0</v>
      </c>
      <c r="R434" s="62">
        <f t="shared" si="185"/>
        <v>0</v>
      </c>
      <c r="S434" s="62">
        <f t="shared" si="185"/>
        <v>0</v>
      </c>
      <c r="T434" s="62">
        <f t="shared" si="185"/>
        <v>0</v>
      </c>
      <c r="U434" s="62">
        <f t="shared" si="185"/>
        <v>0</v>
      </c>
      <c r="V434" s="62">
        <f t="shared" si="185"/>
        <v>0</v>
      </c>
      <c r="W434" s="62">
        <f t="shared" si="185"/>
        <v>0</v>
      </c>
      <c r="X434" s="62">
        <f t="shared" si="185"/>
        <v>0</v>
      </c>
      <c r="Y434" s="62">
        <f t="shared" si="185"/>
        <v>0</v>
      </c>
      <c r="Z434" s="62">
        <f t="shared" si="185"/>
        <v>0</v>
      </c>
      <c r="AA434" s="62">
        <f t="shared" si="185"/>
        <v>0</v>
      </c>
      <c r="AB434" s="62">
        <f t="shared" si="185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1351005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4.1">
      <c r="A437" s="59" t="s">
        <v>44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4.1">
      <c r="A439" s="65" t="s">
        <v>104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1070</v>
      </c>
      <c r="C440" s="44" t="s">
        <v>101</v>
      </c>
      <c r="D440" s="44" t="s">
        <v>1085</v>
      </c>
      <c r="F440" s="76">
        <v>884644</v>
      </c>
      <c r="G440" s="62"/>
      <c r="H440" s="63">
        <f t="shared" ref="H440:Q448" si="186">IF(VLOOKUP($D440,$C$6:$AE$653,H$2,)=0,0,((VLOOKUP($D440,$C$6:$AE$653,H$2,)/VLOOKUP($D440,$C$6:$AE$653,4,))*$F440))</f>
        <v>0</v>
      </c>
      <c r="I440" s="63">
        <f t="shared" si="186"/>
        <v>0</v>
      </c>
      <c r="J440" s="63">
        <f t="shared" si="186"/>
        <v>0</v>
      </c>
      <c r="K440" s="63">
        <f t="shared" si="186"/>
        <v>0</v>
      </c>
      <c r="L440" s="63">
        <f t="shared" si="186"/>
        <v>0</v>
      </c>
      <c r="M440" s="63">
        <f t="shared" si="186"/>
        <v>0</v>
      </c>
      <c r="N440" s="63">
        <f t="shared" si="186"/>
        <v>884644</v>
      </c>
      <c r="O440" s="63">
        <f t="shared" si="186"/>
        <v>0</v>
      </c>
      <c r="P440" s="63">
        <f t="shared" si="186"/>
        <v>0</v>
      </c>
      <c r="Q440" s="63">
        <f t="shared" si="186"/>
        <v>0</v>
      </c>
      <c r="R440" s="63">
        <f t="shared" ref="R440:AE448" si="187">IF(VLOOKUP($D440,$C$6:$AE$653,R$2,)=0,0,((VLOOKUP($D440,$C$6:$AE$653,R$2,)/VLOOKUP($D440,$C$6:$AE$653,4,))*$F440))</f>
        <v>0</v>
      </c>
      <c r="S440" s="63">
        <f t="shared" si="187"/>
        <v>0</v>
      </c>
      <c r="T440" s="63">
        <f t="shared" si="187"/>
        <v>0</v>
      </c>
      <c r="U440" s="63">
        <f t="shared" si="187"/>
        <v>0</v>
      </c>
      <c r="V440" s="63">
        <f t="shared" si="187"/>
        <v>0</v>
      </c>
      <c r="W440" s="63">
        <f t="shared" si="187"/>
        <v>0</v>
      </c>
      <c r="X440" s="63">
        <f t="shared" si="187"/>
        <v>0</v>
      </c>
      <c r="Y440" s="63">
        <f t="shared" si="187"/>
        <v>0</v>
      </c>
      <c r="Z440" s="63">
        <f t="shared" si="187"/>
        <v>0</v>
      </c>
      <c r="AA440" s="63">
        <f t="shared" si="187"/>
        <v>0</v>
      </c>
      <c r="AB440" s="63">
        <f t="shared" si="187"/>
        <v>0</v>
      </c>
      <c r="AC440" s="63">
        <f t="shared" si="187"/>
        <v>0</v>
      </c>
      <c r="AD440" s="63">
        <f t="shared" si="187"/>
        <v>0</v>
      </c>
      <c r="AE440" s="63">
        <f t="shared" si="187"/>
        <v>0</v>
      </c>
      <c r="AF440" s="63">
        <f t="shared" ref="AF440:AF447" si="188">SUM(H440:AE440)</f>
        <v>884644</v>
      </c>
      <c r="AG440" s="58" t="str">
        <f t="shared" ref="AG440:AG448" si="189">IF(ABS(AF440-F440)&lt;1,"ok","err")</f>
        <v>ok</v>
      </c>
    </row>
    <row r="441" spans="1:33">
      <c r="A441" s="60">
        <v>561</v>
      </c>
      <c r="B441" s="60" t="s">
        <v>914</v>
      </c>
      <c r="C441" s="44" t="s">
        <v>47</v>
      </c>
      <c r="D441" s="44" t="s">
        <v>1085</v>
      </c>
      <c r="F441" s="79">
        <v>1915335</v>
      </c>
      <c r="G441" s="62"/>
      <c r="H441" s="63">
        <f t="shared" si="186"/>
        <v>0</v>
      </c>
      <c r="I441" s="63">
        <f t="shared" si="186"/>
        <v>0</v>
      </c>
      <c r="J441" s="63">
        <f t="shared" si="186"/>
        <v>0</v>
      </c>
      <c r="K441" s="63">
        <f t="shared" si="186"/>
        <v>0</v>
      </c>
      <c r="L441" s="63">
        <f t="shared" si="186"/>
        <v>0</v>
      </c>
      <c r="M441" s="63">
        <f t="shared" si="186"/>
        <v>0</v>
      </c>
      <c r="N441" s="63">
        <f t="shared" si="186"/>
        <v>1915335</v>
      </c>
      <c r="O441" s="63">
        <f t="shared" si="186"/>
        <v>0</v>
      </c>
      <c r="P441" s="63">
        <f t="shared" si="186"/>
        <v>0</v>
      </c>
      <c r="Q441" s="63">
        <f t="shared" si="186"/>
        <v>0</v>
      </c>
      <c r="R441" s="63">
        <f t="shared" si="187"/>
        <v>0</v>
      </c>
      <c r="S441" s="63">
        <f t="shared" si="187"/>
        <v>0</v>
      </c>
      <c r="T441" s="63">
        <f t="shared" si="187"/>
        <v>0</v>
      </c>
      <c r="U441" s="63">
        <f t="shared" si="187"/>
        <v>0</v>
      </c>
      <c r="V441" s="63">
        <f t="shared" si="187"/>
        <v>0</v>
      </c>
      <c r="W441" s="63">
        <f t="shared" si="187"/>
        <v>0</v>
      </c>
      <c r="X441" s="63">
        <f t="shared" si="187"/>
        <v>0</v>
      </c>
      <c r="Y441" s="63">
        <f t="shared" si="187"/>
        <v>0</v>
      </c>
      <c r="Z441" s="63">
        <f t="shared" si="187"/>
        <v>0</v>
      </c>
      <c r="AA441" s="63">
        <f t="shared" si="187"/>
        <v>0</v>
      </c>
      <c r="AB441" s="63">
        <f t="shared" si="187"/>
        <v>0</v>
      </c>
      <c r="AC441" s="63">
        <f t="shared" si="187"/>
        <v>0</v>
      </c>
      <c r="AD441" s="63">
        <f t="shared" si="187"/>
        <v>0</v>
      </c>
      <c r="AE441" s="63">
        <f t="shared" si="187"/>
        <v>0</v>
      </c>
      <c r="AF441" s="63">
        <f t="shared" si="188"/>
        <v>1915335</v>
      </c>
      <c r="AG441" s="58" t="str">
        <f t="shared" si="189"/>
        <v>ok</v>
      </c>
    </row>
    <row r="442" spans="1:33">
      <c r="A442" s="60">
        <v>562</v>
      </c>
      <c r="B442" s="60" t="s">
        <v>1068</v>
      </c>
      <c r="C442" s="44" t="s">
        <v>48</v>
      </c>
      <c r="D442" s="44" t="s">
        <v>1085</v>
      </c>
      <c r="F442" s="79">
        <v>390519</v>
      </c>
      <c r="G442" s="62"/>
      <c r="H442" s="63">
        <f t="shared" si="186"/>
        <v>0</v>
      </c>
      <c r="I442" s="63">
        <f t="shared" si="186"/>
        <v>0</v>
      </c>
      <c r="J442" s="63">
        <f t="shared" si="186"/>
        <v>0</v>
      </c>
      <c r="K442" s="63">
        <f t="shared" si="186"/>
        <v>0</v>
      </c>
      <c r="L442" s="63">
        <f t="shared" si="186"/>
        <v>0</v>
      </c>
      <c r="M442" s="63">
        <f t="shared" si="186"/>
        <v>0</v>
      </c>
      <c r="N442" s="63">
        <f t="shared" si="186"/>
        <v>390519</v>
      </c>
      <c r="O442" s="63">
        <f t="shared" si="186"/>
        <v>0</v>
      </c>
      <c r="P442" s="63">
        <f t="shared" si="186"/>
        <v>0</v>
      </c>
      <c r="Q442" s="63">
        <f t="shared" si="186"/>
        <v>0</v>
      </c>
      <c r="R442" s="63">
        <f t="shared" si="187"/>
        <v>0</v>
      </c>
      <c r="S442" s="63">
        <f t="shared" si="187"/>
        <v>0</v>
      </c>
      <c r="T442" s="63">
        <f t="shared" si="187"/>
        <v>0</v>
      </c>
      <c r="U442" s="63">
        <f t="shared" si="187"/>
        <v>0</v>
      </c>
      <c r="V442" s="63">
        <f t="shared" si="187"/>
        <v>0</v>
      </c>
      <c r="W442" s="63">
        <f t="shared" si="187"/>
        <v>0</v>
      </c>
      <c r="X442" s="63">
        <f t="shared" si="187"/>
        <v>0</v>
      </c>
      <c r="Y442" s="63">
        <f t="shared" si="187"/>
        <v>0</v>
      </c>
      <c r="Z442" s="63">
        <f t="shared" si="187"/>
        <v>0</v>
      </c>
      <c r="AA442" s="63">
        <f t="shared" si="187"/>
        <v>0</v>
      </c>
      <c r="AB442" s="63">
        <f t="shared" si="187"/>
        <v>0</v>
      </c>
      <c r="AC442" s="63">
        <f t="shared" si="187"/>
        <v>0</v>
      </c>
      <c r="AD442" s="63">
        <f t="shared" si="187"/>
        <v>0</v>
      </c>
      <c r="AE442" s="63">
        <f t="shared" si="187"/>
        <v>0</v>
      </c>
      <c r="AF442" s="63">
        <f t="shared" si="188"/>
        <v>390519</v>
      </c>
      <c r="AG442" s="58" t="str">
        <f t="shared" si="189"/>
        <v>ok</v>
      </c>
    </row>
    <row r="443" spans="1:33">
      <c r="A443" s="60">
        <v>563</v>
      </c>
      <c r="B443" s="60" t="s">
        <v>916</v>
      </c>
      <c r="C443" s="44" t="s">
        <v>49</v>
      </c>
      <c r="D443" s="44" t="s">
        <v>1085</v>
      </c>
      <c r="F443" s="79">
        <v>12872</v>
      </c>
      <c r="G443" s="62"/>
      <c r="H443" s="63">
        <f t="shared" si="186"/>
        <v>0</v>
      </c>
      <c r="I443" s="63">
        <f t="shared" si="186"/>
        <v>0</v>
      </c>
      <c r="J443" s="63">
        <f t="shared" si="186"/>
        <v>0</v>
      </c>
      <c r="K443" s="63">
        <f t="shared" si="186"/>
        <v>0</v>
      </c>
      <c r="L443" s="63">
        <f t="shared" si="186"/>
        <v>0</v>
      </c>
      <c r="M443" s="63">
        <f t="shared" si="186"/>
        <v>0</v>
      </c>
      <c r="N443" s="63">
        <f t="shared" si="186"/>
        <v>12872</v>
      </c>
      <c r="O443" s="63">
        <f t="shared" si="186"/>
        <v>0</v>
      </c>
      <c r="P443" s="63">
        <f t="shared" si="186"/>
        <v>0</v>
      </c>
      <c r="Q443" s="63">
        <f t="shared" si="186"/>
        <v>0</v>
      </c>
      <c r="R443" s="63">
        <f t="shared" si="187"/>
        <v>0</v>
      </c>
      <c r="S443" s="63">
        <f t="shared" si="187"/>
        <v>0</v>
      </c>
      <c r="T443" s="63">
        <f t="shared" si="187"/>
        <v>0</v>
      </c>
      <c r="U443" s="63">
        <f t="shared" si="187"/>
        <v>0</v>
      </c>
      <c r="V443" s="63">
        <f t="shared" si="187"/>
        <v>0</v>
      </c>
      <c r="W443" s="63">
        <f t="shared" si="187"/>
        <v>0</v>
      </c>
      <c r="X443" s="63">
        <f t="shared" si="187"/>
        <v>0</v>
      </c>
      <c r="Y443" s="63">
        <f t="shared" si="187"/>
        <v>0</v>
      </c>
      <c r="Z443" s="63">
        <f t="shared" si="187"/>
        <v>0</v>
      </c>
      <c r="AA443" s="63">
        <f t="shared" si="187"/>
        <v>0</v>
      </c>
      <c r="AB443" s="63">
        <f t="shared" si="187"/>
        <v>0</v>
      </c>
      <c r="AC443" s="63">
        <f t="shared" si="187"/>
        <v>0</v>
      </c>
      <c r="AD443" s="63">
        <f t="shared" si="187"/>
        <v>0</v>
      </c>
      <c r="AE443" s="63">
        <f t="shared" si="187"/>
        <v>0</v>
      </c>
      <c r="AF443" s="63">
        <f t="shared" si="188"/>
        <v>12872</v>
      </c>
      <c r="AG443" s="58" t="str">
        <f t="shared" si="189"/>
        <v>ok</v>
      </c>
    </row>
    <row r="444" spans="1:33">
      <c r="A444" s="60">
        <v>566</v>
      </c>
      <c r="B444" s="60" t="s">
        <v>145</v>
      </c>
      <c r="C444" s="44" t="s">
        <v>149</v>
      </c>
      <c r="D444" s="44" t="s">
        <v>1085</v>
      </c>
      <c r="F444" s="79">
        <v>110681</v>
      </c>
      <c r="G444" s="62"/>
      <c r="H444" s="63">
        <f t="shared" si="186"/>
        <v>0</v>
      </c>
      <c r="I444" s="63">
        <f t="shared" si="186"/>
        <v>0</v>
      </c>
      <c r="J444" s="63">
        <f t="shared" si="186"/>
        <v>0</v>
      </c>
      <c r="K444" s="63">
        <f t="shared" si="186"/>
        <v>0</v>
      </c>
      <c r="L444" s="63">
        <f t="shared" si="186"/>
        <v>0</v>
      </c>
      <c r="M444" s="63">
        <f t="shared" si="186"/>
        <v>0</v>
      </c>
      <c r="N444" s="63">
        <f t="shared" si="186"/>
        <v>110681</v>
      </c>
      <c r="O444" s="63">
        <f t="shared" si="186"/>
        <v>0</v>
      </c>
      <c r="P444" s="63">
        <f t="shared" si="186"/>
        <v>0</v>
      </c>
      <c r="Q444" s="63">
        <f t="shared" si="186"/>
        <v>0</v>
      </c>
      <c r="R444" s="63">
        <f t="shared" si="187"/>
        <v>0</v>
      </c>
      <c r="S444" s="63">
        <f t="shared" si="187"/>
        <v>0</v>
      </c>
      <c r="T444" s="63">
        <f t="shared" si="187"/>
        <v>0</v>
      </c>
      <c r="U444" s="63">
        <f t="shared" si="187"/>
        <v>0</v>
      </c>
      <c r="V444" s="63">
        <f t="shared" si="187"/>
        <v>0</v>
      </c>
      <c r="W444" s="63">
        <f t="shared" si="187"/>
        <v>0</v>
      </c>
      <c r="X444" s="63">
        <f t="shared" si="187"/>
        <v>0</v>
      </c>
      <c r="Y444" s="63">
        <f t="shared" si="187"/>
        <v>0</v>
      </c>
      <c r="Z444" s="63">
        <f t="shared" si="187"/>
        <v>0</v>
      </c>
      <c r="AA444" s="63">
        <f t="shared" si="187"/>
        <v>0</v>
      </c>
      <c r="AB444" s="63">
        <f t="shared" si="187"/>
        <v>0</v>
      </c>
      <c r="AC444" s="63">
        <f t="shared" si="187"/>
        <v>0</v>
      </c>
      <c r="AD444" s="63">
        <f t="shared" si="187"/>
        <v>0</v>
      </c>
      <c r="AE444" s="63">
        <f t="shared" si="187"/>
        <v>0</v>
      </c>
      <c r="AF444" s="63">
        <f t="shared" si="188"/>
        <v>110681</v>
      </c>
      <c r="AG444" s="58" t="str">
        <f t="shared" si="189"/>
        <v>ok</v>
      </c>
    </row>
    <row r="445" spans="1:33">
      <c r="A445" s="60">
        <v>569</v>
      </c>
      <c r="B445" s="60" t="s">
        <v>590</v>
      </c>
      <c r="C445" s="44" t="s">
        <v>591</v>
      </c>
      <c r="D445" s="44" t="s">
        <v>1085</v>
      </c>
      <c r="F445" s="79">
        <v>0</v>
      </c>
      <c r="G445" s="62"/>
      <c r="H445" s="63">
        <f t="shared" si="186"/>
        <v>0</v>
      </c>
      <c r="I445" s="63">
        <f t="shared" si="186"/>
        <v>0</v>
      </c>
      <c r="J445" s="63">
        <f t="shared" si="186"/>
        <v>0</v>
      </c>
      <c r="K445" s="63">
        <f t="shared" si="186"/>
        <v>0</v>
      </c>
      <c r="L445" s="63">
        <f t="shared" si="186"/>
        <v>0</v>
      </c>
      <c r="M445" s="63">
        <f t="shared" si="186"/>
        <v>0</v>
      </c>
      <c r="N445" s="63">
        <f t="shared" si="186"/>
        <v>0</v>
      </c>
      <c r="O445" s="63">
        <f t="shared" si="186"/>
        <v>0</v>
      </c>
      <c r="P445" s="63">
        <f t="shared" si="186"/>
        <v>0</v>
      </c>
      <c r="Q445" s="63">
        <f t="shared" si="186"/>
        <v>0</v>
      </c>
      <c r="R445" s="63">
        <f t="shared" si="187"/>
        <v>0</v>
      </c>
      <c r="S445" s="63">
        <f t="shared" si="187"/>
        <v>0</v>
      </c>
      <c r="T445" s="63">
        <f t="shared" si="187"/>
        <v>0</v>
      </c>
      <c r="U445" s="63">
        <f t="shared" si="187"/>
        <v>0</v>
      </c>
      <c r="V445" s="63">
        <f t="shared" si="187"/>
        <v>0</v>
      </c>
      <c r="W445" s="63">
        <f t="shared" si="187"/>
        <v>0</v>
      </c>
      <c r="X445" s="63">
        <f t="shared" si="187"/>
        <v>0</v>
      </c>
      <c r="Y445" s="63">
        <f t="shared" si="187"/>
        <v>0</v>
      </c>
      <c r="Z445" s="63">
        <f t="shared" si="187"/>
        <v>0</v>
      </c>
      <c r="AA445" s="63">
        <f t="shared" si="187"/>
        <v>0</v>
      </c>
      <c r="AB445" s="63">
        <f t="shared" si="187"/>
        <v>0</v>
      </c>
      <c r="AC445" s="63">
        <f t="shared" si="187"/>
        <v>0</v>
      </c>
      <c r="AD445" s="63">
        <f t="shared" si="187"/>
        <v>0</v>
      </c>
      <c r="AE445" s="63">
        <f t="shared" si="187"/>
        <v>0</v>
      </c>
      <c r="AF445" s="63">
        <f t="shared" si="188"/>
        <v>0</v>
      </c>
      <c r="AG445" s="58" t="str">
        <f t="shared" si="189"/>
        <v>ok</v>
      </c>
    </row>
    <row r="446" spans="1:33">
      <c r="A446" s="60">
        <v>570</v>
      </c>
      <c r="B446" s="60" t="s">
        <v>1071</v>
      </c>
      <c r="C446" s="44" t="s">
        <v>50</v>
      </c>
      <c r="D446" s="44" t="s">
        <v>1085</v>
      </c>
      <c r="F446" s="79">
        <v>687585</v>
      </c>
      <c r="G446" s="62"/>
      <c r="H446" s="63">
        <f t="shared" si="186"/>
        <v>0</v>
      </c>
      <c r="I446" s="63">
        <f t="shared" si="186"/>
        <v>0</v>
      </c>
      <c r="J446" s="63">
        <f t="shared" si="186"/>
        <v>0</v>
      </c>
      <c r="K446" s="63">
        <f t="shared" si="186"/>
        <v>0</v>
      </c>
      <c r="L446" s="63">
        <f t="shared" si="186"/>
        <v>0</v>
      </c>
      <c r="M446" s="63">
        <f t="shared" si="186"/>
        <v>0</v>
      </c>
      <c r="N446" s="63">
        <f t="shared" si="186"/>
        <v>687585</v>
      </c>
      <c r="O446" s="63">
        <f t="shared" si="186"/>
        <v>0</v>
      </c>
      <c r="P446" s="63">
        <f t="shared" si="186"/>
        <v>0</v>
      </c>
      <c r="Q446" s="63">
        <f t="shared" si="186"/>
        <v>0</v>
      </c>
      <c r="R446" s="63">
        <f t="shared" si="187"/>
        <v>0</v>
      </c>
      <c r="S446" s="63">
        <f t="shared" si="187"/>
        <v>0</v>
      </c>
      <c r="T446" s="63">
        <f t="shared" si="187"/>
        <v>0</v>
      </c>
      <c r="U446" s="63">
        <f t="shared" si="187"/>
        <v>0</v>
      </c>
      <c r="V446" s="63">
        <f t="shared" si="187"/>
        <v>0</v>
      </c>
      <c r="W446" s="63">
        <f t="shared" si="187"/>
        <v>0</v>
      </c>
      <c r="X446" s="63">
        <f t="shared" si="187"/>
        <v>0</v>
      </c>
      <c r="Y446" s="63">
        <f t="shared" si="187"/>
        <v>0</v>
      </c>
      <c r="Z446" s="63">
        <f t="shared" si="187"/>
        <v>0</v>
      </c>
      <c r="AA446" s="63">
        <f t="shared" si="187"/>
        <v>0</v>
      </c>
      <c r="AB446" s="63">
        <f t="shared" si="187"/>
        <v>0</v>
      </c>
      <c r="AC446" s="63">
        <f t="shared" si="187"/>
        <v>0</v>
      </c>
      <c r="AD446" s="63">
        <f t="shared" si="187"/>
        <v>0</v>
      </c>
      <c r="AE446" s="63">
        <f t="shared" si="187"/>
        <v>0</v>
      </c>
      <c r="AF446" s="63">
        <f t="shared" si="188"/>
        <v>687585</v>
      </c>
      <c r="AG446" s="58" t="str">
        <f t="shared" si="189"/>
        <v>ok</v>
      </c>
    </row>
    <row r="447" spans="1:33">
      <c r="A447" s="60">
        <v>571</v>
      </c>
      <c r="B447" s="60" t="s">
        <v>1072</v>
      </c>
      <c r="C447" s="44" t="s">
        <v>51</v>
      </c>
      <c r="D447" s="44" t="s">
        <v>1085</v>
      </c>
      <c r="F447" s="79">
        <v>170496</v>
      </c>
      <c r="G447" s="62"/>
      <c r="H447" s="63">
        <f t="shared" si="186"/>
        <v>0</v>
      </c>
      <c r="I447" s="63">
        <f t="shared" si="186"/>
        <v>0</v>
      </c>
      <c r="J447" s="63">
        <f t="shared" si="186"/>
        <v>0</v>
      </c>
      <c r="K447" s="63">
        <f t="shared" si="186"/>
        <v>0</v>
      </c>
      <c r="L447" s="63">
        <f t="shared" si="186"/>
        <v>0</v>
      </c>
      <c r="M447" s="63">
        <f t="shared" si="186"/>
        <v>0</v>
      </c>
      <c r="N447" s="63">
        <f t="shared" si="186"/>
        <v>170496</v>
      </c>
      <c r="O447" s="63">
        <f t="shared" si="186"/>
        <v>0</v>
      </c>
      <c r="P447" s="63">
        <f t="shared" si="186"/>
        <v>0</v>
      </c>
      <c r="Q447" s="63">
        <f t="shared" si="186"/>
        <v>0</v>
      </c>
      <c r="R447" s="63">
        <f t="shared" si="187"/>
        <v>0</v>
      </c>
      <c r="S447" s="63">
        <f t="shared" si="187"/>
        <v>0</v>
      </c>
      <c r="T447" s="63">
        <f t="shared" si="187"/>
        <v>0</v>
      </c>
      <c r="U447" s="63">
        <f t="shared" si="187"/>
        <v>0</v>
      </c>
      <c r="V447" s="63">
        <f t="shared" si="187"/>
        <v>0</v>
      </c>
      <c r="W447" s="63">
        <f t="shared" si="187"/>
        <v>0</v>
      </c>
      <c r="X447" s="63">
        <f t="shared" si="187"/>
        <v>0</v>
      </c>
      <c r="Y447" s="63">
        <f t="shared" si="187"/>
        <v>0</v>
      </c>
      <c r="Z447" s="63">
        <f t="shared" si="187"/>
        <v>0</v>
      </c>
      <c r="AA447" s="63">
        <f t="shared" si="187"/>
        <v>0</v>
      </c>
      <c r="AB447" s="63">
        <f t="shared" si="187"/>
        <v>0</v>
      </c>
      <c r="AC447" s="63">
        <f t="shared" si="187"/>
        <v>0</v>
      </c>
      <c r="AD447" s="63">
        <f t="shared" si="187"/>
        <v>0</v>
      </c>
      <c r="AE447" s="63">
        <f t="shared" si="187"/>
        <v>0</v>
      </c>
      <c r="AF447" s="63">
        <f t="shared" si="188"/>
        <v>170496</v>
      </c>
      <c r="AG447" s="58" t="str">
        <f t="shared" si="189"/>
        <v>ok</v>
      </c>
    </row>
    <row r="448" spans="1:33">
      <c r="A448" s="60">
        <v>573</v>
      </c>
      <c r="B448" s="60" t="s">
        <v>592</v>
      </c>
      <c r="C448" s="44" t="s">
        <v>593</v>
      </c>
      <c r="D448" s="44" t="s">
        <v>1085</v>
      </c>
      <c r="F448" s="79">
        <v>0</v>
      </c>
      <c r="G448" s="62"/>
      <c r="H448" s="63">
        <f t="shared" si="186"/>
        <v>0</v>
      </c>
      <c r="I448" s="63">
        <f t="shared" si="186"/>
        <v>0</v>
      </c>
      <c r="J448" s="63">
        <f t="shared" si="186"/>
        <v>0</v>
      </c>
      <c r="K448" s="63">
        <f t="shared" si="186"/>
        <v>0</v>
      </c>
      <c r="L448" s="63">
        <f t="shared" si="186"/>
        <v>0</v>
      </c>
      <c r="M448" s="63">
        <f t="shared" si="186"/>
        <v>0</v>
      </c>
      <c r="N448" s="63">
        <f t="shared" si="186"/>
        <v>0</v>
      </c>
      <c r="O448" s="63">
        <f t="shared" si="186"/>
        <v>0</v>
      </c>
      <c r="P448" s="63">
        <f t="shared" si="186"/>
        <v>0</v>
      </c>
      <c r="Q448" s="63">
        <f t="shared" si="186"/>
        <v>0</v>
      </c>
      <c r="R448" s="63">
        <f t="shared" si="187"/>
        <v>0</v>
      </c>
      <c r="S448" s="63">
        <f t="shared" si="187"/>
        <v>0</v>
      </c>
      <c r="T448" s="63">
        <f t="shared" si="187"/>
        <v>0</v>
      </c>
      <c r="U448" s="63">
        <f t="shared" si="187"/>
        <v>0</v>
      </c>
      <c r="V448" s="63">
        <f t="shared" si="187"/>
        <v>0</v>
      </c>
      <c r="W448" s="63">
        <f t="shared" si="187"/>
        <v>0</v>
      </c>
      <c r="X448" s="63">
        <f t="shared" si="187"/>
        <v>0</v>
      </c>
      <c r="Y448" s="63">
        <f t="shared" si="187"/>
        <v>0</v>
      </c>
      <c r="Z448" s="63">
        <f t="shared" si="187"/>
        <v>0</v>
      </c>
      <c r="AA448" s="63">
        <f t="shared" si="187"/>
        <v>0</v>
      </c>
      <c r="AB448" s="63">
        <f t="shared" si="187"/>
        <v>0</v>
      </c>
      <c r="AC448" s="63">
        <f t="shared" si="187"/>
        <v>0</v>
      </c>
      <c r="AD448" s="63">
        <f t="shared" si="187"/>
        <v>0</v>
      </c>
      <c r="AE448" s="63">
        <f t="shared" si="187"/>
        <v>0</v>
      </c>
      <c r="AF448" s="63">
        <f>SUM(H448:AE448)</f>
        <v>0</v>
      </c>
      <c r="AG448" s="58" t="str">
        <f t="shared" si="189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103</v>
      </c>
      <c r="B450" s="60"/>
      <c r="C450" s="44" t="s">
        <v>644</v>
      </c>
      <c r="F450" s="80">
        <f>SUM(F440:F449)</f>
        <v>4172132</v>
      </c>
      <c r="G450" s="64">
        <f>SUM(G440:G447)</f>
        <v>0</v>
      </c>
      <c r="H450" s="64">
        <f t="shared" ref="H450:M450" si="190">SUM(H440:H449)</f>
        <v>0</v>
      </c>
      <c r="I450" s="64">
        <f t="shared" si="190"/>
        <v>0</v>
      </c>
      <c r="J450" s="64">
        <f t="shared" si="190"/>
        <v>0</v>
      </c>
      <c r="K450" s="64">
        <f t="shared" si="190"/>
        <v>0</v>
      </c>
      <c r="L450" s="64">
        <f t="shared" si="190"/>
        <v>0</v>
      </c>
      <c r="M450" s="64">
        <f t="shared" si="190"/>
        <v>0</v>
      </c>
      <c r="N450" s="64">
        <f>SUM(N440:N449)</f>
        <v>4172132</v>
      </c>
      <c r="O450" s="64">
        <f>SUM(O440:O449)</f>
        <v>0</v>
      </c>
      <c r="P450" s="64">
        <f>SUM(P440:P449)</f>
        <v>0</v>
      </c>
      <c r="Q450" s="64">
        <f t="shared" ref="Q450:AB450" si="191">SUM(Q440:Q449)</f>
        <v>0</v>
      </c>
      <c r="R450" s="64">
        <f t="shared" si="191"/>
        <v>0</v>
      </c>
      <c r="S450" s="64">
        <f t="shared" si="191"/>
        <v>0</v>
      </c>
      <c r="T450" s="64">
        <f t="shared" si="191"/>
        <v>0</v>
      </c>
      <c r="U450" s="64">
        <f t="shared" si="191"/>
        <v>0</v>
      </c>
      <c r="V450" s="64">
        <f t="shared" si="191"/>
        <v>0</v>
      </c>
      <c r="W450" s="64">
        <f t="shared" si="191"/>
        <v>0</v>
      </c>
      <c r="X450" s="64">
        <f t="shared" si="191"/>
        <v>0</v>
      </c>
      <c r="Y450" s="64">
        <f t="shared" si="191"/>
        <v>0</v>
      </c>
      <c r="Z450" s="64">
        <f t="shared" si="191"/>
        <v>0</v>
      </c>
      <c r="AA450" s="64">
        <f t="shared" si="191"/>
        <v>0</v>
      </c>
      <c r="AB450" s="64">
        <f t="shared" si="191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4172132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4.1">
      <c r="A452" s="65" t="s">
        <v>105</v>
      </c>
      <c r="B452" s="60"/>
      <c r="W452" s="44"/>
      <c r="AG452" s="58"/>
    </row>
    <row r="453" spans="1:33">
      <c r="A453" s="60">
        <v>580</v>
      </c>
      <c r="B453" s="60" t="s">
        <v>912</v>
      </c>
      <c r="C453" s="44" t="s">
        <v>52</v>
      </c>
      <c r="D453" s="44" t="s">
        <v>636</v>
      </c>
      <c r="F453" s="76">
        <v>951702</v>
      </c>
      <c r="H453" s="63">
        <f t="shared" ref="H453:Q463" si="192">IF(VLOOKUP($D453,$C$6:$AE$653,H$2,)=0,0,((VLOOKUP($D453,$C$6:$AE$653,H$2,)/VLOOKUP($D453,$C$6:$AE$653,4,))*$F453))</f>
        <v>0</v>
      </c>
      <c r="I453" s="63">
        <f t="shared" si="192"/>
        <v>0</v>
      </c>
      <c r="J453" s="63">
        <f t="shared" si="192"/>
        <v>0</v>
      </c>
      <c r="K453" s="63">
        <f t="shared" si="192"/>
        <v>0</v>
      </c>
      <c r="L453" s="63">
        <f t="shared" si="192"/>
        <v>0</v>
      </c>
      <c r="M453" s="63">
        <f t="shared" si="192"/>
        <v>0</v>
      </c>
      <c r="N453" s="63">
        <f t="shared" si="192"/>
        <v>0</v>
      </c>
      <c r="O453" s="63">
        <f t="shared" si="192"/>
        <v>0</v>
      </c>
      <c r="P453" s="63">
        <f t="shared" si="192"/>
        <v>0</v>
      </c>
      <c r="Q453" s="63">
        <f t="shared" si="192"/>
        <v>0</v>
      </c>
      <c r="R453" s="63">
        <f t="shared" ref="R453:AE463" si="193">IF(VLOOKUP($D453,$C$6:$AE$653,R$2,)=0,0,((VLOOKUP($D453,$C$6:$AE$653,R$2,)/VLOOKUP($D453,$C$6:$AE$653,4,))*$F453))</f>
        <v>141163.5756618756</v>
      </c>
      <c r="S453" s="63">
        <f t="shared" si="193"/>
        <v>0</v>
      </c>
      <c r="T453" s="63">
        <f t="shared" si="193"/>
        <v>112584.47123919179</v>
      </c>
      <c r="U453" s="63">
        <f t="shared" si="193"/>
        <v>190986.77774011513</v>
      </c>
      <c r="V453" s="63">
        <f t="shared" si="193"/>
        <v>38088.005688467289</v>
      </c>
      <c r="W453" s="63">
        <f t="shared" si="193"/>
        <v>66453.116463524289</v>
      </c>
      <c r="X453" s="63">
        <f t="shared" si="193"/>
        <v>11353.89963566551</v>
      </c>
      <c r="Y453" s="63">
        <f t="shared" si="193"/>
        <v>6328.7534212864011</v>
      </c>
      <c r="Z453" s="63">
        <f t="shared" si="193"/>
        <v>4046.4212230293401</v>
      </c>
      <c r="AA453" s="63">
        <f t="shared" si="193"/>
        <v>367355.7464986273</v>
      </c>
      <c r="AB453" s="63">
        <f t="shared" si="193"/>
        <v>13341.23242821739</v>
      </c>
      <c r="AC453" s="63">
        <f t="shared" si="193"/>
        <v>0</v>
      </c>
      <c r="AD453" s="63">
        <f t="shared" si="193"/>
        <v>0</v>
      </c>
      <c r="AE453" s="63">
        <f t="shared" si="193"/>
        <v>0</v>
      </c>
      <c r="AF453" s="63">
        <f t="shared" ref="AF453:AF463" si="194">SUM(H453:AE453)</f>
        <v>951702.00000000012</v>
      </c>
      <c r="AG453" s="58" t="str">
        <f t="shared" ref="AG453:AG463" si="195">IF(ABS(AF453-F453)&lt;1,"ok","err")</f>
        <v>ok</v>
      </c>
    </row>
    <row r="454" spans="1:33">
      <c r="A454" s="60">
        <v>581</v>
      </c>
      <c r="B454" s="60" t="s">
        <v>914</v>
      </c>
      <c r="C454" s="44" t="s">
        <v>53</v>
      </c>
      <c r="D454" s="44" t="s">
        <v>863</v>
      </c>
      <c r="F454" s="79">
        <v>147043</v>
      </c>
      <c r="H454" s="63">
        <f t="shared" si="192"/>
        <v>0</v>
      </c>
      <c r="I454" s="63">
        <f t="shared" si="192"/>
        <v>0</v>
      </c>
      <c r="J454" s="63">
        <f t="shared" si="192"/>
        <v>0</v>
      </c>
      <c r="K454" s="63">
        <f t="shared" si="192"/>
        <v>0</v>
      </c>
      <c r="L454" s="63">
        <f t="shared" si="192"/>
        <v>0</v>
      </c>
      <c r="M454" s="63">
        <f t="shared" si="192"/>
        <v>0</v>
      </c>
      <c r="N454" s="63">
        <f t="shared" si="192"/>
        <v>0</v>
      </c>
      <c r="O454" s="63">
        <f t="shared" si="192"/>
        <v>0</v>
      </c>
      <c r="P454" s="63">
        <f t="shared" si="192"/>
        <v>0</v>
      </c>
      <c r="Q454" s="63">
        <f t="shared" si="192"/>
        <v>0</v>
      </c>
      <c r="R454" s="63">
        <f t="shared" si="193"/>
        <v>147043</v>
      </c>
      <c r="S454" s="63">
        <f t="shared" si="193"/>
        <v>0</v>
      </c>
      <c r="T454" s="63">
        <f t="shared" si="193"/>
        <v>0</v>
      </c>
      <c r="U454" s="63">
        <f t="shared" si="193"/>
        <v>0</v>
      </c>
      <c r="V454" s="63">
        <f t="shared" si="193"/>
        <v>0</v>
      </c>
      <c r="W454" s="63">
        <f t="shared" si="193"/>
        <v>0</v>
      </c>
      <c r="X454" s="63">
        <f t="shared" si="193"/>
        <v>0</v>
      </c>
      <c r="Y454" s="63">
        <f t="shared" si="193"/>
        <v>0</v>
      </c>
      <c r="Z454" s="63">
        <f t="shared" si="193"/>
        <v>0</v>
      </c>
      <c r="AA454" s="63">
        <f t="shared" si="193"/>
        <v>0</v>
      </c>
      <c r="AB454" s="63">
        <f t="shared" si="193"/>
        <v>0</v>
      </c>
      <c r="AC454" s="63">
        <f t="shared" si="193"/>
        <v>0</v>
      </c>
      <c r="AD454" s="63">
        <f t="shared" si="193"/>
        <v>0</v>
      </c>
      <c r="AE454" s="63">
        <f t="shared" si="193"/>
        <v>0</v>
      </c>
      <c r="AF454" s="63">
        <f t="shared" si="194"/>
        <v>147043</v>
      </c>
      <c r="AG454" s="58" t="str">
        <f t="shared" si="195"/>
        <v>ok</v>
      </c>
    </row>
    <row r="455" spans="1:33">
      <c r="A455" s="60">
        <v>582</v>
      </c>
      <c r="B455" s="60" t="s">
        <v>1068</v>
      </c>
      <c r="C455" s="44" t="s">
        <v>54</v>
      </c>
      <c r="D455" s="44" t="s">
        <v>863</v>
      </c>
      <c r="F455" s="79">
        <v>886395</v>
      </c>
      <c r="H455" s="63">
        <f t="shared" si="192"/>
        <v>0</v>
      </c>
      <c r="I455" s="63">
        <f t="shared" si="192"/>
        <v>0</v>
      </c>
      <c r="J455" s="63">
        <f t="shared" si="192"/>
        <v>0</v>
      </c>
      <c r="K455" s="63">
        <f t="shared" si="192"/>
        <v>0</v>
      </c>
      <c r="L455" s="63">
        <f t="shared" si="192"/>
        <v>0</v>
      </c>
      <c r="M455" s="63">
        <f t="shared" si="192"/>
        <v>0</v>
      </c>
      <c r="N455" s="63">
        <f t="shared" si="192"/>
        <v>0</v>
      </c>
      <c r="O455" s="63">
        <f t="shared" si="192"/>
        <v>0</v>
      </c>
      <c r="P455" s="63">
        <f t="shared" si="192"/>
        <v>0</v>
      </c>
      <c r="Q455" s="63">
        <f t="shared" si="192"/>
        <v>0</v>
      </c>
      <c r="R455" s="63">
        <f t="shared" si="193"/>
        <v>886395</v>
      </c>
      <c r="S455" s="63">
        <f t="shared" si="193"/>
        <v>0</v>
      </c>
      <c r="T455" s="63">
        <f t="shared" si="193"/>
        <v>0</v>
      </c>
      <c r="U455" s="63">
        <f t="shared" si="193"/>
        <v>0</v>
      </c>
      <c r="V455" s="63">
        <f t="shared" si="193"/>
        <v>0</v>
      </c>
      <c r="W455" s="63">
        <f t="shared" si="193"/>
        <v>0</v>
      </c>
      <c r="X455" s="63">
        <f t="shared" si="193"/>
        <v>0</v>
      </c>
      <c r="Y455" s="63">
        <f t="shared" si="193"/>
        <v>0</v>
      </c>
      <c r="Z455" s="63">
        <f t="shared" si="193"/>
        <v>0</v>
      </c>
      <c r="AA455" s="63">
        <f t="shared" si="193"/>
        <v>0</v>
      </c>
      <c r="AB455" s="63">
        <f t="shared" si="193"/>
        <v>0</v>
      </c>
      <c r="AC455" s="63">
        <f t="shared" si="193"/>
        <v>0</v>
      </c>
      <c r="AD455" s="63">
        <f t="shared" si="193"/>
        <v>0</v>
      </c>
      <c r="AE455" s="63">
        <f t="shared" si="193"/>
        <v>0</v>
      </c>
      <c r="AF455" s="63">
        <f t="shared" si="194"/>
        <v>886395</v>
      </c>
      <c r="AG455" s="58" t="str">
        <f t="shared" si="195"/>
        <v>ok</v>
      </c>
    </row>
    <row r="456" spans="1:33">
      <c r="A456" s="60">
        <v>583</v>
      </c>
      <c r="B456" s="60" t="s">
        <v>916</v>
      </c>
      <c r="C456" s="44" t="s">
        <v>55</v>
      </c>
      <c r="D456" s="44" t="s">
        <v>866</v>
      </c>
      <c r="F456" s="79">
        <v>2177118</v>
      </c>
      <c r="H456" s="63">
        <f t="shared" si="192"/>
        <v>0</v>
      </c>
      <c r="I456" s="63">
        <f t="shared" si="192"/>
        <v>0</v>
      </c>
      <c r="J456" s="63">
        <f t="shared" si="192"/>
        <v>0</v>
      </c>
      <c r="K456" s="63">
        <f t="shared" si="192"/>
        <v>0</v>
      </c>
      <c r="L456" s="63">
        <f t="shared" si="192"/>
        <v>0</v>
      </c>
      <c r="M456" s="63">
        <f t="shared" si="192"/>
        <v>0</v>
      </c>
      <c r="N456" s="63">
        <f t="shared" si="192"/>
        <v>0</v>
      </c>
      <c r="O456" s="63">
        <f t="shared" si="192"/>
        <v>0</v>
      </c>
      <c r="P456" s="63">
        <f t="shared" si="192"/>
        <v>0</v>
      </c>
      <c r="Q456" s="63">
        <f t="shared" si="192"/>
        <v>0</v>
      </c>
      <c r="R456" s="63">
        <f t="shared" si="193"/>
        <v>0</v>
      </c>
      <c r="S456" s="63">
        <f t="shared" si="193"/>
        <v>0</v>
      </c>
      <c r="T456" s="63">
        <f t="shared" si="193"/>
        <v>552862.83125736006</v>
      </c>
      <c r="U456" s="63">
        <f t="shared" si="193"/>
        <v>982440.7823426401</v>
      </c>
      <c r="V456" s="63">
        <f t="shared" si="193"/>
        <v>231117.36054264</v>
      </c>
      <c r="W456" s="63">
        <f t="shared" si="193"/>
        <v>410697.02585736004</v>
      </c>
      <c r="X456" s="63">
        <f t="shared" si="193"/>
        <v>0</v>
      </c>
      <c r="Y456" s="63">
        <f t="shared" si="193"/>
        <v>0</v>
      </c>
      <c r="Z456" s="63">
        <f t="shared" si="193"/>
        <v>0</v>
      </c>
      <c r="AA456" s="63">
        <f t="shared" si="193"/>
        <v>0</v>
      </c>
      <c r="AB456" s="63">
        <f t="shared" si="193"/>
        <v>0</v>
      </c>
      <c r="AC456" s="63">
        <f t="shared" si="193"/>
        <v>0</v>
      </c>
      <c r="AD456" s="63">
        <f t="shared" si="193"/>
        <v>0</v>
      </c>
      <c r="AE456" s="63">
        <f t="shared" si="193"/>
        <v>0</v>
      </c>
      <c r="AF456" s="63">
        <f t="shared" si="194"/>
        <v>2177118.0000000005</v>
      </c>
      <c r="AG456" s="58" t="str">
        <f t="shared" si="195"/>
        <v>ok</v>
      </c>
    </row>
    <row r="457" spans="1:33">
      <c r="A457" s="60">
        <v>584</v>
      </c>
      <c r="B457" s="60" t="s">
        <v>918</v>
      </c>
      <c r="C457" s="44" t="s">
        <v>56</v>
      </c>
      <c r="D457" s="44" t="s">
        <v>869</v>
      </c>
      <c r="F457" s="79">
        <v>377223</v>
      </c>
      <c r="H457" s="63">
        <f t="shared" si="192"/>
        <v>0</v>
      </c>
      <c r="I457" s="63">
        <f t="shared" si="192"/>
        <v>0</v>
      </c>
      <c r="J457" s="63">
        <f t="shared" si="192"/>
        <v>0</v>
      </c>
      <c r="K457" s="63">
        <f t="shared" si="192"/>
        <v>0</v>
      </c>
      <c r="L457" s="63">
        <f t="shared" si="192"/>
        <v>0</v>
      </c>
      <c r="M457" s="63">
        <f t="shared" si="192"/>
        <v>0</v>
      </c>
      <c r="N457" s="63">
        <f t="shared" si="192"/>
        <v>0</v>
      </c>
      <c r="O457" s="63">
        <f t="shared" si="192"/>
        <v>0</v>
      </c>
      <c r="P457" s="63">
        <f t="shared" si="192"/>
        <v>0</v>
      </c>
      <c r="Q457" s="63">
        <f t="shared" si="192"/>
        <v>0</v>
      </c>
      <c r="R457" s="63">
        <f t="shared" si="193"/>
        <v>0</v>
      </c>
      <c r="S457" s="63">
        <f t="shared" si="193"/>
        <v>0</v>
      </c>
      <c r="T457" s="63">
        <f t="shared" si="193"/>
        <v>133353.22685454</v>
      </c>
      <c r="U457" s="63">
        <f t="shared" si="193"/>
        <v>198867.06924546004</v>
      </c>
      <c r="V457" s="63">
        <f t="shared" si="193"/>
        <v>18064.085345459996</v>
      </c>
      <c r="W457" s="63">
        <f t="shared" si="193"/>
        <v>26938.618554539997</v>
      </c>
      <c r="X457" s="63">
        <f t="shared" si="193"/>
        <v>0</v>
      </c>
      <c r="Y457" s="63">
        <f t="shared" si="193"/>
        <v>0</v>
      </c>
      <c r="Z457" s="63">
        <f t="shared" si="193"/>
        <v>0</v>
      </c>
      <c r="AA457" s="63">
        <f t="shared" si="193"/>
        <v>0</v>
      </c>
      <c r="AB457" s="63">
        <f t="shared" si="193"/>
        <v>0</v>
      </c>
      <c r="AC457" s="63">
        <f t="shared" si="193"/>
        <v>0</v>
      </c>
      <c r="AD457" s="63">
        <f t="shared" si="193"/>
        <v>0</v>
      </c>
      <c r="AE457" s="63">
        <f t="shared" si="193"/>
        <v>0</v>
      </c>
      <c r="AF457" s="63">
        <f t="shared" si="194"/>
        <v>377223</v>
      </c>
      <c r="AG457" s="58" t="str">
        <f t="shared" si="195"/>
        <v>ok</v>
      </c>
    </row>
    <row r="458" spans="1:33">
      <c r="A458" s="60">
        <v>585</v>
      </c>
      <c r="B458" s="60" t="s">
        <v>920</v>
      </c>
      <c r="C458" s="44" t="s">
        <v>57</v>
      </c>
      <c r="D458" s="44" t="s">
        <v>877</v>
      </c>
      <c r="F458" s="79">
        <v>0</v>
      </c>
      <c r="H458" s="63">
        <f t="shared" si="192"/>
        <v>0</v>
      </c>
      <c r="I458" s="63">
        <f t="shared" si="192"/>
        <v>0</v>
      </c>
      <c r="J458" s="63">
        <f t="shared" si="192"/>
        <v>0</v>
      </c>
      <c r="K458" s="63">
        <f t="shared" si="192"/>
        <v>0</v>
      </c>
      <c r="L458" s="63">
        <f t="shared" si="192"/>
        <v>0</v>
      </c>
      <c r="M458" s="63">
        <f t="shared" si="192"/>
        <v>0</v>
      </c>
      <c r="N458" s="63">
        <f t="shared" si="192"/>
        <v>0</v>
      </c>
      <c r="O458" s="63">
        <f t="shared" si="192"/>
        <v>0</v>
      </c>
      <c r="P458" s="63">
        <f t="shared" si="192"/>
        <v>0</v>
      </c>
      <c r="Q458" s="63">
        <f t="shared" si="192"/>
        <v>0</v>
      </c>
      <c r="R458" s="63">
        <f t="shared" si="193"/>
        <v>0</v>
      </c>
      <c r="S458" s="63">
        <f t="shared" si="193"/>
        <v>0</v>
      </c>
      <c r="T458" s="63">
        <f t="shared" si="193"/>
        <v>0</v>
      </c>
      <c r="U458" s="63">
        <f t="shared" si="193"/>
        <v>0</v>
      </c>
      <c r="V458" s="63">
        <f t="shared" si="193"/>
        <v>0</v>
      </c>
      <c r="W458" s="63">
        <f t="shared" si="193"/>
        <v>0</v>
      </c>
      <c r="X458" s="63">
        <f t="shared" si="193"/>
        <v>0</v>
      </c>
      <c r="Y458" s="63">
        <f t="shared" si="193"/>
        <v>0</v>
      </c>
      <c r="Z458" s="63">
        <f t="shared" si="193"/>
        <v>0</v>
      </c>
      <c r="AA458" s="63">
        <f t="shared" si="193"/>
        <v>0</v>
      </c>
      <c r="AB458" s="63">
        <f t="shared" si="193"/>
        <v>0</v>
      </c>
      <c r="AC458" s="63">
        <f t="shared" si="193"/>
        <v>0</v>
      </c>
      <c r="AD458" s="63">
        <f t="shared" si="193"/>
        <v>0</v>
      </c>
      <c r="AE458" s="63">
        <f t="shared" si="193"/>
        <v>0</v>
      </c>
      <c r="AF458" s="63">
        <f t="shared" si="194"/>
        <v>0</v>
      </c>
      <c r="AG458" s="58" t="str">
        <f t="shared" si="195"/>
        <v>ok</v>
      </c>
    </row>
    <row r="459" spans="1:33">
      <c r="A459" s="60">
        <v>586</v>
      </c>
      <c r="B459" s="60" t="s">
        <v>922</v>
      </c>
      <c r="C459" s="44" t="s">
        <v>58</v>
      </c>
      <c r="D459" s="44" t="s">
        <v>874</v>
      </c>
      <c r="F459" s="79">
        <v>3140532</v>
      </c>
      <c r="H459" s="63">
        <f t="shared" si="192"/>
        <v>0</v>
      </c>
      <c r="I459" s="63">
        <f t="shared" si="192"/>
        <v>0</v>
      </c>
      <c r="J459" s="63">
        <f t="shared" si="192"/>
        <v>0</v>
      </c>
      <c r="K459" s="63">
        <f t="shared" si="192"/>
        <v>0</v>
      </c>
      <c r="L459" s="63">
        <f t="shared" si="192"/>
        <v>0</v>
      </c>
      <c r="M459" s="63">
        <f t="shared" si="192"/>
        <v>0</v>
      </c>
      <c r="N459" s="63">
        <f t="shared" si="192"/>
        <v>0</v>
      </c>
      <c r="O459" s="63">
        <f t="shared" si="192"/>
        <v>0</v>
      </c>
      <c r="P459" s="63">
        <f t="shared" si="192"/>
        <v>0</v>
      </c>
      <c r="Q459" s="63">
        <f t="shared" si="192"/>
        <v>0</v>
      </c>
      <c r="R459" s="63">
        <f t="shared" si="193"/>
        <v>0</v>
      </c>
      <c r="S459" s="63">
        <f t="shared" si="193"/>
        <v>0</v>
      </c>
      <c r="T459" s="63">
        <f t="shared" si="193"/>
        <v>0</v>
      </c>
      <c r="U459" s="63">
        <f t="shared" si="193"/>
        <v>0</v>
      </c>
      <c r="V459" s="63">
        <f t="shared" si="193"/>
        <v>0</v>
      </c>
      <c r="W459" s="63">
        <f t="shared" si="193"/>
        <v>0</v>
      </c>
      <c r="X459" s="63">
        <f t="shared" si="193"/>
        <v>0</v>
      </c>
      <c r="Y459" s="63">
        <f t="shared" si="193"/>
        <v>0</v>
      </c>
      <c r="Z459" s="63">
        <f t="shared" si="193"/>
        <v>0</v>
      </c>
      <c r="AA459" s="63">
        <f t="shared" si="193"/>
        <v>3140532</v>
      </c>
      <c r="AB459" s="63">
        <f t="shared" si="193"/>
        <v>0</v>
      </c>
      <c r="AC459" s="63">
        <f t="shared" si="193"/>
        <v>0</v>
      </c>
      <c r="AD459" s="63">
        <f t="shared" si="193"/>
        <v>0</v>
      </c>
      <c r="AE459" s="63">
        <f t="shared" si="193"/>
        <v>0</v>
      </c>
      <c r="AF459" s="63">
        <f t="shared" si="194"/>
        <v>3140532</v>
      </c>
      <c r="AG459" s="58" t="str">
        <f t="shared" si="195"/>
        <v>ok</v>
      </c>
    </row>
    <row r="460" spans="1:33">
      <c r="A460" s="60">
        <v>586</v>
      </c>
      <c r="B460" s="60" t="s">
        <v>26</v>
      </c>
      <c r="C460" s="44" t="s">
        <v>59</v>
      </c>
      <c r="D460" s="44" t="s">
        <v>41</v>
      </c>
      <c r="F460" s="79"/>
      <c r="H460" s="63">
        <f t="shared" si="192"/>
        <v>0</v>
      </c>
      <c r="I460" s="63">
        <f t="shared" si="192"/>
        <v>0</v>
      </c>
      <c r="J460" s="63">
        <f t="shared" si="192"/>
        <v>0</v>
      </c>
      <c r="K460" s="63">
        <f t="shared" si="192"/>
        <v>0</v>
      </c>
      <c r="L460" s="63">
        <f t="shared" si="192"/>
        <v>0</v>
      </c>
      <c r="M460" s="63">
        <f t="shared" si="192"/>
        <v>0</v>
      </c>
      <c r="N460" s="63">
        <f t="shared" si="192"/>
        <v>0</v>
      </c>
      <c r="O460" s="63">
        <f t="shared" si="192"/>
        <v>0</v>
      </c>
      <c r="P460" s="63">
        <f t="shared" si="192"/>
        <v>0</v>
      </c>
      <c r="Q460" s="63">
        <f t="shared" si="192"/>
        <v>0</v>
      </c>
      <c r="R460" s="63">
        <f t="shared" si="193"/>
        <v>0</v>
      </c>
      <c r="S460" s="63">
        <f t="shared" si="193"/>
        <v>0</v>
      </c>
      <c r="T460" s="63">
        <f t="shared" si="193"/>
        <v>0</v>
      </c>
      <c r="U460" s="63">
        <f t="shared" si="193"/>
        <v>0</v>
      </c>
      <c r="V460" s="63">
        <f t="shared" si="193"/>
        <v>0</v>
      </c>
      <c r="W460" s="63">
        <f t="shared" si="193"/>
        <v>0</v>
      </c>
      <c r="X460" s="63">
        <f t="shared" si="193"/>
        <v>0</v>
      </c>
      <c r="Y460" s="63">
        <f t="shared" si="193"/>
        <v>0</v>
      </c>
      <c r="Z460" s="63">
        <f t="shared" si="193"/>
        <v>0</v>
      </c>
      <c r="AA460" s="63">
        <f t="shared" si="193"/>
        <v>0</v>
      </c>
      <c r="AB460" s="63">
        <f t="shared" si="193"/>
        <v>0</v>
      </c>
      <c r="AC460" s="63">
        <f t="shared" si="193"/>
        <v>0</v>
      </c>
      <c r="AD460" s="63">
        <f t="shared" si="193"/>
        <v>0</v>
      </c>
      <c r="AE460" s="63">
        <f t="shared" si="193"/>
        <v>0</v>
      </c>
      <c r="AF460" s="63">
        <f t="shared" si="194"/>
        <v>0</v>
      </c>
      <c r="AG460" s="58" t="str">
        <f t="shared" si="195"/>
        <v>ok</v>
      </c>
    </row>
    <row r="461" spans="1:33">
      <c r="A461" s="60">
        <v>587</v>
      </c>
      <c r="B461" s="60" t="s">
        <v>924</v>
      </c>
      <c r="C461" s="44" t="s">
        <v>60</v>
      </c>
      <c r="D461" s="44" t="s">
        <v>876</v>
      </c>
      <c r="F461" s="79">
        <v>0</v>
      </c>
      <c r="H461" s="63">
        <f t="shared" si="192"/>
        <v>0</v>
      </c>
      <c r="I461" s="63">
        <f t="shared" si="192"/>
        <v>0</v>
      </c>
      <c r="J461" s="63">
        <f t="shared" si="192"/>
        <v>0</v>
      </c>
      <c r="K461" s="63">
        <f t="shared" si="192"/>
        <v>0</v>
      </c>
      <c r="L461" s="63">
        <f t="shared" si="192"/>
        <v>0</v>
      </c>
      <c r="M461" s="63">
        <f t="shared" si="192"/>
        <v>0</v>
      </c>
      <c r="N461" s="63">
        <f t="shared" si="192"/>
        <v>0</v>
      </c>
      <c r="O461" s="63">
        <f t="shared" si="192"/>
        <v>0</v>
      </c>
      <c r="P461" s="63">
        <f t="shared" si="192"/>
        <v>0</v>
      </c>
      <c r="Q461" s="63">
        <f t="shared" si="192"/>
        <v>0</v>
      </c>
      <c r="R461" s="63">
        <f t="shared" si="193"/>
        <v>0</v>
      </c>
      <c r="S461" s="63">
        <f t="shared" si="193"/>
        <v>0</v>
      </c>
      <c r="T461" s="63">
        <f t="shared" si="193"/>
        <v>0</v>
      </c>
      <c r="U461" s="63">
        <f t="shared" si="193"/>
        <v>0</v>
      </c>
      <c r="V461" s="63">
        <f t="shared" si="193"/>
        <v>0</v>
      </c>
      <c r="W461" s="63">
        <f t="shared" si="193"/>
        <v>0</v>
      </c>
      <c r="X461" s="63">
        <f t="shared" si="193"/>
        <v>0</v>
      </c>
      <c r="Y461" s="63">
        <f t="shared" si="193"/>
        <v>0</v>
      </c>
      <c r="Z461" s="63">
        <f t="shared" si="193"/>
        <v>0</v>
      </c>
      <c r="AA461" s="63">
        <f t="shared" si="193"/>
        <v>0</v>
      </c>
      <c r="AB461" s="63">
        <f t="shared" si="193"/>
        <v>0</v>
      </c>
      <c r="AC461" s="63">
        <f t="shared" si="193"/>
        <v>0</v>
      </c>
      <c r="AD461" s="63">
        <f t="shared" si="193"/>
        <v>0</v>
      </c>
      <c r="AE461" s="63">
        <f t="shared" si="193"/>
        <v>0</v>
      </c>
      <c r="AF461" s="63">
        <f t="shared" si="194"/>
        <v>0</v>
      </c>
      <c r="AG461" s="58" t="str">
        <f t="shared" si="195"/>
        <v>ok</v>
      </c>
    </row>
    <row r="462" spans="1:33">
      <c r="A462" s="60">
        <v>588</v>
      </c>
      <c r="B462" s="60" t="s">
        <v>926</v>
      </c>
      <c r="C462" s="44" t="s">
        <v>61</v>
      </c>
      <c r="D462" s="44" t="s">
        <v>859</v>
      </c>
      <c r="F462" s="79">
        <v>1500244</v>
      </c>
      <c r="H462" s="63">
        <f t="shared" si="192"/>
        <v>0</v>
      </c>
      <c r="I462" s="63">
        <f t="shared" si="192"/>
        <v>0</v>
      </c>
      <c r="J462" s="63">
        <f t="shared" si="192"/>
        <v>0</v>
      </c>
      <c r="K462" s="63">
        <f t="shared" si="192"/>
        <v>0</v>
      </c>
      <c r="L462" s="63">
        <f t="shared" si="192"/>
        <v>0</v>
      </c>
      <c r="M462" s="63">
        <f t="shared" si="192"/>
        <v>0</v>
      </c>
      <c r="N462" s="63">
        <f t="shared" si="192"/>
        <v>0</v>
      </c>
      <c r="O462" s="63">
        <f t="shared" si="192"/>
        <v>0</v>
      </c>
      <c r="P462" s="63">
        <f t="shared" si="192"/>
        <v>0</v>
      </c>
      <c r="Q462" s="63">
        <f t="shared" si="192"/>
        <v>0</v>
      </c>
      <c r="R462" s="63">
        <f t="shared" si="193"/>
        <v>187082.96804504422</v>
      </c>
      <c r="S462" s="63">
        <f t="shared" si="193"/>
        <v>0</v>
      </c>
      <c r="T462" s="63">
        <f t="shared" si="193"/>
        <v>287205.78374364699</v>
      </c>
      <c r="U462" s="63">
        <f t="shared" si="193"/>
        <v>469991.82510409236</v>
      </c>
      <c r="V462" s="63">
        <f t="shared" si="193"/>
        <v>80133.0345352531</v>
      </c>
      <c r="W462" s="63">
        <f t="shared" si="193"/>
        <v>136927.74175468896</v>
      </c>
      <c r="X462" s="63">
        <f t="shared" si="193"/>
        <v>98167.480594296954</v>
      </c>
      <c r="Y462" s="63">
        <f t="shared" si="193"/>
        <v>54719.329799131789</v>
      </c>
      <c r="Z462" s="63">
        <f t="shared" si="193"/>
        <v>34985.951050711454</v>
      </c>
      <c r="AA462" s="63">
        <f t="shared" si="193"/>
        <v>35679.634135488181</v>
      </c>
      <c r="AB462" s="63">
        <f t="shared" si="193"/>
        <v>115350.25123764618</v>
      </c>
      <c r="AC462" s="63">
        <f t="shared" si="193"/>
        <v>0</v>
      </c>
      <c r="AD462" s="63">
        <f t="shared" si="193"/>
        <v>0</v>
      </c>
      <c r="AE462" s="63">
        <f t="shared" si="193"/>
        <v>0</v>
      </c>
      <c r="AF462" s="63">
        <f t="shared" si="194"/>
        <v>1500244.0000000002</v>
      </c>
      <c r="AG462" s="58" t="str">
        <f t="shared" si="195"/>
        <v>ok</v>
      </c>
    </row>
    <row r="463" spans="1:33">
      <c r="A463" s="60">
        <v>589</v>
      </c>
      <c r="B463" s="60" t="s">
        <v>928</v>
      </c>
      <c r="C463" s="44" t="s">
        <v>62</v>
      </c>
      <c r="D463" s="44" t="s">
        <v>859</v>
      </c>
      <c r="F463" s="79">
        <v>0</v>
      </c>
      <c r="H463" s="63">
        <f t="shared" si="192"/>
        <v>0</v>
      </c>
      <c r="I463" s="63">
        <f t="shared" si="192"/>
        <v>0</v>
      </c>
      <c r="J463" s="63">
        <f t="shared" si="192"/>
        <v>0</v>
      </c>
      <c r="K463" s="63">
        <f t="shared" si="192"/>
        <v>0</v>
      </c>
      <c r="L463" s="63">
        <f t="shared" si="192"/>
        <v>0</v>
      </c>
      <c r="M463" s="63">
        <f t="shared" si="192"/>
        <v>0</v>
      </c>
      <c r="N463" s="63">
        <f t="shared" si="192"/>
        <v>0</v>
      </c>
      <c r="O463" s="63">
        <f t="shared" si="192"/>
        <v>0</v>
      </c>
      <c r="P463" s="63">
        <f t="shared" si="192"/>
        <v>0</v>
      </c>
      <c r="Q463" s="63">
        <f t="shared" si="192"/>
        <v>0</v>
      </c>
      <c r="R463" s="63">
        <f t="shared" si="193"/>
        <v>0</v>
      </c>
      <c r="S463" s="63">
        <f t="shared" si="193"/>
        <v>0</v>
      </c>
      <c r="T463" s="63">
        <f t="shared" si="193"/>
        <v>0</v>
      </c>
      <c r="U463" s="63">
        <f t="shared" si="193"/>
        <v>0</v>
      </c>
      <c r="V463" s="63">
        <f t="shared" si="193"/>
        <v>0</v>
      </c>
      <c r="W463" s="63">
        <f t="shared" si="193"/>
        <v>0</v>
      </c>
      <c r="X463" s="63">
        <f t="shared" si="193"/>
        <v>0</v>
      </c>
      <c r="Y463" s="63">
        <f t="shared" si="193"/>
        <v>0</v>
      </c>
      <c r="Z463" s="63">
        <f t="shared" si="193"/>
        <v>0</v>
      </c>
      <c r="AA463" s="63">
        <f t="shared" si="193"/>
        <v>0</v>
      </c>
      <c r="AB463" s="63">
        <f t="shared" si="193"/>
        <v>0</v>
      </c>
      <c r="AC463" s="63">
        <f t="shared" si="193"/>
        <v>0</v>
      </c>
      <c r="AD463" s="63">
        <f t="shared" si="193"/>
        <v>0</v>
      </c>
      <c r="AE463" s="63">
        <f t="shared" si="193"/>
        <v>0</v>
      </c>
      <c r="AF463" s="63">
        <f t="shared" si="194"/>
        <v>0</v>
      </c>
      <c r="AG463" s="58" t="str">
        <f t="shared" si="195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106</v>
      </c>
      <c r="B465" s="60"/>
      <c r="C465" s="44" t="s">
        <v>63</v>
      </c>
      <c r="F465" s="76">
        <f>SUM(F453:F464)</f>
        <v>9180257</v>
      </c>
      <c r="G465" s="62">
        <f t="shared" ref="G465:M465" si="196">SUM(G453:G464)</f>
        <v>0</v>
      </c>
      <c r="H465" s="62">
        <f t="shared" si="196"/>
        <v>0</v>
      </c>
      <c r="I465" s="62">
        <f t="shared" si="196"/>
        <v>0</v>
      </c>
      <c r="J465" s="62">
        <f t="shared" si="196"/>
        <v>0</v>
      </c>
      <c r="K465" s="62">
        <f t="shared" si="196"/>
        <v>0</v>
      </c>
      <c r="L465" s="62">
        <f t="shared" si="196"/>
        <v>0</v>
      </c>
      <c r="M465" s="62">
        <f t="shared" si="196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7">SUM(Q453:Q464)</f>
        <v>0</v>
      </c>
      <c r="R465" s="62">
        <f t="shared" si="197"/>
        <v>1361684.5437069198</v>
      </c>
      <c r="S465" s="62">
        <f t="shared" si="197"/>
        <v>0</v>
      </c>
      <c r="T465" s="62">
        <f t="shared" si="197"/>
        <v>1086006.3130947389</v>
      </c>
      <c r="U465" s="62">
        <f t="shared" si="197"/>
        <v>1842286.4544323077</v>
      </c>
      <c r="V465" s="62">
        <f t="shared" si="197"/>
        <v>367402.48611182033</v>
      </c>
      <c r="W465" s="62">
        <f t="shared" si="197"/>
        <v>641016.50263011327</v>
      </c>
      <c r="X465" s="62">
        <f t="shared" si="197"/>
        <v>109521.38022996247</v>
      </c>
      <c r="Y465" s="62">
        <f t="shared" si="197"/>
        <v>61048.083220418193</v>
      </c>
      <c r="Z465" s="62">
        <f t="shared" si="197"/>
        <v>39032.372273740795</v>
      </c>
      <c r="AA465" s="62">
        <f t="shared" si="197"/>
        <v>3543567.3806341151</v>
      </c>
      <c r="AB465" s="62">
        <f t="shared" si="197"/>
        <v>128691.48366586358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9180257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4.1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4.1">
      <c r="A471" s="59" t="s">
        <v>44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4.1">
      <c r="A473" s="65" t="s">
        <v>107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933</v>
      </c>
      <c r="C474" s="44" t="s">
        <v>64</v>
      </c>
      <c r="D474" s="44" t="s">
        <v>639</v>
      </c>
      <c r="F474" s="76">
        <v>0</v>
      </c>
      <c r="H474" s="63">
        <f t="shared" ref="H474:Q482" si="198">IF(VLOOKUP($D474,$C$6:$AE$653,H$2,)=0,0,((VLOOKUP($D474,$C$6:$AE$653,H$2,)/VLOOKUP($D474,$C$6:$AE$653,4,))*$F474))</f>
        <v>0</v>
      </c>
      <c r="I474" s="63">
        <f t="shared" si="198"/>
        <v>0</v>
      </c>
      <c r="J474" s="63">
        <f t="shared" si="198"/>
        <v>0</v>
      </c>
      <c r="K474" s="63">
        <f t="shared" si="198"/>
        <v>0</v>
      </c>
      <c r="L474" s="63">
        <f t="shared" si="198"/>
        <v>0</v>
      </c>
      <c r="M474" s="63">
        <f t="shared" si="198"/>
        <v>0</v>
      </c>
      <c r="N474" s="63">
        <f t="shared" si="198"/>
        <v>0</v>
      </c>
      <c r="O474" s="63">
        <f t="shared" si="198"/>
        <v>0</v>
      </c>
      <c r="P474" s="63">
        <f t="shared" si="198"/>
        <v>0</v>
      </c>
      <c r="Q474" s="63">
        <f t="shared" si="198"/>
        <v>0</v>
      </c>
      <c r="R474" s="63">
        <f t="shared" ref="R474:AE482" si="199">IF(VLOOKUP($D474,$C$6:$AE$653,R$2,)=0,0,((VLOOKUP($D474,$C$6:$AE$653,R$2,)/VLOOKUP($D474,$C$6:$AE$653,4,))*$F474))</f>
        <v>0</v>
      </c>
      <c r="S474" s="63">
        <f t="shared" si="199"/>
        <v>0</v>
      </c>
      <c r="T474" s="63">
        <f t="shared" si="199"/>
        <v>0</v>
      </c>
      <c r="U474" s="63">
        <f t="shared" si="199"/>
        <v>0</v>
      </c>
      <c r="V474" s="63">
        <f t="shared" si="199"/>
        <v>0</v>
      </c>
      <c r="W474" s="63">
        <f t="shared" si="199"/>
        <v>0</v>
      </c>
      <c r="X474" s="63">
        <f t="shared" si="199"/>
        <v>0</v>
      </c>
      <c r="Y474" s="63">
        <f t="shared" si="199"/>
        <v>0</v>
      </c>
      <c r="Z474" s="63">
        <f t="shared" si="199"/>
        <v>0</v>
      </c>
      <c r="AA474" s="63">
        <f t="shared" si="199"/>
        <v>0</v>
      </c>
      <c r="AB474" s="63">
        <f t="shared" si="199"/>
        <v>0</v>
      </c>
      <c r="AC474" s="63">
        <f t="shared" si="199"/>
        <v>0</v>
      </c>
      <c r="AD474" s="63">
        <f t="shared" si="199"/>
        <v>0</v>
      </c>
      <c r="AE474" s="63">
        <f t="shared" si="199"/>
        <v>0</v>
      </c>
      <c r="AF474" s="63">
        <f t="shared" ref="AF474:AF482" si="200">SUM(H474:AE474)</f>
        <v>0</v>
      </c>
      <c r="AG474" s="58" t="str">
        <f t="shared" ref="AG474:AG482" si="201">IF(ABS(AF474-F474)&lt;1,"ok","err")</f>
        <v>ok</v>
      </c>
    </row>
    <row r="475" spans="1:33">
      <c r="A475" s="60">
        <v>591</v>
      </c>
      <c r="B475" s="60" t="s">
        <v>213</v>
      </c>
      <c r="C475" s="44" t="s">
        <v>594</v>
      </c>
      <c r="D475" s="44" t="s">
        <v>863</v>
      </c>
      <c r="F475" s="79">
        <v>0</v>
      </c>
      <c r="H475" s="63">
        <f t="shared" si="198"/>
        <v>0</v>
      </c>
      <c r="I475" s="63">
        <f t="shared" si="198"/>
        <v>0</v>
      </c>
      <c r="J475" s="63">
        <f t="shared" si="198"/>
        <v>0</v>
      </c>
      <c r="K475" s="63">
        <f t="shared" si="198"/>
        <v>0</v>
      </c>
      <c r="L475" s="63">
        <f t="shared" si="198"/>
        <v>0</v>
      </c>
      <c r="M475" s="63">
        <f t="shared" si="198"/>
        <v>0</v>
      </c>
      <c r="N475" s="63">
        <f t="shared" si="198"/>
        <v>0</v>
      </c>
      <c r="O475" s="63">
        <f t="shared" si="198"/>
        <v>0</v>
      </c>
      <c r="P475" s="63">
        <f t="shared" si="198"/>
        <v>0</v>
      </c>
      <c r="Q475" s="63">
        <f t="shared" si="198"/>
        <v>0</v>
      </c>
      <c r="R475" s="63">
        <f t="shared" si="199"/>
        <v>0</v>
      </c>
      <c r="S475" s="63">
        <f t="shared" si="199"/>
        <v>0</v>
      </c>
      <c r="T475" s="63">
        <f t="shared" si="199"/>
        <v>0</v>
      </c>
      <c r="U475" s="63">
        <f t="shared" si="199"/>
        <v>0</v>
      </c>
      <c r="V475" s="63">
        <f t="shared" si="199"/>
        <v>0</v>
      </c>
      <c r="W475" s="63">
        <f t="shared" si="199"/>
        <v>0</v>
      </c>
      <c r="X475" s="63">
        <f t="shared" si="199"/>
        <v>0</v>
      </c>
      <c r="Y475" s="63">
        <f t="shared" si="199"/>
        <v>0</v>
      </c>
      <c r="Z475" s="63">
        <f t="shared" si="199"/>
        <v>0</v>
      </c>
      <c r="AA475" s="63">
        <f t="shared" si="199"/>
        <v>0</v>
      </c>
      <c r="AB475" s="63">
        <f t="shared" si="199"/>
        <v>0</v>
      </c>
      <c r="AC475" s="63">
        <f t="shared" si="199"/>
        <v>0</v>
      </c>
      <c r="AD475" s="63">
        <f t="shared" si="199"/>
        <v>0</v>
      </c>
      <c r="AE475" s="63">
        <f t="shared" si="199"/>
        <v>0</v>
      </c>
      <c r="AF475" s="63">
        <f>SUM(H475:AE475)</f>
        <v>0</v>
      </c>
      <c r="AG475" s="58" t="str">
        <f t="shared" si="201"/>
        <v>ok</v>
      </c>
    </row>
    <row r="476" spans="1:33">
      <c r="A476" s="60">
        <v>592</v>
      </c>
      <c r="B476" s="60" t="s">
        <v>935</v>
      </c>
      <c r="C476" s="44" t="s">
        <v>65</v>
      </c>
      <c r="D476" s="44" t="s">
        <v>863</v>
      </c>
      <c r="F476" s="79">
        <v>374744</v>
      </c>
      <c r="H476" s="63">
        <f t="shared" si="198"/>
        <v>0</v>
      </c>
      <c r="I476" s="63">
        <f t="shared" si="198"/>
        <v>0</v>
      </c>
      <c r="J476" s="63">
        <f t="shared" si="198"/>
        <v>0</v>
      </c>
      <c r="K476" s="63">
        <f t="shared" si="198"/>
        <v>0</v>
      </c>
      <c r="L476" s="63">
        <f t="shared" si="198"/>
        <v>0</v>
      </c>
      <c r="M476" s="63">
        <f t="shared" si="198"/>
        <v>0</v>
      </c>
      <c r="N476" s="63">
        <f t="shared" si="198"/>
        <v>0</v>
      </c>
      <c r="O476" s="63">
        <f t="shared" si="198"/>
        <v>0</v>
      </c>
      <c r="P476" s="63">
        <f t="shared" si="198"/>
        <v>0</v>
      </c>
      <c r="Q476" s="63">
        <f t="shared" si="198"/>
        <v>0</v>
      </c>
      <c r="R476" s="63">
        <f t="shared" si="199"/>
        <v>374744</v>
      </c>
      <c r="S476" s="63">
        <f t="shared" si="199"/>
        <v>0</v>
      </c>
      <c r="T476" s="63">
        <f t="shared" si="199"/>
        <v>0</v>
      </c>
      <c r="U476" s="63">
        <f t="shared" si="199"/>
        <v>0</v>
      </c>
      <c r="V476" s="63">
        <f t="shared" si="199"/>
        <v>0</v>
      </c>
      <c r="W476" s="63">
        <f t="shared" si="199"/>
        <v>0</v>
      </c>
      <c r="X476" s="63">
        <f t="shared" si="199"/>
        <v>0</v>
      </c>
      <c r="Y476" s="63">
        <f t="shared" si="199"/>
        <v>0</v>
      </c>
      <c r="Z476" s="63">
        <f t="shared" si="199"/>
        <v>0</v>
      </c>
      <c r="AA476" s="63">
        <f t="shared" si="199"/>
        <v>0</v>
      </c>
      <c r="AB476" s="63">
        <f t="shared" si="199"/>
        <v>0</v>
      </c>
      <c r="AC476" s="63">
        <f t="shared" si="199"/>
        <v>0</v>
      </c>
      <c r="AD476" s="63">
        <f t="shared" si="199"/>
        <v>0</v>
      </c>
      <c r="AE476" s="63">
        <f t="shared" si="199"/>
        <v>0</v>
      </c>
      <c r="AF476" s="63">
        <f t="shared" si="200"/>
        <v>374744</v>
      </c>
      <c r="AG476" s="58" t="str">
        <f t="shared" si="201"/>
        <v>ok</v>
      </c>
    </row>
    <row r="477" spans="1:33">
      <c r="A477" s="60">
        <v>593</v>
      </c>
      <c r="B477" s="60" t="s">
        <v>937</v>
      </c>
      <c r="C477" s="44" t="s">
        <v>66</v>
      </c>
      <c r="D477" s="44" t="s">
        <v>866</v>
      </c>
      <c r="F477" s="79">
        <v>1642806</v>
      </c>
      <c r="H477" s="63">
        <f t="shared" si="198"/>
        <v>0</v>
      </c>
      <c r="I477" s="63">
        <f t="shared" si="198"/>
        <v>0</v>
      </c>
      <c r="J477" s="63">
        <f t="shared" si="198"/>
        <v>0</v>
      </c>
      <c r="K477" s="63">
        <f t="shared" si="198"/>
        <v>0</v>
      </c>
      <c r="L477" s="63">
        <f t="shared" si="198"/>
        <v>0</v>
      </c>
      <c r="M477" s="63">
        <f t="shared" si="198"/>
        <v>0</v>
      </c>
      <c r="N477" s="63">
        <f t="shared" si="198"/>
        <v>0</v>
      </c>
      <c r="O477" s="63">
        <f t="shared" si="198"/>
        <v>0</v>
      </c>
      <c r="P477" s="63">
        <f t="shared" si="198"/>
        <v>0</v>
      </c>
      <c r="Q477" s="63">
        <f t="shared" si="198"/>
        <v>0</v>
      </c>
      <c r="R477" s="63">
        <f t="shared" si="199"/>
        <v>0</v>
      </c>
      <c r="S477" s="63">
        <f t="shared" si="199"/>
        <v>0</v>
      </c>
      <c r="T477" s="63">
        <f t="shared" si="199"/>
        <v>417178.29551112</v>
      </c>
      <c r="U477" s="63">
        <f t="shared" si="199"/>
        <v>741328.4956888801</v>
      </c>
      <c r="V477" s="63">
        <f t="shared" si="199"/>
        <v>174396.14508888</v>
      </c>
      <c r="W477" s="63">
        <f t="shared" si="199"/>
        <v>309903.06371111999</v>
      </c>
      <c r="X477" s="63">
        <f t="shared" si="199"/>
        <v>0</v>
      </c>
      <c r="Y477" s="63">
        <f t="shared" si="199"/>
        <v>0</v>
      </c>
      <c r="Z477" s="63">
        <f t="shared" si="199"/>
        <v>0</v>
      </c>
      <c r="AA477" s="63">
        <f t="shared" si="199"/>
        <v>0</v>
      </c>
      <c r="AB477" s="63">
        <f t="shared" si="199"/>
        <v>0</v>
      </c>
      <c r="AC477" s="63">
        <f t="shared" si="199"/>
        <v>0</v>
      </c>
      <c r="AD477" s="63">
        <f t="shared" si="199"/>
        <v>0</v>
      </c>
      <c r="AE477" s="63">
        <f t="shared" si="199"/>
        <v>0</v>
      </c>
      <c r="AF477" s="63">
        <f t="shared" si="200"/>
        <v>1642806.0000000002</v>
      </c>
      <c r="AG477" s="58" t="str">
        <f t="shared" si="201"/>
        <v>ok</v>
      </c>
    </row>
    <row r="478" spans="1:33">
      <c r="A478" s="60">
        <v>594</v>
      </c>
      <c r="B478" s="60" t="s">
        <v>939</v>
      </c>
      <c r="C478" s="44" t="s">
        <v>67</v>
      </c>
      <c r="D478" s="44" t="s">
        <v>869</v>
      </c>
      <c r="F478" s="79">
        <v>619769</v>
      </c>
      <c r="H478" s="63">
        <f t="shared" si="198"/>
        <v>0</v>
      </c>
      <c r="I478" s="63">
        <f t="shared" si="198"/>
        <v>0</v>
      </c>
      <c r="J478" s="63">
        <f t="shared" si="198"/>
        <v>0</v>
      </c>
      <c r="K478" s="63">
        <f t="shared" si="198"/>
        <v>0</v>
      </c>
      <c r="L478" s="63">
        <f t="shared" si="198"/>
        <v>0</v>
      </c>
      <c r="M478" s="63">
        <f t="shared" si="198"/>
        <v>0</v>
      </c>
      <c r="N478" s="63">
        <f t="shared" si="198"/>
        <v>0</v>
      </c>
      <c r="O478" s="63">
        <f t="shared" si="198"/>
        <v>0</v>
      </c>
      <c r="P478" s="63">
        <f t="shared" si="198"/>
        <v>0</v>
      </c>
      <c r="Q478" s="63">
        <f t="shared" si="198"/>
        <v>0</v>
      </c>
      <c r="R478" s="63">
        <f t="shared" si="199"/>
        <v>0</v>
      </c>
      <c r="S478" s="63">
        <f t="shared" si="199"/>
        <v>0</v>
      </c>
      <c r="T478" s="63">
        <f t="shared" si="199"/>
        <v>219096.38610161998</v>
      </c>
      <c r="U478" s="63">
        <f t="shared" si="199"/>
        <v>326734.17219838005</v>
      </c>
      <c r="V478" s="63">
        <f t="shared" si="199"/>
        <v>29678.890498379998</v>
      </c>
      <c r="W478" s="63">
        <f t="shared" si="199"/>
        <v>44259.551201619994</v>
      </c>
      <c r="X478" s="63">
        <f t="shared" si="199"/>
        <v>0</v>
      </c>
      <c r="Y478" s="63">
        <f t="shared" si="199"/>
        <v>0</v>
      </c>
      <c r="Z478" s="63">
        <f t="shared" si="199"/>
        <v>0</v>
      </c>
      <c r="AA478" s="63">
        <f t="shared" si="199"/>
        <v>0</v>
      </c>
      <c r="AB478" s="63">
        <f t="shared" si="199"/>
        <v>0</v>
      </c>
      <c r="AC478" s="63">
        <f t="shared" si="199"/>
        <v>0</v>
      </c>
      <c r="AD478" s="63">
        <f t="shared" si="199"/>
        <v>0</v>
      </c>
      <c r="AE478" s="63">
        <f t="shared" si="199"/>
        <v>0</v>
      </c>
      <c r="AF478" s="63">
        <f t="shared" si="200"/>
        <v>619769</v>
      </c>
      <c r="AG478" s="58" t="str">
        <f t="shared" si="201"/>
        <v>ok</v>
      </c>
    </row>
    <row r="479" spans="1:33">
      <c r="A479" s="60">
        <v>595</v>
      </c>
      <c r="B479" s="60" t="s">
        <v>941</v>
      </c>
      <c r="C479" s="44" t="s">
        <v>68</v>
      </c>
      <c r="D479" s="44" t="s">
        <v>870</v>
      </c>
      <c r="F479" s="79">
        <v>72618</v>
      </c>
      <c r="H479" s="63">
        <f t="shared" si="198"/>
        <v>0</v>
      </c>
      <c r="I479" s="63">
        <f t="shared" si="198"/>
        <v>0</v>
      </c>
      <c r="J479" s="63">
        <f t="shared" si="198"/>
        <v>0</v>
      </c>
      <c r="K479" s="63">
        <f t="shared" si="198"/>
        <v>0</v>
      </c>
      <c r="L479" s="63">
        <f t="shared" si="198"/>
        <v>0</v>
      </c>
      <c r="M479" s="63">
        <f t="shared" si="198"/>
        <v>0</v>
      </c>
      <c r="N479" s="63">
        <f t="shared" si="198"/>
        <v>0</v>
      </c>
      <c r="O479" s="63">
        <f t="shared" si="198"/>
        <v>0</v>
      </c>
      <c r="P479" s="63">
        <f t="shared" si="198"/>
        <v>0</v>
      </c>
      <c r="Q479" s="63">
        <f t="shared" si="198"/>
        <v>0</v>
      </c>
      <c r="R479" s="63">
        <f t="shared" si="199"/>
        <v>0</v>
      </c>
      <c r="S479" s="63">
        <f t="shared" si="199"/>
        <v>0</v>
      </c>
      <c r="T479" s="63">
        <f t="shared" si="199"/>
        <v>0</v>
      </c>
      <c r="U479" s="63">
        <f t="shared" si="199"/>
        <v>0</v>
      </c>
      <c r="V479" s="63">
        <f t="shared" si="199"/>
        <v>0</v>
      </c>
      <c r="W479" s="63">
        <f t="shared" si="199"/>
        <v>0</v>
      </c>
      <c r="X479" s="63">
        <f t="shared" si="199"/>
        <v>46627.476153450174</v>
      </c>
      <c r="Y479" s="63">
        <f t="shared" si="199"/>
        <v>25990.52384654983</v>
      </c>
      <c r="Z479" s="63">
        <f t="shared" si="199"/>
        <v>0</v>
      </c>
      <c r="AA479" s="63">
        <f t="shared" si="199"/>
        <v>0</v>
      </c>
      <c r="AB479" s="63">
        <f t="shared" si="199"/>
        <v>0</v>
      </c>
      <c r="AC479" s="63">
        <f t="shared" si="199"/>
        <v>0</v>
      </c>
      <c r="AD479" s="63">
        <f t="shared" si="199"/>
        <v>0</v>
      </c>
      <c r="AE479" s="63">
        <f t="shared" si="199"/>
        <v>0</v>
      </c>
      <c r="AF479" s="63">
        <f t="shared" si="200"/>
        <v>72618</v>
      </c>
      <c r="AG479" s="58" t="str">
        <f t="shared" si="201"/>
        <v>ok</v>
      </c>
    </row>
    <row r="480" spans="1:33">
      <c r="A480" s="60">
        <v>596</v>
      </c>
      <c r="B480" s="60" t="s">
        <v>1076</v>
      </c>
      <c r="C480" s="44" t="s">
        <v>69</v>
      </c>
      <c r="D480" s="44" t="s">
        <v>877</v>
      </c>
      <c r="F480" s="79">
        <v>5976</v>
      </c>
      <c r="H480" s="63">
        <f t="shared" si="198"/>
        <v>0</v>
      </c>
      <c r="I480" s="63">
        <f t="shared" si="198"/>
        <v>0</v>
      </c>
      <c r="J480" s="63">
        <f t="shared" si="198"/>
        <v>0</v>
      </c>
      <c r="K480" s="63">
        <f t="shared" si="198"/>
        <v>0</v>
      </c>
      <c r="L480" s="63">
        <f t="shared" si="198"/>
        <v>0</v>
      </c>
      <c r="M480" s="63">
        <f t="shared" si="198"/>
        <v>0</v>
      </c>
      <c r="N480" s="63">
        <f t="shared" si="198"/>
        <v>0</v>
      </c>
      <c r="O480" s="63">
        <f t="shared" si="198"/>
        <v>0</v>
      </c>
      <c r="P480" s="63">
        <f t="shared" si="198"/>
        <v>0</v>
      </c>
      <c r="Q480" s="63">
        <f t="shared" si="198"/>
        <v>0</v>
      </c>
      <c r="R480" s="63">
        <f t="shared" si="199"/>
        <v>0</v>
      </c>
      <c r="S480" s="63">
        <f t="shared" si="199"/>
        <v>0</v>
      </c>
      <c r="T480" s="63">
        <f t="shared" si="199"/>
        <v>0</v>
      </c>
      <c r="U480" s="63">
        <f t="shared" si="199"/>
        <v>0</v>
      </c>
      <c r="V480" s="63">
        <f t="shared" si="199"/>
        <v>0</v>
      </c>
      <c r="W480" s="63">
        <f t="shared" si="199"/>
        <v>0</v>
      </c>
      <c r="X480" s="63">
        <f t="shared" si="199"/>
        <v>0</v>
      </c>
      <c r="Y480" s="63">
        <f t="shared" si="199"/>
        <v>0</v>
      </c>
      <c r="Z480" s="63">
        <f t="shared" si="199"/>
        <v>0</v>
      </c>
      <c r="AA480" s="63">
        <f t="shared" si="199"/>
        <v>0</v>
      </c>
      <c r="AB480" s="63">
        <f t="shared" si="199"/>
        <v>5976</v>
      </c>
      <c r="AC480" s="63">
        <f t="shared" si="199"/>
        <v>0</v>
      </c>
      <c r="AD480" s="63">
        <f t="shared" si="199"/>
        <v>0</v>
      </c>
      <c r="AE480" s="63">
        <f t="shared" si="199"/>
        <v>0</v>
      </c>
      <c r="AF480" s="63">
        <f t="shared" si="200"/>
        <v>5976</v>
      </c>
      <c r="AG480" s="58" t="str">
        <f t="shared" si="201"/>
        <v>ok</v>
      </c>
    </row>
    <row r="481" spans="1:33">
      <c r="A481" s="60">
        <v>597</v>
      </c>
      <c r="B481" s="60" t="s">
        <v>943</v>
      </c>
      <c r="C481" s="44" t="s">
        <v>70</v>
      </c>
      <c r="D481" s="44" t="s">
        <v>874</v>
      </c>
      <c r="F481" s="79">
        <v>0</v>
      </c>
      <c r="H481" s="63">
        <f t="shared" si="198"/>
        <v>0</v>
      </c>
      <c r="I481" s="63">
        <f t="shared" si="198"/>
        <v>0</v>
      </c>
      <c r="J481" s="63">
        <f t="shared" si="198"/>
        <v>0</v>
      </c>
      <c r="K481" s="63">
        <f t="shared" si="198"/>
        <v>0</v>
      </c>
      <c r="L481" s="63">
        <f t="shared" si="198"/>
        <v>0</v>
      </c>
      <c r="M481" s="63">
        <f t="shared" si="198"/>
        <v>0</v>
      </c>
      <c r="N481" s="63">
        <f t="shared" si="198"/>
        <v>0</v>
      </c>
      <c r="O481" s="63">
        <f t="shared" si="198"/>
        <v>0</v>
      </c>
      <c r="P481" s="63">
        <f t="shared" si="198"/>
        <v>0</v>
      </c>
      <c r="Q481" s="63">
        <f t="shared" si="198"/>
        <v>0</v>
      </c>
      <c r="R481" s="63">
        <f t="shared" si="199"/>
        <v>0</v>
      </c>
      <c r="S481" s="63">
        <f t="shared" si="199"/>
        <v>0</v>
      </c>
      <c r="T481" s="63">
        <f t="shared" si="199"/>
        <v>0</v>
      </c>
      <c r="U481" s="63">
        <f t="shared" si="199"/>
        <v>0</v>
      </c>
      <c r="V481" s="63">
        <f t="shared" si="199"/>
        <v>0</v>
      </c>
      <c r="W481" s="63">
        <f t="shared" si="199"/>
        <v>0</v>
      </c>
      <c r="X481" s="63">
        <f t="shared" si="199"/>
        <v>0</v>
      </c>
      <c r="Y481" s="63">
        <f t="shared" si="199"/>
        <v>0</v>
      </c>
      <c r="Z481" s="63">
        <f t="shared" si="199"/>
        <v>0</v>
      </c>
      <c r="AA481" s="63">
        <f t="shared" si="199"/>
        <v>0</v>
      </c>
      <c r="AB481" s="63">
        <f t="shared" si="199"/>
        <v>0</v>
      </c>
      <c r="AC481" s="63">
        <f t="shared" si="199"/>
        <v>0</v>
      </c>
      <c r="AD481" s="63">
        <f t="shared" si="199"/>
        <v>0</v>
      </c>
      <c r="AE481" s="63">
        <f t="shared" si="199"/>
        <v>0</v>
      </c>
      <c r="AF481" s="63">
        <f t="shared" si="200"/>
        <v>0</v>
      </c>
      <c r="AG481" s="58" t="str">
        <f t="shared" si="201"/>
        <v>ok</v>
      </c>
    </row>
    <row r="482" spans="1:33">
      <c r="A482" s="60">
        <v>598</v>
      </c>
      <c r="B482" s="60" t="s">
        <v>1080</v>
      </c>
      <c r="C482" s="44" t="s">
        <v>71</v>
      </c>
      <c r="D482" s="44" t="s">
        <v>859</v>
      </c>
      <c r="F482" s="79">
        <v>0</v>
      </c>
      <c r="H482" s="63">
        <f t="shared" si="198"/>
        <v>0</v>
      </c>
      <c r="I482" s="63">
        <f t="shared" si="198"/>
        <v>0</v>
      </c>
      <c r="J482" s="63">
        <f t="shared" si="198"/>
        <v>0</v>
      </c>
      <c r="K482" s="63">
        <f t="shared" si="198"/>
        <v>0</v>
      </c>
      <c r="L482" s="63">
        <f t="shared" si="198"/>
        <v>0</v>
      </c>
      <c r="M482" s="63">
        <f t="shared" si="198"/>
        <v>0</v>
      </c>
      <c r="N482" s="63">
        <f t="shared" si="198"/>
        <v>0</v>
      </c>
      <c r="O482" s="63">
        <f t="shared" si="198"/>
        <v>0</v>
      </c>
      <c r="P482" s="63">
        <f t="shared" si="198"/>
        <v>0</v>
      </c>
      <c r="Q482" s="63">
        <f t="shared" si="198"/>
        <v>0</v>
      </c>
      <c r="R482" s="63">
        <f t="shared" si="199"/>
        <v>0</v>
      </c>
      <c r="S482" s="63">
        <f t="shared" si="199"/>
        <v>0</v>
      </c>
      <c r="T482" s="63">
        <f t="shared" si="199"/>
        <v>0</v>
      </c>
      <c r="U482" s="63">
        <f t="shared" si="199"/>
        <v>0</v>
      </c>
      <c r="V482" s="63">
        <f t="shared" si="199"/>
        <v>0</v>
      </c>
      <c r="W482" s="63">
        <f t="shared" si="199"/>
        <v>0</v>
      </c>
      <c r="X482" s="63">
        <f t="shared" si="199"/>
        <v>0</v>
      </c>
      <c r="Y482" s="63">
        <f t="shared" si="199"/>
        <v>0</v>
      </c>
      <c r="Z482" s="63">
        <f t="shared" si="199"/>
        <v>0</v>
      </c>
      <c r="AA482" s="63">
        <f t="shared" si="199"/>
        <v>0</v>
      </c>
      <c r="AB482" s="63">
        <f t="shared" si="199"/>
        <v>0</v>
      </c>
      <c r="AC482" s="63">
        <f t="shared" si="199"/>
        <v>0</v>
      </c>
      <c r="AD482" s="63">
        <f t="shared" si="199"/>
        <v>0</v>
      </c>
      <c r="AE482" s="63">
        <f t="shared" si="199"/>
        <v>0</v>
      </c>
      <c r="AF482" s="63">
        <f t="shared" si="200"/>
        <v>0</v>
      </c>
      <c r="AG482" s="58" t="str">
        <f t="shared" si="201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108</v>
      </c>
      <c r="B484" s="60"/>
      <c r="C484" s="44" t="s">
        <v>72</v>
      </c>
      <c r="F484" s="76">
        <f t="shared" ref="F484:M484" si="202">SUM(F474:F483)</f>
        <v>2715913</v>
      </c>
      <c r="G484" s="62">
        <f t="shared" si="202"/>
        <v>0</v>
      </c>
      <c r="H484" s="62">
        <f t="shared" si="202"/>
        <v>0</v>
      </c>
      <c r="I484" s="62">
        <f t="shared" si="202"/>
        <v>0</v>
      </c>
      <c r="J484" s="62">
        <f t="shared" si="202"/>
        <v>0</v>
      </c>
      <c r="K484" s="62">
        <f t="shared" si="202"/>
        <v>0</v>
      </c>
      <c r="L484" s="62">
        <f t="shared" si="202"/>
        <v>0</v>
      </c>
      <c r="M484" s="62">
        <f t="shared" si="202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3">SUM(Q474:Q483)</f>
        <v>0</v>
      </c>
      <c r="R484" s="62">
        <f t="shared" si="203"/>
        <v>374744</v>
      </c>
      <c r="S484" s="62">
        <f t="shared" si="203"/>
        <v>0</v>
      </c>
      <c r="T484" s="62">
        <f t="shared" si="203"/>
        <v>636274.68161274004</v>
      </c>
      <c r="U484" s="62">
        <f t="shared" si="203"/>
        <v>1068062.6678872602</v>
      </c>
      <c r="V484" s="62">
        <f t="shared" si="203"/>
        <v>204075.03558726</v>
      </c>
      <c r="W484" s="62">
        <f t="shared" si="203"/>
        <v>354162.61491273995</v>
      </c>
      <c r="X484" s="62">
        <f t="shared" si="203"/>
        <v>46627.476153450174</v>
      </c>
      <c r="Y484" s="62">
        <f t="shared" si="203"/>
        <v>25990.52384654983</v>
      </c>
      <c r="Z484" s="62">
        <f t="shared" si="203"/>
        <v>0</v>
      </c>
      <c r="AA484" s="62">
        <f t="shared" si="203"/>
        <v>0</v>
      </c>
      <c r="AB484" s="62">
        <f t="shared" si="203"/>
        <v>5976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2715913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109</v>
      </c>
      <c r="B486" s="60"/>
      <c r="D486" s="44" t="s">
        <v>859</v>
      </c>
      <c r="F486" s="76">
        <f>F484+F465</f>
        <v>11896170</v>
      </c>
      <c r="G486" s="63">
        <f>G465+G484</f>
        <v>0</v>
      </c>
      <c r="H486" s="63">
        <f t="shared" ref="H486:M486" si="204">H484+H465</f>
        <v>0</v>
      </c>
      <c r="I486" s="63">
        <f t="shared" si="204"/>
        <v>0</v>
      </c>
      <c r="J486" s="63">
        <f t="shared" si="204"/>
        <v>0</v>
      </c>
      <c r="K486" s="63">
        <f t="shared" si="204"/>
        <v>0</v>
      </c>
      <c r="L486" s="63">
        <f t="shared" si="204"/>
        <v>0</v>
      </c>
      <c r="M486" s="63">
        <f t="shared" si="204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5">Q484+Q465</f>
        <v>0</v>
      </c>
      <c r="R486" s="63">
        <f t="shared" si="205"/>
        <v>1736428.5437069198</v>
      </c>
      <c r="S486" s="63">
        <f t="shared" si="205"/>
        <v>0</v>
      </c>
      <c r="T486" s="63">
        <f t="shared" si="205"/>
        <v>1722280.9947074789</v>
      </c>
      <c r="U486" s="63">
        <f t="shared" si="205"/>
        <v>2910349.1223195679</v>
      </c>
      <c r="V486" s="63">
        <f t="shared" si="205"/>
        <v>571477.52169908036</v>
      </c>
      <c r="W486" s="63">
        <f t="shared" si="205"/>
        <v>995179.11754285323</v>
      </c>
      <c r="X486" s="63">
        <f t="shared" si="205"/>
        <v>156148.85638341264</v>
      </c>
      <c r="Y486" s="63">
        <f t="shared" si="205"/>
        <v>87038.607066968019</v>
      </c>
      <c r="Z486" s="63">
        <f t="shared" si="205"/>
        <v>39032.372273740795</v>
      </c>
      <c r="AA486" s="63">
        <f t="shared" si="205"/>
        <v>3543567.3806341151</v>
      </c>
      <c r="AB486" s="63">
        <f t="shared" si="205"/>
        <v>134667.48366586358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11896170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110</v>
      </c>
      <c r="B488" s="60"/>
      <c r="F488" s="76">
        <f t="shared" ref="F488:M488" si="206">F486+F450</f>
        <v>16068302</v>
      </c>
      <c r="G488" s="63">
        <f t="shared" si="206"/>
        <v>0</v>
      </c>
      <c r="H488" s="63">
        <f t="shared" si="206"/>
        <v>0</v>
      </c>
      <c r="I488" s="63">
        <f t="shared" si="206"/>
        <v>0</v>
      </c>
      <c r="J488" s="63">
        <f t="shared" si="206"/>
        <v>0</v>
      </c>
      <c r="K488" s="63">
        <f t="shared" si="206"/>
        <v>0</v>
      </c>
      <c r="L488" s="63">
        <f t="shared" si="206"/>
        <v>0</v>
      </c>
      <c r="M488" s="63">
        <f t="shared" si="206"/>
        <v>0</v>
      </c>
      <c r="N488" s="63">
        <f>N486+N450</f>
        <v>4172132</v>
      </c>
      <c r="O488" s="63">
        <f>O486+O450</f>
        <v>0</v>
      </c>
      <c r="P488" s="63">
        <f>P486+P450</f>
        <v>0</v>
      </c>
      <c r="Q488" s="63">
        <f t="shared" ref="Q488:AB488" si="207">Q486+Q450</f>
        <v>0</v>
      </c>
      <c r="R488" s="63">
        <f t="shared" si="207"/>
        <v>1736428.5437069198</v>
      </c>
      <c r="S488" s="63">
        <f t="shared" si="207"/>
        <v>0</v>
      </c>
      <c r="T488" s="63">
        <f t="shared" si="207"/>
        <v>1722280.9947074789</v>
      </c>
      <c r="U488" s="63">
        <f t="shared" si="207"/>
        <v>2910349.1223195679</v>
      </c>
      <c r="V488" s="63">
        <f t="shared" si="207"/>
        <v>571477.52169908036</v>
      </c>
      <c r="W488" s="63">
        <f t="shared" si="207"/>
        <v>995179.11754285323</v>
      </c>
      <c r="X488" s="63">
        <f t="shared" si="207"/>
        <v>156148.85638341264</v>
      </c>
      <c r="Y488" s="63">
        <f t="shared" si="207"/>
        <v>87038.607066968019</v>
      </c>
      <c r="Z488" s="63">
        <f t="shared" si="207"/>
        <v>39032.372273740795</v>
      </c>
      <c r="AA488" s="63">
        <f t="shared" si="207"/>
        <v>3543567.3806341151</v>
      </c>
      <c r="AB488" s="63">
        <f t="shared" si="207"/>
        <v>134667.48366586358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16068302.000000002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329</v>
      </c>
      <c r="B490" s="60"/>
      <c r="C490" s="44" t="s">
        <v>73</v>
      </c>
      <c r="F490" s="76">
        <f>F488+F427+F434</f>
        <v>49525423</v>
      </c>
      <c r="G490" s="62">
        <f>G488+G434</f>
        <v>0</v>
      </c>
      <c r="H490" s="62">
        <f>H488+H427+H434</f>
        <v>18103460.25723663</v>
      </c>
      <c r="I490" s="62">
        <f t="shared" ref="I490:AE490" si="208">I488+I427+I434</f>
        <v>0</v>
      </c>
      <c r="J490" s="62">
        <f t="shared" si="208"/>
        <v>0</v>
      </c>
      <c r="K490" s="62">
        <f t="shared" si="208"/>
        <v>15353660.74276337</v>
      </c>
      <c r="L490" s="62">
        <f t="shared" si="208"/>
        <v>0</v>
      </c>
      <c r="M490" s="62">
        <f t="shared" si="208"/>
        <v>0</v>
      </c>
      <c r="N490" s="62">
        <f t="shared" si="208"/>
        <v>4172132</v>
      </c>
      <c r="O490" s="62">
        <f t="shared" si="208"/>
        <v>0</v>
      </c>
      <c r="P490" s="62">
        <f t="shared" si="208"/>
        <v>0</v>
      </c>
      <c r="Q490" s="62">
        <f t="shared" si="208"/>
        <v>0</v>
      </c>
      <c r="R490" s="62">
        <f t="shared" si="208"/>
        <v>1736428.5437069198</v>
      </c>
      <c r="S490" s="62">
        <f t="shared" si="208"/>
        <v>0</v>
      </c>
      <c r="T490" s="62">
        <f t="shared" si="208"/>
        <v>1722280.9947074789</v>
      </c>
      <c r="U490" s="62">
        <f t="shared" si="208"/>
        <v>2910349.1223195679</v>
      </c>
      <c r="V490" s="62">
        <f t="shared" si="208"/>
        <v>571477.52169908036</v>
      </c>
      <c r="W490" s="62">
        <f t="shared" si="208"/>
        <v>995179.11754285323</v>
      </c>
      <c r="X490" s="62">
        <f t="shared" si="208"/>
        <v>156148.85638341264</v>
      </c>
      <c r="Y490" s="62">
        <f t="shared" si="208"/>
        <v>87038.607066968019</v>
      </c>
      <c r="Z490" s="62">
        <f t="shared" si="208"/>
        <v>39032.372273740795</v>
      </c>
      <c r="AA490" s="62">
        <f t="shared" si="208"/>
        <v>3543567.3806341151</v>
      </c>
      <c r="AB490" s="62">
        <f t="shared" si="208"/>
        <v>134667.48366586358</v>
      </c>
      <c r="AC490" s="62">
        <f t="shared" si="208"/>
        <v>0</v>
      </c>
      <c r="AD490" s="62">
        <f t="shared" si="208"/>
        <v>0</v>
      </c>
      <c r="AE490" s="62">
        <f t="shared" si="208"/>
        <v>0</v>
      </c>
      <c r="AF490" s="63">
        <f>SUM(H490:AE490)</f>
        <v>49525423</v>
      </c>
      <c r="AG490" s="58" t="str">
        <f>IF(ABS(AF490-F490)&lt;1,"ok","err")</f>
        <v>ok</v>
      </c>
    </row>
    <row r="491" spans="1:33" ht="14.1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4.1">
      <c r="A492" s="65" t="s">
        <v>949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950</v>
      </c>
      <c r="C493" s="44" t="s">
        <v>74</v>
      </c>
      <c r="D493" s="44" t="s">
        <v>640</v>
      </c>
      <c r="F493" s="76">
        <v>1093165.92</v>
      </c>
      <c r="H493" s="63">
        <f t="shared" ref="H493:Q497" si="209">IF(VLOOKUP($D493,$C$6:$AE$653,H$2,)=0,0,((VLOOKUP($D493,$C$6:$AE$653,H$2,)/VLOOKUP($D493,$C$6:$AE$653,4,))*$F493))</f>
        <v>0</v>
      </c>
      <c r="I493" s="63">
        <f t="shared" si="209"/>
        <v>0</v>
      </c>
      <c r="J493" s="63">
        <f t="shared" si="209"/>
        <v>0</v>
      </c>
      <c r="K493" s="63">
        <f t="shared" si="209"/>
        <v>0</v>
      </c>
      <c r="L493" s="63">
        <f t="shared" si="209"/>
        <v>0</v>
      </c>
      <c r="M493" s="63">
        <f t="shared" si="209"/>
        <v>0</v>
      </c>
      <c r="N493" s="63">
        <f t="shared" si="209"/>
        <v>0</v>
      </c>
      <c r="O493" s="63">
        <f t="shared" si="209"/>
        <v>0</v>
      </c>
      <c r="P493" s="63">
        <f t="shared" si="209"/>
        <v>0</v>
      </c>
      <c r="Q493" s="63">
        <f t="shared" si="209"/>
        <v>0</v>
      </c>
      <c r="R493" s="63">
        <f t="shared" ref="R493:AE497" si="210">IF(VLOOKUP($D493,$C$6:$AE$653,R$2,)=0,0,((VLOOKUP($D493,$C$6:$AE$653,R$2,)/VLOOKUP($D493,$C$6:$AE$653,4,))*$F493))</f>
        <v>0</v>
      </c>
      <c r="S493" s="63">
        <f t="shared" si="210"/>
        <v>0</v>
      </c>
      <c r="T493" s="63">
        <f t="shared" si="210"/>
        <v>0</v>
      </c>
      <c r="U493" s="63">
        <f t="shared" si="210"/>
        <v>0</v>
      </c>
      <c r="V493" s="63">
        <f t="shared" si="210"/>
        <v>0</v>
      </c>
      <c r="W493" s="63">
        <f t="shared" si="210"/>
        <v>0</v>
      </c>
      <c r="X493" s="63">
        <f t="shared" si="210"/>
        <v>0</v>
      </c>
      <c r="Y493" s="63">
        <f t="shared" si="210"/>
        <v>0</v>
      </c>
      <c r="Z493" s="63">
        <f t="shared" si="210"/>
        <v>0</v>
      </c>
      <c r="AA493" s="63">
        <f t="shared" si="210"/>
        <v>0</v>
      </c>
      <c r="AB493" s="63">
        <f t="shared" si="210"/>
        <v>0</v>
      </c>
      <c r="AC493" s="63">
        <f t="shared" si="210"/>
        <v>1093165.92</v>
      </c>
      <c r="AD493" s="63">
        <f t="shared" si="210"/>
        <v>0</v>
      </c>
      <c r="AE493" s="63">
        <f t="shared" si="210"/>
        <v>0</v>
      </c>
      <c r="AF493" s="63">
        <f>SUM(H493:AE493)</f>
        <v>1093165.92</v>
      </c>
      <c r="AG493" s="58" t="str">
        <f>IF(ABS(AF493-F493)&lt;1,"ok","err")</f>
        <v>ok</v>
      </c>
    </row>
    <row r="494" spans="1:33">
      <c r="A494" s="60">
        <v>902</v>
      </c>
      <c r="B494" s="60" t="s">
        <v>953</v>
      </c>
      <c r="C494" s="44" t="s">
        <v>75</v>
      </c>
      <c r="D494" s="44" t="s">
        <v>640</v>
      </c>
      <c r="F494" s="79">
        <v>370756.96</v>
      </c>
      <c r="H494" s="63">
        <f t="shared" si="209"/>
        <v>0</v>
      </c>
      <c r="I494" s="63">
        <f t="shared" si="209"/>
        <v>0</v>
      </c>
      <c r="J494" s="63">
        <f t="shared" si="209"/>
        <v>0</v>
      </c>
      <c r="K494" s="63">
        <f t="shared" si="209"/>
        <v>0</v>
      </c>
      <c r="L494" s="63">
        <f t="shared" si="209"/>
        <v>0</v>
      </c>
      <c r="M494" s="63">
        <f t="shared" si="209"/>
        <v>0</v>
      </c>
      <c r="N494" s="63">
        <f t="shared" si="209"/>
        <v>0</v>
      </c>
      <c r="O494" s="63">
        <f t="shared" si="209"/>
        <v>0</v>
      </c>
      <c r="P494" s="63">
        <f t="shared" si="209"/>
        <v>0</v>
      </c>
      <c r="Q494" s="63">
        <f t="shared" si="209"/>
        <v>0</v>
      </c>
      <c r="R494" s="63">
        <f t="shared" si="210"/>
        <v>0</v>
      </c>
      <c r="S494" s="63">
        <f t="shared" si="210"/>
        <v>0</v>
      </c>
      <c r="T494" s="63">
        <f t="shared" si="210"/>
        <v>0</v>
      </c>
      <c r="U494" s="63">
        <f t="shared" si="210"/>
        <v>0</v>
      </c>
      <c r="V494" s="63">
        <f t="shared" si="210"/>
        <v>0</v>
      </c>
      <c r="W494" s="63">
        <f t="shared" si="210"/>
        <v>0</v>
      </c>
      <c r="X494" s="63">
        <f t="shared" si="210"/>
        <v>0</v>
      </c>
      <c r="Y494" s="63">
        <f t="shared" si="210"/>
        <v>0</v>
      </c>
      <c r="Z494" s="63">
        <f t="shared" si="210"/>
        <v>0</v>
      </c>
      <c r="AA494" s="63">
        <f t="shared" si="210"/>
        <v>0</v>
      </c>
      <c r="AB494" s="63">
        <f t="shared" si="210"/>
        <v>0</v>
      </c>
      <c r="AC494" s="63">
        <f t="shared" si="210"/>
        <v>370756.96</v>
      </c>
      <c r="AD494" s="63">
        <f t="shared" si="210"/>
        <v>0</v>
      </c>
      <c r="AE494" s="63">
        <f t="shared" si="210"/>
        <v>0</v>
      </c>
      <c r="AF494" s="63">
        <f>SUM(H494:AE494)</f>
        <v>370756.96</v>
      </c>
      <c r="AG494" s="58" t="str">
        <f>IF(ABS(AF494-F494)&lt;1,"ok","err")</f>
        <v>ok</v>
      </c>
    </row>
    <row r="495" spans="1:33">
      <c r="A495" s="60">
        <v>903</v>
      </c>
      <c r="B495" s="60" t="s">
        <v>28</v>
      </c>
      <c r="C495" s="44" t="s">
        <v>76</v>
      </c>
      <c r="D495" s="44" t="s">
        <v>640</v>
      </c>
      <c r="F495" s="79">
        <v>3518495.68</v>
      </c>
      <c r="H495" s="63">
        <f t="shared" si="209"/>
        <v>0</v>
      </c>
      <c r="I495" s="63">
        <f t="shared" si="209"/>
        <v>0</v>
      </c>
      <c r="J495" s="63">
        <f t="shared" si="209"/>
        <v>0</v>
      </c>
      <c r="K495" s="63">
        <f t="shared" si="209"/>
        <v>0</v>
      </c>
      <c r="L495" s="63">
        <f t="shared" si="209"/>
        <v>0</v>
      </c>
      <c r="M495" s="63">
        <f t="shared" si="209"/>
        <v>0</v>
      </c>
      <c r="N495" s="63">
        <f t="shared" si="209"/>
        <v>0</v>
      </c>
      <c r="O495" s="63">
        <f t="shared" si="209"/>
        <v>0</v>
      </c>
      <c r="P495" s="63">
        <f t="shared" si="209"/>
        <v>0</v>
      </c>
      <c r="Q495" s="63">
        <f t="shared" si="209"/>
        <v>0</v>
      </c>
      <c r="R495" s="63">
        <f t="shared" si="210"/>
        <v>0</v>
      </c>
      <c r="S495" s="63">
        <f t="shared" si="210"/>
        <v>0</v>
      </c>
      <c r="T495" s="63">
        <f t="shared" si="210"/>
        <v>0</v>
      </c>
      <c r="U495" s="63">
        <f t="shared" si="210"/>
        <v>0</v>
      </c>
      <c r="V495" s="63">
        <f t="shared" si="210"/>
        <v>0</v>
      </c>
      <c r="W495" s="63">
        <f t="shared" si="210"/>
        <v>0</v>
      </c>
      <c r="X495" s="63">
        <f t="shared" si="210"/>
        <v>0</v>
      </c>
      <c r="Y495" s="63">
        <f t="shared" si="210"/>
        <v>0</v>
      </c>
      <c r="Z495" s="63">
        <f t="shared" si="210"/>
        <v>0</v>
      </c>
      <c r="AA495" s="63">
        <f t="shared" si="210"/>
        <v>0</v>
      </c>
      <c r="AB495" s="63">
        <f t="shared" si="210"/>
        <v>0</v>
      </c>
      <c r="AC495" s="63">
        <f t="shared" si="210"/>
        <v>3518495.68</v>
      </c>
      <c r="AD495" s="63">
        <f t="shared" si="210"/>
        <v>0</v>
      </c>
      <c r="AE495" s="63">
        <f t="shared" si="210"/>
        <v>0</v>
      </c>
      <c r="AF495" s="63">
        <f>SUM(H495:AE495)</f>
        <v>3518495.68</v>
      </c>
      <c r="AG495" s="58" t="str">
        <f>IF(ABS(AF495-F495)&lt;1,"ok","err")</f>
        <v>ok</v>
      </c>
    </row>
    <row r="496" spans="1:33">
      <c r="A496" s="60">
        <v>904</v>
      </c>
      <c r="B496" s="60" t="s">
        <v>956</v>
      </c>
      <c r="C496" s="44" t="s">
        <v>77</v>
      </c>
      <c r="D496" s="44" t="s">
        <v>640</v>
      </c>
      <c r="F496" s="79">
        <v>0</v>
      </c>
      <c r="H496" s="63">
        <f t="shared" si="209"/>
        <v>0</v>
      </c>
      <c r="I496" s="63">
        <f t="shared" si="209"/>
        <v>0</v>
      </c>
      <c r="J496" s="63">
        <f t="shared" si="209"/>
        <v>0</v>
      </c>
      <c r="K496" s="63">
        <f t="shared" si="209"/>
        <v>0</v>
      </c>
      <c r="L496" s="63">
        <f t="shared" si="209"/>
        <v>0</v>
      </c>
      <c r="M496" s="63">
        <f t="shared" si="209"/>
        <v>0</v>
      </c>
      <c r="N496" s="63">
        <f t="shared" si="209"/>
        <v>0</v>
      </c>
      <c r="O496" s="63">
        <f t="shared" si="209"/>
        <v>0</v>
      </c>
      <c r="P496" s="63">
        <f t="shared" si="209"/>
        <v>0</v>
      </c>
      <c r="Q496" s="63">
        <f t="shared" si="209"/>
        <v>0</v>
      </c>
      <c r="R496" s="63">
        <f t="shared" si="210"/>
        <v>0</v>
      </c>
      <c r="S496" s="63">
        <f t="shared" si="210"/>
        <v>0</v>
      </c>
      <c r="T496" s="63">
        <f t="shared" si="210"/>
        <v>0</v>
      </c>
      <c r="U496" s="63">
        <f t="shared" si="210"/>
        <v>0</v>
      </c>
      <c r="V496" s="63">
        <f t="shared" si="210"/>
        <v>0</v>
      </c>
      <c r="W496" s="63">
        <f t="shared" si="210"/>
        <v>0</v>
      </c>
      <c r="X496" s="63">
        <f t="shared" si="210"/>
        <v>0</v>
      </c>
      <c r="Y496" s="63">
        <f t="shared" si="210"/>
        <v>0</v>
      </c>
      <c r="Z496" s="63">
        <f t="shared" si="210"/>
        <v>0</v>
      </c>
      <c r="AA496" s="63">
        <f t="shared" si="210"/>
        <v>0</v>
      </c>
      <c r="AB496" s="63">
        <f t="shared" si="210"/>
        <v>0</v>
      </c>
      <c r="AC496" s="63">
        <f t="shared" si="210"/>
        <v>0</v>
      </c>
      <c r="AD496" s="63">
        <f t="shared" si="210"/>
        <v>0</v>
      </c>
      <c r="AE496" s="63">
        <f t="shared" si="210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29</v>
      </c>
      <c r="C497" s="44" t="s">
        <v>76</v>
      </c>
      <c r="D497" s="44" t="s">
        <v>640</v>
      </c>
      <c r="F497" s="79">
        <v>0</v>
      </c>
      <c r="H497" s="63">
        <f t="shared" si="209"/>
        <v>0</v>
      </c>
      <c r="I497" s="63">
        <f t="shared" si="209"/>
        <v>0</v>
      </c>
      <c r="J497" s="63">
        <f t="shared" si="209"/>
        <v>0</v>
      </c>
      <c r="K497" s="63">
        <f t="shared" si="209"/>
        <v>0</v>
      </c>
      <c r="L497" s="63">
        <f t="shared" si="209"/>
        <v>0</v>
      </c>
      <c r="M497" s="63">
        <f t="shared" si="209"/>
        <v>0</v>
      </c>
      <c r="N497" s="63">
        <f t="shared" si="209"/>
        <v>0</v>
      </c>
      <c r="O497" s="63">
        <f t="shared" si="209"/>
        <v>0</v>
      </c>
      <c r="P497" s="63">
        <f t="shared" si="209"/>
        <v>0</v>
      </c>
      <c r="Q497" s="63">
        <f t="shared" si="209"/>
        <v>0</v>
      </c>
      <c r="R497" s="63">
        <f t="shared" si="210"/>
        <v>0</v>
      </c>
      <c r="S497" s="63">
        <f t="shared" si="210"/>
        <v>0</v>
      </c>
      <c r="T497" s="63">
        <f t="shared" si="210"/>
        <v>0</v>
      </c>
      <c r="U497" s="63">
        <f t="shared" si="210"/>
        <v>0</v>
      </c>
      <c r="V497" s="63">
        <f t="shared" si="210"/>
        <v>0</v>
      </c>
      <c r="W497" s="63">
        <f t="shared" si="210"/>
        <v>0</v>
      </c>
      <c r="X497" s="63">
        <f t="shared" si="210"/>
        <v>0</v>
      </c>
      <c r="Y497" s="63">
        <f t="shared" si="210"/>
        <v>0</v>
      </c>
      <c r="Z497" s="63">
        <f t="shared" si="210"/>
        <v>0</v>
      </c>
      <c r="AA497" s="63">
        <f t="shared" si="210"/>
        <v>0</v>
      </c>
      <c r="AB497" s="63">
        <f t="shared" si="210"/>
        <v>0</v>
      </c>
      <c r="AC497" s="63">
        <f t="shared" si="210"/>
        <v>0</v>
      </c>
      <c r="AD497" s="63">
        <f t="shared" si="210"/>
        <v>0</v>
      </c>
      <c r="AE497" s="63">
        <f t="shared" si="210"/>
        <v>0</v>
      </c>
      <c r="AF497" s="63">
        <f>SUM(H497:AE497)</f>
        <v>0</v>
      </c>
      <c r="AG497" s="58" t="str">
        <f>IF(ABS(AF497-F497)&lt;1,"ok","err")</f>
        <v>ok</v>
      </c>
    </row>
    <row r="498" spans="1:33" ht="14.1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111</v>
      </c>
      <c r="B499" s="60"/>
      <c r="C499" s="44" t="s">
        <v>78</v>
      </c>
      <c r="F499" s="76">
        <f>SUM(F493:F498)</f>
        <v>4982418.5600000005</v>
      </c>
      <c r="G499" s="62">
        <f>SUM(G493:G498)</f>
        <v>0</v>
      </c>
      <c r="H499" s="62">
        <f t="shared" ref="H499:M499" si="211">SUM(H493:H498)</f>
        <v>0</v>
      </c>
      <c r="I499" s="62">
        <f t="shared" si="211"/>
        <v>0</v>
      </c>
      <c r="J499" s="62">
        <f t="shared" si="211"/>
        <v>0</v>
      </c>
      <c r="K499" s="62">
        <f t="shared" si="211"/>
        <v>0</v>
      </c>
      <c r="L499" s="62">
        <f t="shared" si="211"/>
        <v>0</v>
      </c>
      <c r="M499" s="62">
        <f t="shared" si="211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2">SUM(Q493:Q498)</f>
        <v>0</v>
      </c>
      <c r="R499" s="62">
        <f t="shared" si="212"/>
        <v>0</v>
      </c>
      <c r="S499" s="62">
        <f t="shared" si="212"/>
        <v>0</v>
      </c>
      <c r="T499" s="62">
        <f t="shared" si="212"/>
        <v>0</v>
      </c>
      <c r="U499" s="62">
        <f t="shared" si="212"/>
        <v>0</v>
      </c>
      <c r="V499" s="62">
        <f t="shared" si="212"/>
        <v>0</v>
      </c>
      <c r="W499" s="62">
        <f t="shared" si="212"/>
        <v>0</v>
      </c>
      <c r="X499" s="62">
        <f t="shared" si="212"/>
        <v>0</v>
      </c>
      <c r="Y499" s="62">
        <f t="shared" si="212"/>
        <v>0</v>
      </c>
      <c r="Z499" s="62">
        <f t="shared" si="212"/>
        <v>0</v>
      </c>
      <c r="AA499" s="62">
        <f t="shared" si="212"/>
        <v>0</v>
      </c>
      <c r="AB499" s="62">
        <f t="shared" si="212"/>
        <v>0</v>
      </c>
      <c r="AC499" s="62">
        <f>SUM(AC493:AC498)</f>
        <v>4982418.5600000005</v>
      </c>
      <c r="AD499" s="62">
        <f>SUM(AD493:AD498)</f>
        <v>0</v>
      </c>
      <c r="AE499" s="62">
        <f>SUM(AE493:AE498)</f>
        <v>0</v>
      </c>
      <c r="AF499" s="63">
        <f>SUM(H499:AE499)</f>
        <v>4982418.5600000005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4.1">
      <c r="A501" s="65" t="s">
        <v>960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1081</v>
      </c>
      <c r="C502" s="44" t="s">
        <v>79</v>
      </c>
      <c r="D502" s="44" t="s">
        <v>641</v>
      </c>
      <c r="F502" s="76">
        <v>145427.88</v>
      </c>
      <c r="H502" s="63">
        <f t="shared" ref="H502:Q512" si="213">IF(VLOOKUP($D502,$C$6:$AE$653,H$2,)=0,0,((VLOOKUP($D502,$C$6:$AE$653,H$2,)/VLOOKUP($D502,$C$6:$AE$653,4,))*$F502))</f>
        <v>0</v>
      </c>
      <c r="I502" s="63">
        <f t="shared" si="213"/>
        <v>0</v>
      </c>
      <c r="J502" s="63">
        <f t="shared" si="213"/>
        <v>0</v>
      </c>
      <c r="K502" s="63">
        <f t="shared" si="213"/>
        <v>0</v>
      </c>
      <c r="L502" s="63">
        <f t="shared" si="213"/>
        <v>0</v>
      </c>
      <c r="M502" s="63">
        <f t="shared" si="213"/>
        <v>0</v>
      </c>
      <c r="N502" s="63">
        <f t="shared" si="213"/>
        <v>0</v>
      </c>
      <c r="O502" s="63">
        <f t="shared" si="213"/>
        <v>0</v>
      </c>
      <c r="P502" s="63">
        <f t="shared" si="213"/>
        <v>0</v>
      </c>
      <c r="Q502" s="63">
        <f t="shared" si="213"/>
        <v>0</v>
      </c>
      <c r="R502" s="63">
        <f t="shared" ref="R502:AE512" si="214">IF(VLOOKUP($D502,$C$6:$AE$653,R$2,)=0,0,((VLOOKUP($D502,$C$6:$AE$653,R$2,)/VLOOKUP($D502,$C$6:$AE$653,4,))*$F502))</f>
        <v>0</v>
      </c>
      <c r="S502" s="63">
        <f t="shared" si="214"/>
        <v>0</v>
      </c>
      <c r="T502" s="63">
        <f t="shared" si="214"/>
        <v>0</v>
      </c>
      <c r="U502" s="63">
        <f t="shared" si="214"/>
        <v>0</v>
      </c>
      <c r="V502" s="63">
        <f t="shared" si="214"/>
        <v>0</v>
      </c>
      <c r="W502" s="63">
        <f t="shared" si="214"/>
        <v>0</v>
      </c>
      <c r="X502" s="63">
        <f t="shared" si="214"/>
        <v>0</v>
      </c>
      <c r="Y502" s="63">
        <f t="shared" si="214"/>
        <v>0</v>
      </c>
      <c r="Z502" s="63">
        <f t="shared" si="214"/>
        <v>0</v>
      </c>
      <c r="AA502" s="63">
        <f t="shared" si="214"/>
        <v>0</v>
      </c>
      <c r="AB502" s="63">
        <f t="shared" si="214"/>
        <v>0</v>
      </c>
      <c r="AC502" s="63">
        <f t="shared" si="214"/>
        <v>0</v>
      </c>
      <c r="AD502" s="63">
        <f t="shared" si="214"/>
        <v>145427.88</v>
      </c>
      <c r="AE502" s="63">
        <f t="shared" si="214"/>
        <v>0</v>
      </c>
      <c r="AF502" s="63">
        <f t="shared" ref="AF502:AF512" si="215">SUM(H502:AE502)</f>
        <v>145427.88</v>
      </c>
      <c r="AG502" s="58" t="str">
        <f t="shared" ref="AG502:AG512" si="216">IF(ABS(AF502-F502)&lt;1,"ok","err")</f>
        <v>ok</v>
      </c>
    </row>
    <row r="503" spans="1:33">
      <c r="A503" s="60">
        <v>908</v>
      </c>
      <c r="B503" s="60" t="s">
        <v>963</v>
      </c>
      <c r="C503" s="44" t="s">
        <v>80</v>
      </c>
      <c r="D503" s="44" t="s">
        <v>641</v>
      </c>
      <c r="F503" s="79">
        <v>617471.42000000004</v>
      </c>
      <c r="H503" s="63">
        <f t="shared" si="213"/>
        <v>0</v>
      </c>
      <c r="I503" s="63">
        <f t="shared" si="213"/>
        <v>0</v>
      </c>
      <c r="J503" s="63">
        <f t="shared" si="213"/>
        <v>0</v>
      </c>
      <c r="K503" s="63">
        <f t="shared" si="213"/>
        <v>0</v>
      </c>
      <c r="L503" s="63">
        <f t="shared" si="213"/>
        <v>0</v>
      </c>
      <c r="M503" s="63">
        <f t="shared" si="213"/>
        <v>0</v>
      </c>
      <c r="N503" s="63">
        <f t="shared" si="213"/>
        <v>0</v>
      </c>
      <c r="O503" s="63">
        <f t="shared" si="213"/>
        <v>0</v>
      </c>
      <c r="P503" s="63">
        <f t="shared" si="213"/>
        <v>0</v>
      </c>
      <c r="Q503" s="63">
        <f t="shared" si="213"/>
        <v>0</v>
      </c>
      <c r="R503" s="63">
        <f t="shared" si="214"/>
        <v>0</v>
      </c>
      <c r="S503" s="63">
        <f t="shared" si="214"/>
        <v>0</v>
      </c>
      <c r="T503" s="63">
        <f t="shared" si="214"/>
        <v>0</v>
      </c>
      <c r="U503" s="63">
        <f t="shared" si="214"/>
        <v>0</v>
      </c>
      <c r="V503" s="63">
        <f t="shared" si="214"/>
        <v>0</v>
      </c>
      <c r="W503" s="63">
        <f t="shared" si="214"/>
        <v>0</v>
      </c>
      <c r="X503" s="63">
        <f t="shared" si="214"/>
        <v>0</v>
      </c>
      <c r="Y503" s="63">
        <f t="shared" si="214"/>
        <v>0</v>
      </c>
      <c r="Z503" s="63">
        <f t="shared" si="214"/>
        <v>0</v>
      </c>
      <c r="AA503" s="63">
        <f t="shared" si="214"/>
        <v>0</v>
      </c>
      <c r="AB503" s="63">
        <f t="shared" si="214"/>
        <v>0</v>
      </c>
      <c r="AC503" s="63">
        <f t="shared" si="214"/>
        <v>0</v>
      </c>
      <c r="AD503" s="63">
        <f t="shared" si="214"/>
        <v>617471.42000000004</v>
      </c>
      <c r="AE503" s="63">
        <f t="shared" si="214"/>
        <v>0</v>
      </c>
      <c r="AF503" s="63">
        <f t="shared" si="215"/>
        <v>617471.42000000004</v>
      </c>
      <c r="AG503" s="58" t="str">
        <f t="shared" si="216"/>
        <v>ok</v>
      </c>
    </row>
    <row r="504" spans="1:33">
      <c r="A504" s="60">
        <v>908</v>
      </c>
      <c r="B504" s="60" t="s">
        <v>30</v>
      </c>
      <c r="C504" s="44" t="s">
        <v>81</v>
      </c>
      <c r="D504" s="44" t="s">
        <v>641</v>
      </c>
      <c r="F504" s="79">
        <v>0</v>
      </c>
      <c r="H504" s="63">
        <f t="shared" si="213"/>
        <v>0</v>
      </c>
      <c r="I504" s="63">
        <f t="shared" si="213"/>
        <v>0</v>
      </c>
      <c r="J504" s="63">
        <f t="shared" si="213"/>
        <v>0</v>
      </c>
      <c r="K504" s="63">
        <f t="shared" si="213"/>
        <v>0</v>
      </c>
      <c r="L504" s="63">
        <f t="shared" si="213"/>
        <v>0</v>
      </c>
      <c r="M504" s="63">
        <f t="shared" si="213"/>
        <v>0</v>
      </c>
      <c r="N504" s="63">
        <f t="shared" si="213"/>
        <v>0</v>
      </c>
      <c r="O504" s="63">
        <f t="shared" si="213"/>
        <v>0</v>
      </c>
      <c r="P504" s="63">
        <f t="shared" si="213"/>
        <v>0</v>
      </c>
      <c r="Q504" s="63">
        <f t="shared" si="213"/>
        <v>0</v>
      </c>
      <c r="R504" s="63">
        <f t="shared" si="214"/>
        <v>0</v>
      </c>
      <c r="S504" s="63">
        <f t="shared" si="214"/>
        <v>0</v>
      </c>
      <c r="T504" s="63">
        <f t="shared" si="214"/>
        <v>0</v>
      </c>
      <c r="U504" s="63">
        <f t="shared" si="214"/>
        <v>0</v>
      </c>
      <c r="V504" s="63">
        <f t="shared" si="214"/>
        <v>0</v>
      </c>
      <c r="W504" s="63">
        <f t="shared" si="214"/>
        <v>0</v>
      </c>
      <c r="X504" s="63">
        <f t="shared" si="214"/>
        <v>0</v>
      </c>
      <c r="Y504" s="63">
        <f t="shared" si="214"/>
        <v>0</v>
      </c>
      <c r="Z504" s="63">
        <f t="shared" si="214"/>
        <v>0</v>
      </c>
      <c r="AA504" s="63">
        <f t="shared" si="214"/>
        <v>0</v>
      </c>
      <c r="AB504" s="63">
        <f t="shared" si="214"/>
        <v>0</v>
      </c>
      <c r="AC504" s="63">
        <f t="shared" si="214"/>
        <v>0</v>
      </c>
      <c r="AD504" s="63">
        <f t="shared" si="214"/>
        <v>0</v>
      </c>
      <c r="AE504" s="63">
        <f t="shared" si="214"/>
        <v>0</v>
      </c>
      <c r="AF504" s="63">
        <f t="shared" si="215"/>
        <v>0</v>
      </c>
      <c r="AG504" s="58" t="str">
        <f t="shared" si="216"/>
        <v>ok</v>
      </c>
    </row>
    <row r="505" spans="1:33">
      <c r="A505" s="60">
        <v>909</v>
      </c>
      <c r="B505" s="60" t="s">
        <v>965</v>
      </c>
      <c r="C505" s="44" t="s">
        <v>82</v>
      </c>
      <c r="D505" s="44" t="s">
        <v>641</v>
      </c>
      <c r="F505" s="79">
        <v>0</v>
      </c>
      <c r="H505" s="63">
        <f t="shared" si="213"/>
        <v>0</v>
      </c>
      <c r="I505" s="63">
        <f t="shared" si="213"/>
        <v>0</v>
      </c>
      <c r="J505" s="63">
        <f t="shared" si="213"/>
        <v>0</v>
      </c>
      <c r="K505" s="63">
        <f t="shared" si="213"/>
        <v>0</v>
      </c>
      <c r="L505" s="63">
        <f t="shared" si="213"/>
        <v>0</v>
      </c>
      <c r="M505" s="63">
        <f t="shared" si="213"/>
        <v>0</v>
      </c>
      <c r="N505" s="63">
        <f t="shared" si="213"/>
        <v>0</v>
      </c>
      <c r="O505" s="63">
        <f t="shared" si="213"/>
        <v>0</v>
      </c>
      <c r="P505" s="63">
        <f t="shared" si="213"/>
        <v>0</v>
      </c>
      <c r="Q505" s="63">
        <f t="shared" si="213"/>
        <v>0</v>
      </c>
      <c r="R505" s="63">
        <f t="shared" si="214"/>
        <v>0</v>
      </c>
      <c r="S505" s="63">
        <f t="shared" si="214"/>
        <v>0</v>
      </c>
      <c r="T505" s="63">
        <f t="shared" si="214"/>
        <v>0</v>
      </c>
      <c r="U505" s="63">
        <f t="shared" si="214"/>
        <v>0</v>
      </c>
      <c r="V505" s="63">
        <f t="shared" si="214"/>
        <v>0</v>
      </c>
      <c r="W505" s="63">
        <f t="shared" si="214"/>
        <v>0</v>
      </c>
      <c r="X505" s="63">
        <f t="shared" si="214"/>
        <v>0</v>
      </c>
      <c r="Y505" s="63">
        <f t="shared" si="214"/>
        <v>0</v>
      </c>
      <c r="Z505" s="63">
        <f t="shared" si="214"/>
        <v>0</v>
      </c>
      <c r="AA505" s="63">
        <f t="shared" si="214"/>
        <v>0</v>
      </c>
      <c r="AB505" s="63">
        <f t="shared" si="214"/>
        <v>0</v>
      </c>
      <c r="AC505" s="63">
        <f t="shared" si="214"/>
        <v>0</v>
      </c>
      <c r="AD505" s="63">
        <f t="shared" si="214"/>
        <v>0</v>
      </c>
      <c r="AE505" s="63">
        <f t="shared" si="214"/>
        <v>0</v>
      </c>
      <c r="AF505" s="63">
        <f t="shared" si="215"/>
        <v>0</v>
      </c>
      <c r="AG505" s="58" t="str">
        <f t="shared" si="216"/>
        <v>ok</v>
      </c>
    </row>
    <row r="506" spans="1:33">
      <c r="A506" s="60">
        <v>909</v>
      </c>
      <c r="B506" s="60" t="s">
        <v>32</v>
      </c>
      <c r="C506" s="44" t="s">
        <v>83</v>
      </c>
      <c r="D506" s="44" t="s">
        <v>641</v>
      </c>
      <c r="F506" s="79">
        <v>0</v>
      </c>
      <c r="H506" s="63">
        <f t="shared" si="213"/>
        <v>0</v>
      </c>
      <c r="I506" s="63">
        <f t="shared" si="213"/>
        <v>0</v>
      </c>
      <c r="J506" s="63">
        <f t="shared" si="213"/>
        <v>0</v>
      </c>
      <c r="K506" s="63">
        <f t="shared" si="213"/>
        <v>0</v>
      </c>
      <c r="L506" s="63">
        <f t="shared" si="213"/>
        <v>0</v>
      </c>
      <c r="M506" s="63">
        <f t="shared" si="213"/>
        <v>0</v>
      </c>
      <c r="N506" s="63">
        <f t="shared" si="213"/>
        <v>0</v>
      </c>
      <c r="O506" s="63">
        <f t="shared" si="213"/>
        <v>0</v>
      </c>
      <c r="P506" s="63">
        <f t="shared" si="213"/>
        <v>0</v>
      </c>
      <c r="Q506" s="63">
        <f t="shared" si="213"/>
        <v>0</v>
      </c>
      <c r="R506" s="63">
        <f t="shared" si="214"/>
        <v>0</v>
      </c>
      <c r="S506" s="63">
        <f t="shared" si="214"/>
        <v>0</v>
      </c>
      <c r="T506" s="63">
        <f t="shared" si="214"/>
        <v>0</v>
      </c>
      <c r="U506" s="63">
        <f t="shared" si="214"/>
        <v>0</v>
      </c>
      <c r="V506" s="63">
        <f t="shared" si="214"/>
        <v>0</v>
      </c>
      <c r="W506" s="63">
        <f t="shared" si="214"/>
        <v>0</v>
      </c>
      <c r="X506" s="63">
        <f t="shared" si="214"/>
        <v>0</v>
      </c>
      <c r="Y506" s="63">
        <f t="shared" si="214"/>
        <v>0</v>
      </c>
      <c r="Z506" s="63">
        <f t="shared" si="214"/>
        <v>0</v>
      </c>
      <c r="AA506" s="63">
        <f t="shared" si="214"/>
        <v>0</v>
      </c>
      <c r="AB506" s="63">
        <f t="shared" si="214"/>
        <v>0</v>
      </c>
      <c r="AC506" s="63">
        <f t="shared" si="214"/>
        <v>0</v>
      </c>
      <c r="AD506" s="63">
        <f t="shared" si="214"/>
        <v>0</v>
      </c>
      <c r="AE506" s="63">
        <f t="shared" si="214"/>
        <v>0</v>
      </c>
      <c r="AF506" s="63">
        <f t="shared" si="215"/>
        <v>0</v>
      </c>
      <c r="AG506" s="58" t="str">
        <f t="shared" si="216"/>
        <v>ok</v>
      </c>
    </row>
    <row r="507" spans="1:33">
      <c r="A507" s="60">
        <v>910</v>
      </c>
      <c r="B507" s="60" t="s">
        <v>967</v>
      </c>
      <c r="C507" s="44" t="s">
        <v>84</v>
      </c>
      <c r="D507" s="44" t="s">
        <v>641</v>
      </c>
      <c r="F507" s="79">
        <v>322552.62</v>
      </c>
      <c r="H507" s="63">
        <f t="shared" si="213"/>
        <v>0</v>
      </c>
      <c r="I507" s="63">
        <f t="shared" si="213"/>
        <v>0</v>
      </c>
      <c r="J507" s="63">
        <f t="shared" si="213"/>
        <v>0</v>
      </c>
      <c r="K507" s="63">
        <f t="shared" si="213"/>
        <v>0</v>
      </c>
      <c r="L507" s="63">
        <f t="shared" si="213"/>
        <v>0</v>
      </c>
      <c r="M507" s="63">
        <f t="shared" si="213"/>
        <v>0</v>
      </c>
      <c r="N507" s="63">
        <f t="shared" si="213"/>
        <v>0</v>
      </c>
      <c r="O507" s="63">
        <f t="shared" si="213"/>
        <v>0</v>
      </c>
      <c r="P507" s="63">
        <f t="shared" si="213"/>
        <v>0</v>
      </c>
      <c r="Q507" s="63">
        <f t="shared" si="213"/>
        <v>0</v>
      </c>
      <c r="R507" s="63">
        <f t="shared" si="214"/>
        <v>0</v>
      </c>
      <c r="S507" s="63">
        <f t="shared" si="214"/>
        <v>0</v>
      </c>
      <c r="T507" s="63">
        <f t="shared" si="214"/>
        <v>0</v>
      </c>
      <c r="U507" s="63">
        <f t="shared" si="214"/>
        <v>0</v>
      </c>
      <c r="V507" s="63">
        <f t="shared" si="214"/>
        <v>0</v>
      </c>
      <c r="W507" s="63">
        <f t="shared" si="214"/>
        <v>0</v>
      </c>
      <c r="X507" s="63">
        <f t="shared" si="214"/>
        <v>0</v>
      </c>
      <c r="Y507" s="63">
        <f t="shared" si="214"/>
        <v>0</v>
      </c>
      <c r="Z507" s="63">
        <f t="shared" si="214"/>
        <v>0</v>
      </c>
      <c r="AA507" s="63">
        <f t="shared" si="214"/>
        <v>0</v>
      </c>
      <c r="AB507" s="63">
        <f t="shared" si="214"/>
        <v>0</v>
      </c>
      <c r="AC507" s="63">
        <f t="shared" si="214"/>
        <v>0</v>
      </c>
      <c r="AD507" s="63">
        <f t="shared" si="214"/>
        <v>322552.62</v>
      </c>
      <c r="AE507" s="63">
        <f t="shared" si="214"/>
        <v>0</v>
      </c>
      <c r="AF507" s="63">
        <f t="shared" si="215"/>
        <v>322552.62</v>
      </c>
      <c r="AG507" s="58" t="str">
        <f t="shared" si="216"/>
        <v>ok</v>
      </c>
    </row>
    <row r="508" spans="1:33">
      <c r="A508" s="60">
        <v>911</v>
      </c>
      <c r="B508" s="60" t="s">
        <v>147</v>
      </c>
      <c r="C508" s="44" t="s">
        <v>169</v>
      </c>
      <c r="D508" s="44" t="s">
        <v>641</v>
      </c>
      <c r="F508" s="79">
        <v>0</v>
      </c>
      <c r="H508" s="63">
        <f t="shared" si="213"/>
        <v>0</v>
      </c>
      <c r="I508" s="63">
        <f t="shared" si="213"/>
        <v>0</v>
      </c>
      <c r="J508" s="63">
        <f t="shared" si="213"/>
        <v>0</v>
      </c>
      <c r="K508" s="63">
        <f t="shared" si="213"/>
        <v>0</v>
      </c>
      <c r="L508" s="63">
        <f t="shared" si="213"/>
        <v>0</v>
      </c>
      <c r="M508" s="63">
        <f t="shared" si="213"/>
        <v>0</v>
      </c>
      <c r="N508" s="63">
        <f t="shared" si="213"/>
        <v>0</v>
      </c>
      <c r="O508" s="63">
        <f t="shared" si="213"/>
        <v>0</v>
      </c>
      <c r="P508" s="63">
        <f t="shared" si="213"/>
        <v>0</v>
      </c>
      <c r="Q508" s="63">
        <f t="shared" si="213"/>
        <v>0</v>
      </c>
      <c r="R508" s="63">
        <f t="shared" si="214"/>
        <v>0</v>
      </c>
      <c r="S508" s="63">
        <f t="shared" si="214"/>
        <v>0</v>
      </c>
      <c r="T508" s="63">
        <f t="shared" si="214"/>
        <v>0</v>
      </c>
      <c r="U508" s="63">
        <f t="shared" si="214"/>
        <v>0</v>
      </c>
      <c r="V508" s="63">
        <f t="shared" si="214"/>
        <v>0</v>
      </c>
      <c r="W508" s="63">
        <f t="shared" si="214"/>
        <v>0</v>
      </c>
      <c r="X508" s="63">
        <f t="shared" si="214"/>
        <v>0</v>
      </c>
      <c r="Y508" s="63">
        <f t="shared" si="214"/>
        <v>0</v>
      </c>
      <c r="Z508" s="63">
        <f t="shared" si="214"/>
        <v>0</v>
      </c>
      <c r="AA508" s="63">
        <f t="shared" si="214"/>
        <v>0</v>
      </c>
      <c r="AB508" s="63">
        <f t="shared" si="214"/>
        <v>0</v>
      </c>
      <c r="AC508" s="63">
        <f t="shared" si="214"/>
        <v>0</v>
      </c>
      <c r="AD508" s="63">
        <f t="shared" si="214"/>
        <v>0</v>
      </c>
      <c r="AE508" s="63">
        <f t="shared" si="214"/>
        <v>0</v>
      </c>
      <c r="AF508" s="63">
        <f t="shared" si="215"/>
        <v>0</v>
      </c>
      <c r="AG508" s="58" t="str">
        <f t="shared" si="216"/>
        <v>ok</v>
      </c>
    </row>
    <row r="509" spans="1:33">
      <c r="A509" s="60">
        <v>912</v>
      </c>
      <c r="B509" s="60" t="s">
        <v>147</v>
      </c>
      <c r="C509" s="44" t="s">
        <v>150</v>
      </c>
      <c r="D509" s="44" t="s">
        <v>641</v>
      </c>
      <c r="F509" s="79">
        <v>0</v>
      </c>
      <c r="H509" s="63">
        <f t="shared" si="213"/>
        <v>0</v>
      </c>
      <c r="I509" s="63">
        <f t="shared" si="213"/>
        <v>0</v>
      </c>
      <c r="J509" s="63">
        <f t="shared" si="213"/>
        <v>0</v>
      </c>
      <c r="K509" s="63">
        <f t="shared" si="213"/>
        <v>0</v>
      </c>
      <c r="L509" s="63">
        <f t="shared" si="213"/>
        <v>0</v>
      </c>
      <c r="M509" s="63">
        <f t="shared" si="213"/>
        <v>0</v>
      </c>
      <c r="N509" s="63">
        <f t="shared" si="213"/>
        <v>0</v>
      </c>
      <c r="O509" s="63">
        <f t="shared" si="213"/>
        <v>0</v>
      </c>
      <c r="P509" s="63">
        <f t="shared" si="213"/>
        <v>0</v>
      </c>
      <c r="Q509" s="63">
        <f t="shared" si="213"/>
        <v>0</v>
      </c>
      <c r="R509" s="63">
        <f t="shared" si="214"/>
        <v>0</v>
      </c>
      <c r="S509" s="63">
        <f t="shared" si="214"/>
        <v>0</v>
      </c>
      <c r="T509" s="63">
        <f t="shared" si="214"/>
        <v>0</v>
      </c>
      <c r="U509" s="63">
        <f t="shared" si="214"/>
        <v>0</v>
      </c>
      <c r="V509" s="63">
        <f t="shared" si="214"/>
        <v>0</v>
      </c>
      <c r="W509" s="63">
        <f t="shared" si="214"/>
        <v>0</v>
      </c>
      <c r="X509" s="63">
        <f t="shared" si="214"/>
        <v>0</v>
      </c>
      <c r="Y509" s="63">
        <f t="shared" si="214"/>
        <v>0</v>
      </c>
      <c r="Z509" s="63">
        <f t="shared" si="214"/>
        <v>0</v>
      </c>
      <c r="AA509" s="63">
        <f t="shared" si="214"/>
        <v>0</v>
      </c>
      <c r="AB509" s="63">
        <f t="shared" si="214"/>
        <v>0</v>
      </c>
      <c r="AC509" s="63">
        <f t="shared" si="214"/>
        <v>0</v>
      </c>
      <c r="AD509" s="63">
        <f t="shared" si="214"/>
        <v>0</v>
      </c>
      <c r="AE509" s="63">
        <f t="shared" si="214"/>
        <v>0</v>
      </c>
      <c r="AF509" s="63">
        <f t="shared" si="215"/>
        <v>0</v>
      </c>
      <c r="AG509" s="58" t="str">
        <f t="shared" si="216"/>
        <v>ok</v>
      </c>
    </row>
    <row r="510" spans="1:33">
      <c r="A510" s="60">
        <v>913</v>
      </c>
      <c r="B510" s="60" t="s">
        <v>137</v>
      </c>
      <c r="C510" s="44" t="s">
        <v>151</v>
      </c>
      <c r="D510" s="44" t="s">
        <v>641</v>
      </c>
      <c r="F510" s="79">
        <v>0</v>
      </c>
      <c r="H510" s="63">
        <f t="shared" si="213"/>
        <v>0</v>
      </c>
      <c r="I510" s="63">
        <f t="shared" si="213"/>
        <v>0</v>
      </c>
      <c r="J510" s="63">
        <f t="shared" si="213"/>
        <v>0</v>
      </c>
      <c r="K510" s="63">
        <f t="shared" si="213"/>
        <v>0</v>
      </c>
      <c r="L510" s="63">
        <f t="shared" si="213"/>
        <v>0</v>
      </c>
      <c r="M510" s="63">
        <f t="shared" si="213"/>
        <v>0</v>
      </c>
      <c r="N510" s="63">
        <f t="shared" si="213"/>
        <v>0</v>
      </c>
      <c r="O510" s="63">
        <f t="shared" si="213"/>
        <v>0</v>
      </c>
      <c r="P510" s="63">
        <f t="shared" si="213"/>
        <v>0</v>
      </c>
      <c r="Q510" s="63">
        <f t="shared" si="213"/>
        <v>0</v>
      </c>
      <c r="R510" s="63">
        <f t="shared" si="214"/>
        <v>0</v>
      </c>
      <c r="S510" s="63">
        <f t="shared" si="214"/>
        <v>0</v>
      </c>
      <c r="T510" s="63">
        <f t="shared" si="214"/>
        <v>0</v>
      </c>
      <c r="U510" s="63">
        <f t="shared" si="214"/>
        <v>0</v>
      </c>
      <c r="V510" s="63">
        <f t="shared" si="214"/>
        <v>0</v>
      </c>
      <c r="W510" s="63">
        <f t="shared" si="214"/>
        <v>0</v>
      </c>
      <c r="X510" s="63">
        <f t="shared" si="214"/>
        <v>0</v>
      </c>
      <c r="Y510" s="63">
        <f t="shared" si="214"/>
        <v>0</v>
      </c>
      <c r="Z510" s="63">
        <f t="shared" si="214"/>
        <v>0</v>
      </c>
      <c r="AA510" s="63">
        <f t="shared" si="214"/>
        <v>0</v>
      </c>
      <c r="AB510" s="63">
        <f t="shared" si="214"/>
        <v>0</v>
      </c>
      <c r="AC510" s="63">
        <f t="shared" si="214"/>
        <v>0</v>
      </c>
      <c r="AD510" s="63">
        <f t="shared" si="214"/>
        <v>0</v>
      </c>
      <c r="AE510" s="63">
        <f t="shared" si="214"/>
        <v>0</v>
      </c>
      <c r="AF510" s="63">
        <f t="shared" si="215"/>
        <v>0</v>
      </c>
      <c r="AG510" s="58" t="str">
        <f t="shared" si="216"/>
        <v>ok</v>
      </c>
    </row>
    <row r="511" spans="1:33">
      <c r="A511" s="60">
        <v>915</v>
      </c>
      <c r="B511" s="60" t="s">
        <v>158</v>
      </c>
      <c r="C511" s="44" t="s">
        <v>161</v>
      </c>
      <c r="D511" s="44" t="s">
        <v>641</v>
      </c>
      <c r="F511" s="79">
        <v>0</v>
      </c>
      <c r="H511" s="63">
        <f t="shared" si="213"/>
        <v>0</v>
      </c>
      <c r="I511" s="63">
        <f t="shared" si="213"/>
        <v>0</v>
      </c>
      <c r="J511" s="63">
        <f t="shared" si="213"/>
        <v>0</v>
      </c>
      <c r="K511" s="63">
        <f t="shared" si="213"/>
        <v>0</v>
      </c>
      <c r="L511" s="63">
        <f t="shared" si="213"/>
        <v>0</v>
      </c>
      <c r="M511" s="63">
        <f t="shared" si="213"/>
        <v>0</v>
      </c>
      <c r="N511" s="63">
        <f t="shared" si="213"/>
        <v>0</v>
      </c>
      <c r="O511" s="63">
        <f t="shared" si="213"/>
        <v>0</v>
      </c>
      <c r="P511" s="63">
        <f t="shared" si="213"/>
        <v>0</v>
      </c>
      <c r="Q511" s="63">
        <f t="shared" si="213"/>
        <v>0</v>
      </c>
      <c r="R511" s="63">
        <f t="shared" si="214"/>
        <v>0</v>
      </c>
      <c r="S511" s="63">
        <f t="shared" si="214"/>
        <v>0</v>
      </c>
      <c r="T511" s="63">
        <f t="shared" si="214"/>
        <v>0</v>
      </c>
      <c r="U511" s="63">
        <f t="shared" si="214"/>
        <v>0</v>
      </c>
      <c r="V511" s="63">
        <f t="shared" si="214"/>
        <v>0</v>
      </c>
      <c r="W511" s="63">
        <f t="shared" si="214"/>
        <v>0</v>
      </c>
      <c r="X511" s="63">
        <f t="shared" si="214"/>
        <v>0</v>
      </c>
      <c r="Y511" s="63">
        <f t="shared" si="214"/>
        <v>0</v>
      </c>
      <c r="Z511" s="63">
        <f t="shared" si="214"/>
        <v>0</v>
      </c>
      <c r="AA511" s="63">
        <f t="shared" si="214"/>
        <v>0</v>
      </c>
      <c r="AB511" s="63">
        <f t="shared" si="214"/>
        <v>0</v>
      </c>
      <c r="AC511" s="63">
        <f t="shared" si="214"/>
        <v>0</v>
      </c>
      <c r="AD511" s="63">
        <f t="shared" si="214"/>
        <v>0</v>
      </c>
      <c r="AE511" s="63">
        <f t="shared" si="214"/>
        <v>0</v>
      </c>
      <c r="AF511" s="63">
        <f t="shared" si="215"/>
        <v>0</v>
      </c>
      <c r="AG511" s="58" t="str">
        <f t="shared" si="216"/>
        <v>ok</v>
      </c>
    </row>
    <row r="512" spans="1:33">
      <c r="A512" s="60">
        <v>916</v>
      </c>
      <c r="B512" s="60" t="s">
        <v>159</v>
      </c>
      <c r="C512" s="44" t="s">
        <v>162</v>
      </c>
      <c r="D512" s="44" t="s">
        <v>641</v>
      </c>
      <c r="F512" s="79">
        <v>0</v>
      </c>
      <c r="H512" s="63">
        <f t="shared" si="213"/>
        <v>0</v>
      </c>
      <c r="I512" s="63">
        <f t="shared" si="213"/>
        <v>0</v>
      </c>
      <c r="J512" s="63">
        <f t="shared" si="213"/>
        <v>0</v>
      </c>
      <c r="K512" s="63">
        <f t="shared" si="213"/>
        <v>0</v>
      </c>
      <c r="L512" s="63">
        <f t="shared" si="213"/>
        <v>0</v>
      </c>
      <c r="M512" s="63">
        <f t="shared" si="213"/>
        <v>0</v>
      </c>
      <c r="N512" s="63">
        <f t="shared" si="213"/>
        <v>0</v>
      </c>
      <c r="O512" s="63">
        <f t="shared" si="213"/>
        <v>0</v>
      </c>
      <c r="P512" s="63">
        <f t="shared" si="213"/>
        <v>0</v>
      </c>
      <c r="Q512" s="63">
        <f t="shared" si="213"/>
        <v>0</v>
      </c>
      <c r="R512" s="63">
        <f t="shared" si="214"/>
        <v>0</v>
      </c>
      <c r="S512" s="63">
        <f t="shared" si="214"/>
        <v>0</v>
      </c>
      <c r="T512" s="63">
        <f t="shared" si="214"/>
        <v>0</v>
      </c>
      <c r="U512" s="63">
        <f t="shared" si="214"/>
        <v>0</v>
      </c>
      <c r="V512" s="63">
        <f t="shared" si="214"/>
        <v>0</v>
      </c>
      <c r="W512" s="63">
        <f t="shared" si="214"/>
        <v>0</v>
      </c>
      <c r="X512" s="63">
        <f t="shared" si="214"/>
        <v>0</v>
      </c>
      <c r="Y512" s="63">
        <f t="shared" si="214"/>
        <v>0</v>
      </c>
      <c r="Z512" s="63">
        <f t="shared" si="214"/>
        <v>0</v>
      </c>
      <c r="AA512" s="63">
        <f t="shared" si="214"/>
        <v>0</v>
      </c>
      <c r="AB512" s="63">
        <f t="shared" si="214"/>
        <v>0</v>
      </c>
      <c r="AC512" s="63">
        <f t="shared" si="214"/>
        <v>0</v>
      </c>
      <c r="AD512" s="63">
        <f t="shared" si="214"/>
        <v>0</v>
      </c>
      <c r="AE512" s="63">
        <f t="shared" si="214"/>
        <v>0</v>
      </c>
      <c r="AF512" s="63">
        <f t="shared" si="215"/>
        <v>0</v>
      </c>
      <c r="AG512" s="58" t="str">
        <f t="shared" si="216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112</v>
      </c>
      <c r="B514" s="60"/>
      <c r="C514" s="44" t="s">
        <v>85</v>
      </c>
      <c r="F514" s="76">
        <f>SUM(F502:F513)</f>
        <v>1085451.92</v>
      </c>
      <c r="G514" s="62">
        <f>SUM(G502:G513)</f>
        <v>0</v>
      </c>
      <c r="H514" s="62">
        <f t="shared" ref="H514:M514" si="217">SUM(H502:H513)</f>
        <v>0</v>
      </c>
      <c r="I514" s="62">
        <f t="shared" si="217"/>
        <v>0</v>
      </c>
      <c r="J514" s="62">
        <f t="shared" si="217"/>
        <v>0</v>
      </c>
      <c r="K514" s="62">
        <f t="shared" si="217"/>
        <v>0</v>
      </c>
      <c r="L514" s="62">
        <f t="shared" si="217"/>
        <v>0</v>
      </c>
      <c r="M514" s="62">
        <f t="shared" si="217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8">SUM(Q502:Q513)</f>
        <v>0</v>
      </c>
      <c r="R514" s="62">
        <f t="shared" si="218"/>
        <v>0</v>
      </c>
      <c r="S514" s="62">
        <f t="shared" si="218"/>
        <v>0</v>
      </c>
      <c r="T514" s="62">
        <f t="shared" si="218"/>
        <v>0</v>
      </c>
      <c r="U514" s="62">
        <f t="shared" si="218"/>
        <v>0</v>
      </c>
      <c r="V514" s="62">
        <f t="shared" si="218"/>
        <v>0</v>
      </c>
      <c r="W514" s="62">
        <f t="shared" si="218"/>
        <v>0</v>
      </c>
      <c r="X514" s="62">
        <f t="shared" si="218"/>
        <v>0</v>
      </c>
      <c r="Y514" s="62">
        <f t="shared" si="218"/>
        <v>0</v>
      </c>
      <c r="Z514" s="62">
        <f t="shared" si="218"/>
        <v>0</v>
      </c>
      <c r="AA514" s="62">
        <f t="shared" si="218"/>
        <v>0</v>
      </c>
      <c r="AB514" s="62">
        <f t="shared" si="218"/>
        <v>0</v>
      </c>
      <c r="AC514" s="62">
        <f>SUM(AC502:AC513)</f>
        <v>0</v>
      </c>
      <c r="AD514" s="62">
        <f>SUM(AD502:AD513)</f>
        <v>1085451.92</v>
      </c>
      <c r="AE514" s="62">
        <f>SUM(AE502:AE513)</f>
        <v>0</v>
      </c>
      <c r="AF514" s="63">
        <f>SUM(H514:AE514)</f>
        <v>1085451.92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802</v>
      </c>
      <c r="B516" s="60"/>
      <c r="C516" s="44" t="s">
        <v>642</v>
      </c>
      <c r="F516" s="76">
        <f>F490+F499+F514</f>
        <v>55593293.480000004</v>
      </c>
      <c r="G516" s="63"/>
      <c r="H516" s="63">
        <f t="shared" ref="H516:AE516" si="219">H490+H499+H514</f>
        <v>18103460.25723663</v>
      </c>
      <c r="I516" s="63">
        <f t="shared" si="219"/>
        <v>0</v>
      </c>
      <c r="J516" s="63">
        <f t="shared" si="219"/>
        <v>0</v>
      </c>
      <c r="K516" s="63">
        <f t="shared" si="219"/>
        <v>15353660.74276337</v>
      </c>
      <c r="L516" s="63">
        <f t="shared" si="219"/>
        <v>0</v>
      </c>
      <c r="M516" s="63">
        <f t="shared" si="219"/>
        <v>0</v>
      </c>
      <c r="N516" s="63">
        <f t="shared" si="219"/>
        <v>4172132</v>
      </c>
      <c r="O516" s="63">
        <f t="shared" si="219"/>
        <v>0</v>
      </c>
      <c r="P516" s="63">
        <f t="shared" si="219"/>
        <v>0</v>
      </c>
      <c r="Q516" s="63">
        <f t="shared" si="219"/>
        <v>0</v>
      </c>
      <c r="R516" s="63">
        <f t="shared" si="219"/>
        <v>1736428.5437069198</v>
      </c>
      <c r="S516" s="63">
        <f t="shared" si="219"/>
        <v>0</v>
      </c>
      <c r="T516" s="63">
        <f t="shared" si="219"/>
        <v>1722280.9947074789</v>
      </c>
      <c r="U516" s="63">
        <f t="shared" si="219"/>
        <v>2910349.1223195679</v>
      </c>
      <c r="V516" s="63">
        <f t="shared" si="219"/>
        <v>571477.52169908036</v>
      </c>
      <c r="W516" s="63">
        <f t="shared" si="219"/>
        <v>995179.11754285323</v>
      </c>
      <c r="X516" s="63">
        <f t="shared" si="219"/>
        <v>156148.85638341264</v>
      </c>
      <c r="Y516" s="63">
        <f t="shared" si="219"/>
        <v>87038.607066968019</v>
      </c>
      <c r="Z516" s="63">
        <f t="shared" si="219"/>
        <v>39032.372273740795</v>
      </c>
      <c r="AA516" s="63">
        <f t="shared" si="219"/>
        <v>3543567.3806341151</v>
      </c>
      <c r="AB516" s="63">
        <f t="shared" si="219"/>
        <v>134667.48366586358</v>
      </c>
      <c r="AC516" s="63">
        <f t="shared" si="219"/>
        <v>4982418.5600000005</v>
      </c>
      <c r="AD516" s="63">
        <f t="shared" si="219"/>
        <v>1085451.92</v>
      </c>
      <c r="AE516" s="63">
        <f t="shared" si="219"/>
        <v>0</v>
      </c>
      <c r="AF516" s="63">
        <f>SUM(H516:AE516)</f>
        <v>55593293.480000004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4.1">
      <c r="A522" s="59" t="s">
        <v>44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4.1">
      <c r="A524" s="65" t="s">
        <v>971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972</v>
      </c>
      <c r="C525" s="44" t="s">
        <v>87</v>
      </c>
      <c r="D525" s="44" t="s">
        <v>642</v>
      </c>
      <c r="F525" s="76">
        <v>20000454</v>
      </c>
      <c r="H525" s="63">
        <f t="shared" ref="H525:Q536" si="220">IF(VLOOKUP($D525,$C$6:$AE$653,H$2,)=0,0,((VLOOKUP($D525,$C$6:$AE$653,H$2,)/VLOOKUP($D525,$C$6:$AE$653,4,))*$F525))</f>
        <v>6512969.4869750571</v>
      </c>
      <c r="I525" s="63">
        <f t="shared" si="220"/>
        <v>0</v>
      </c>
      <c r="J525" s="63">
        <f t="shared" si="220"/>
        <v>0</v>
      </c>
      <c r="K525" s="63">
        <f t="shared" si="220"/>
        <v>5523691.1899763308</v>
      </c>
      <c r="L525" s="63">
        <f t="shared" si="220"/>
        <v>0</v>
      </c>
      <c r="M525" s="63">
        <f t="shared" si="220"/>
        <v>0</v>
      </c>
      <c r="N525" s="63">
        <f t="shared" si="220"/>
        <v>1500982.0236310991</v>
      </c>
      <c r="O525" s="63">
        <f t="shared" si="220"/>
        <v>0</v>
      </c>
      <c r="P525" s="63">
        <f t="shared" si="220"/>
        <v>0</v>
      </c>
      <c r="Q525" s="63">
        <f t="shared" si="220"/>
        <v>0</v>
      </c>
      <c r="R525" s="63">
        <f t="shared" ref="R525:AE536" si="221">IF(VLOOKUP($D525,$C$6:$AE$653,R$2,)=0,0,((VLOOKUP($D525,$C$6:$AE$653,R$2,)/VLOOKUP($D525,$C$6:$AE$653,4,))*$F525))</f>
        <v>624704.11516798008</v>
      </c>
      <c r="S525" s="63">
        <f t="shared" si="221"/>
        <v>0</v>
      </c>
      <c r="T525" s="63">
        <f t="shared" si="221"/>
        <v>619614.33931079227</v>
      </c>
      <c r="U525" s="63">
        <f t="shared" si="221"/>
        <v>1047038.2325133093</v>
      </c>
      <c r="V525" s="63">
        <f t="shared" si="221"/>
        <v>205596.91950771716</v>
      </c>
      <c r="W525" s="63">
        <f t="shared" si="221"/>
        <v>358029.41175516095</v>
      </c>
      <c r="X525" s="63">
        <f t="shared" si="221"/>
        <v>56176.704486352915</v>
      </c>
      <c r="Y525" s="63">
        <f t="shared" si="221"/>
        <v>31313.339215875658</v>
      </c>
      <c r="Z525" s="63">
        <f t="shared" si="221"/>
        <v>14042.434209311179</v>
      </c>
      <c r="AA525" s="63">
        <f t="shared" si="221"/>
        <v>1274847.23346657</v>
      </c>
      <c r="AB525" s="63">
        <f t="shared" si="221"/>
        <v>48448.484407994743</v>
      </c>
      <c r="AC525" s="63">
        <f t="shared" si="221"/>
        <v>1792493.7880119679</v>
      </c>
      <c r="AD525" s="63">
        <f t="shared" si="221"/>
        <v>390506.2973644798</v>
      </c>
      <c r="AE525" s="63">
        <f t="shared" si="221"/>
        <v>0</v>
      </c>
      <c r="AF525" s="63">
        <f t="shared" ref="AF525:AF536" si="222">SUM(H525:AE525)</f>
        <v>20000454.000000004</v>
      </c>
      <c r="AG525" s="58" t="str">
        <f t="shared" ref="AG525:AG536" si="223">IF(ABS(AF525-F525)&lt;1,"ok","err")</f>
        <v>ok</v>
      </c>
    </row>
    <row r="526" spans="1:33">
      <c r="A526" s="60">
        <v>921</v>
      </c>
      <c r="B526" s="60" t="s">
        <v>974</v>
      </c>
      <c r="C526" s="60" t="s">
        <v>87</v>
      </c>
      <c r="D526" s="60" t="s">
        <v>642</v>
      </c>
      <c r="F526" s="79">
        <v>0</v>
      </c>
      <c r="H526" s="63">
        <f t="shared" si="220"/>
        <v>0</v>
      </c>
      <c r="I526" s="63">
        <f t="shared" si="220"/>
        <v>0</v>
      </c>
      <c r="J526" s="63">
        <f t="shared" si="220"/>
        <v>0</v>
      </c>
      <c r="K526" s="63">
        <f t="shared" si="220"/>
        <v>0</v>
      </c>
      <c r="L526" s="63">
        <f t="shared" si="220"/>
        <v>0</v>
      </c>
      <c r="M526" s="63">
        <f t="shared" si="220"/>
        <v>0</v>
      </c>
      <c r="N526" s="63">
        <f t="shared" si="220"/>
        <v>0</v>
      </c>
      <c r="O526" s="63">
        <f t="shared" si="220"/>
        <v>0</v>
      </c>
      <c r="P526" s="63">
        <f t="shared" si="220"/>
        <v>0</v>
      </c>
      <c r="Q526" s="63">
        <f t="shared" si="220"/>
        <v>0</v>
      </c>
      <c r="R526" s="63">
        <f t="shared" si="221"/>
        <v>0</v>
      </c>
      <c r="S526" s="63">
        <f t="shared" si="221"/>
        <v>0</v>
      </c>
      <c r="T526" s="63">
        <f t="shared" si="221"/>
        <v>0</v>
      </c>
      <c r="U526" s="63">
        <f t="shared" si="221"/>
        <v>0</v>
      </c>
      <c r="V526" s="63">
        <f t="shared" si="221"/>
        <v>0</v>
      </c>
      <c r="W526" s="63">
        <f t="shared" si="221"/>
        <v>0</v>
      </c>
      <c r="X526" s="63">
        <f t="shared" si="221"/>
        <v>0</v>
      </c>
      <c r="Y526" s="63">
        <f t="shared" si="221"/>
        <v>0</v>
      </c>
      <c r="Z526" s="63">
        <f t="shared" si="221"/>
        <v>0</v>
      </c>
      <c r="AA526" s="63">
        <f t="shared" si="221"/>
        <v>0</v>
      </c>
      <c r="AB526" s="63">
        <f t="shared" si="221"/>
        <v>0</v>
      </c>
      <c r="AC526" s="63">
        <f t="shared" si="221"/>
        <v>0</v>
      </c>
      <c r="AD526" s="63">
        <f t="shared" si="221"/>
        <v>0</v>
      </c>
      <c r="AE526" s="63">
        <f t="shared" si="221"/>
        <v>0</v>
      </c>
      <c r="AF526" s="63">
        <f>SUM(H526:AE526)</f>
        <v>0</v>
      </c>
      <c r="AG526" s="58" t="str">
        <f t="shared" si="223"/>
        <v>ok</v>
      </c>
    </row>
    <row r="527" spans="1:33">
      <c r="A527" s="60">
        <v>922</v>
      </c>
      <c r="B527" s="60" t="s">
        <v>595</v>
      </c>
      <c r="C527" s="44" t="s">
        <v>596</v>
      </c>
      <c r="D527" s="44" t="s">
        <v>642</v>
      </c>
      <c r="F527" s="79">
        <v>-2892849</v>
      </c>
      <c r="H527" s="63">
        <f t="shared" si="220"/>
        <v>-942030.47927943571</v>
      </c>
      <c r="I527" s="63">
        <f t="shared" si="220"/>
        <v>0</v>
      </c>
      <c r="J527" s="63">
        <f t="shared" si="220"/>
        <v>0</v>
      </c>
      <c r="K527" s="63">
        <f t="shared" si="220"/>
        <v>-798942.09077613126</v>
      </c>
      <c r="L527" s="63">
        <f t="shared" si="220"/>
        <v>0</v>
      </c>
      <c r="M527" s="63">
        <f t="shared" si="220"/>
        <v>0</v>
      </c>
      <c r="N527" s="63">
        <f t="shared" si="220"/>
        <v>-217100.78911604715</v>
      </c>
      <c r="O527" s="63">
        <f t="shared" si="220"/>
        <v>0</v>
      </c>
      <c r="P527" s="63">
        <f t="shared" si="220"/>
        <v>0</v>
      </c>
      <c r="Q527" s="63">
        <f t="shared" si="220"/>
        <v>0</v>
      </c>
      <c r="R527" s="63">
        <f t="shared" si="221"/>
        <v>-90356.68264628273</v>
      </c>
      <c r="S527" s="63">
        <f t="shared" si="221"/>
        <v>0</v>
      </c>
      <c r="T527" s="63">
        <f t="shared" si="221"/>
        <v>-89620.501707655538</v>
      </c>
      <c r="U527" s="63">
        <f t="shared" si="221"/>
        <v>-151442.73744425474</v>
      </c>
      <c r="V527" s="63">
        <f t="shared" si="221"/>
        <v>-29737.367111815565</v>
      </c>
      <c r="W527" s="63">
        <f t="shared" si="221"/>
        <v>-51785.075767105373</v>
      </c>
      <c r="X527" s="63">
        <f t="shared" si="221"/>
        <v>-8125.3517243479346</v>
      </c>
      <c r="Y527" s="63">
        <f t="shared" si="221"/>
        <v>-4529.1352904942396</v>
      </c>
      <c r="Z527" s="63">
        <f t="shared" si="221"/>
        <v>-2031.0859823467824</v>
      </c>
      <c r="AA527" s="63">
        <f t="shared" si="221"/>
        <v>-184392.84150682448</v>
      </c>
      <c r="AB527" s="63">
        <f t="shared" si="221"/>
        <v>-7007.5484122102016</v>
      </c>
      <c r="AC527" s="63">
        <f t="shared" si="221"/>
        <v>-259264.80779669469</v>
      </c>
      <c r="AD527" s="63">
        <f t="shared" si="221"/>
        <v>-56482.505438353452</v>
      </c>
      <c r="AE527" s="63">
        <f t="shared" si="221"/>
        <v>0</v>
      </c>
      <c r="AF527" s="63">
        <f t="shared" si="222"/>
        <v>-2892849</v>
      </c>
      <c r="AG527" s="58" t="str">
        <f t="shared" si="223"/>
        <v>ok</v>
      </c>
    </row>
    <row r="528" spans="1:33">
      <c r="A528" s="60">
        <v>923</v>
      </c>
      <c r="B528" s="60" t="s">
        <v>976</v>
      </c>
      <c r="C528" s="44" t="s">
        <v>88</v>
      </c>
      <c r="D528" s="44" t="s">
        <v>642</v>
      </c>
      <c r="F528" s="79">
        <v>0</v>
      </c>
      <c r="H528" s="63">
        <f t="shared" si="220"/>
        <v>0</v>
      </c>
      <c r="I528" s="63">
        <f t="shared" si="220"/>
        <v>0</v>
      </c>
      <c r="J528" s="63">
        <f t="shared" si="220"/>
        <v>0</v>
      </c>
      <c r="K528" s="63">
        <f t="shared" si="220"/>
        <v>0</v>
      </c>
      <c r="L528" s="63">
        <f t="shared" si="220"/>
        <v>0</v>
      </c>
      <c r="M528" s="63">
        <f t="shared" si="220"/>
        <v>0</v>
      </c>
      <c r="N528" s="63">
        <f t="shared" si="220"/>
        <v>0</v>
      </c>
      <c r="O528" s="63">
        <f t="shared" si="220"/>
        <v>0</v>
      </c>
      <c r="P528" s="63">
        <f t="shared" si="220"/>
        <v>0</v>
      </c>
      <c r="Q528" s="63">
        <f t="shared" si="220"/>
        <v>0</v>
      </c>
      <c r="R528" s="63">
        <f t="shared" si="221"/>
        <v>0</v>
      </c>
      <c r="S528" s="63">
        <f t="shared" si="221"/>
        <v>0</v>
      </c>
      <c r="T528" s="63">
        <f t="shared" si="221"/>
        <v>0</v>
      </c>
      <c r="U528" s="63">
        <f t="shared" si="221"/>
        <v>0</v>
      </c>
      <c r="V528" s="63">
        <f t="shared" si="221"/>
        <v>0</v>
      </c>
      <c r="W528" s="63">
        <f t="shared" si="221"/>
        <v>0</v>
      </c>
      <c r="X528" s="63">
        <f t="shared" si="221"/>
        <v>0</v>
      </c>
      <c r="Y528" s="63">
        <f t="shared" si="221"/>
        <v>0</v>
      </c>
      <c r="Z528" s="63">
        <f t="shared" si="221"/>
        <v>0</v>
      </c>
      <c r="AA528" s="63">
        <f t="shared" si="221"/>
        <v>0</v>
      </c>
      <c r="AB528" s="63">
        <f t="shared" si="221"/>
        <v>0</v>
      </c>
      <c r="AC528" s="63">
        <f t="shared" si="221"/>
        <v>0</v>
      </c>
      <c r="AD528" s="63">
        <f t="shared" si="221"/>
        <v>0</v>
      </c>
      <c r="AE528" s="63">
        <f t="shared" si="221"/>
        <v>0</v>
      </c>
      <c r="AF528" s="63">
        <f t="shared" si="222"/>
        <v>0</v>
      </c>
      <c r="AG528" s="58" t="str">
        <f t="shared" si="223"/>
        <v>ok</v>
      </c>
    </row>
    <row r="529" spans="1:33">
      <c r="A529" s="60">
        <v>924</v>
      </c>
      <c r="B529" s="60" t="s">
        <v>978</v>
      </c>
      <c r="C529" s="44" t="s">
        <v>89</v>
      </c>
      <c r="D529" s="44" t="s">
        <v>892</v>
      </c>
      <c r="F529" s="79">
        <v>0</v>
      </c>
      <c r="H529" s="63">
        <f t="shared" si="220"/>
        <v>0</v>
      </c>
      <c r="I529" s="63">
        <f t="shared" si="220"/>
        <v>0</v>
      </c>
      <c r="J529" s="63">
        <f t="shared" si="220"/>
        <v>0</v>
      </c>
      <c r="K529" s="63">
        <f t="shared" si="220"/>
        <v>0</v>
      </c>
      <c r="L529" s="63">
        <f t="shared" si="220"/>
        <v>0</v>
      </c>
      <c r="M529" s="63">
        <f t="shared" si="220"/>
        <v>0</v>
      </c>
      <c r="N529" s="63">
        <f t="shared" si="220"/>
        <v>0</v>
      </c>
      <c r="O529" s="63">
        <f t="shared" si="220"/>
        <v>0</v>
      </c>
      <c r="P529" s="63">
        <f t="shared" si="220"/>
        <v>0</v>
      </c>
      <c r="Q529" s="63">
        <f t="shared" si="220"/>
        <v>0</v>
      </c>
      <c r="R529" s="63">
        <f t="shared" si="221"/>
        <v>0</v>
      </c>
      <c r="S529" s="63">
        <f t="shared" si="221"/>
        <v>0</v>
      </c>
      <c r="T529" s="63">
        <f t="shared" si="221"/>
        <v>0</v>
      </c>
      <c r="U529" s="63">
        <f t="shared" si="221"/>
        <v>0</v>
      </c>
      <c r="V529" s="63">
        <f t="shared" si="221"/>
        <v>0</v>
      </c>
      <c r="W529" s="63">
        <f t="shared" si="221"/>
        <v>0</v>
      </c>
      <c r="X529" s="63">
        <f t="shared" si="221"/>
        <v>0</v>
      </c>
      <c r="Y529" s="63">
        <f t="shared" si="221"/>
        <v>0</v>
      </c>
      <c r="Z529" s="63">
        <f t="shared" si="221"/>
        <v>0</v>
      </c>
      <c r="AA529" s="63">
        <f t="shared" si="221"/>
        <v>0</v>
      </c>
      <c r="AB529" s="63">
        <f t="shared" si="221"/>
        <v>0</v>
      </c>
      <c r="AC529" s="63">
        <f t="shared" si="221"/>
        <v>0</v>
      </c>
      <c r="AD529" s="63">
        <f t="shared" si="221"/>
        <v>0</v>
      </c>
      <c r="AE529" s="63">
        <f t="shared" si="221"/>
        <v>0</v>
      </c>
      <c r="AF529" s="63">
        <f t="shared" si="222"/>
        <v>0</v>
      </c>
      <c r="AG529" s="58" t="str">
        <f t="shared" si="223"/>
        <v>ok</v>
      </c>
    </row>
    <row r="530" spans="1:33">
      <c r="A530" s="60">
        <v>925</v>
      </c>
      <c r="B530" s="60" t="s">
        <v>1231</v>
      </c>
      <c r="C530" s="44" t="s">
        <v>90</v>
      </c>
      <c r="D530" s="44" t="s">
        <v>642</v>
      </c>
      <c r="F530" s="79">
        <v>0</v>
      </c>
      <c r="H530" s="63">
        <f t="shared" si="220"/>
        <v>0</v>
      </c>
      <c r="I530" s="63">
        <f t="shared" si="220"/>
        <v>0</v>
      </c>
      <c r="J530" s="63">
        <f t="shared" si="220"/>
        <v>0</v>
      </c>
      <c r="K530" s="63">
        <f t="shared" si="220"/>
        <v>0</v>
      </c>
      <c r="L530" s="63">
        <f t="shared" si="220"/>
        <v>0</v>
      </c>
      <c r="M530" s="63">
        <f t="shared" si="220"/>
        <v>0</v>
      </c>
      <c r="N530" s="63">
        <f t="shared" si="220"/>
        <v>0</v>
      </c>
      <c r="O530" s="63">
        <f t="shared" si="220"/>
        <v>0</v>
      </c>
      <c r="P530" s="63">
        <f t="shared" si="220"/>
        <v>0</v>
      </c>
      <c r="Q530" s="63">
        <f t="shared" si="220"/>
        <v>0</v>
      </c>
      <c r="R530" s="63">
        <f t="shared" si="221"/>
        <v>0</v>
      </c>
      <c r="S530" s="63">
        <f t="shared" si="221"/>
        <v>0</v>
      </c>
      <c r="T530" s="63">
        <f t="shared" si="221"/>
        <v>0</v>
      </c>
      <c r="U530" s="63">
        <f t="shared" si="221"/>
        <v>0</v>
      </c>
      <c r="V530" s="63">
        <f t="shared" si="221"/>
        <v>0</v>
      </c>
      <c r="W530" s="63">
        <f t="shared" si="221"/>
        <v>0</v>
      </c>
      <c r="X530" s="63">
        <f t="shared" si="221"/>
        <v>0</v>
      </c>
      <c r="Y530" s="63">
        <f t="shared" si="221"/>
        <v>0</v>
      </c>
      <c r="Z530" s="63">
        <f t="shared" si="221"/>
        <v>0</v>
      </c>
      <c r="AA530" s="63">
        <f t="shared" si="221"/>
        <v>0</v>
      </c>
      <c r="AB530" s="63">
        <f t="shared" si="221"/>
        <v>0</v>
      </c>
      <c r="AC530" s="63">
        <f t="shared" si="221"/>
        <v>0</v>
      </c>
      <c r="AD530" s="63">
        <f t="shared" si="221"/>
        <v>0</v>
      </c>
      <c r="AE530" s="63">
        <f t="shared" si="221"/>
        <v>0</v>
      </c>
      <c r="AF530" s="63">
        <f t="shared" si="222"/>
        <v>0</v>
      </c>
      <c r="AG530" s="58" t="str">
        <f t="shared" si="223"/>
        <v>ok</v>
      </c>
    </row>
    <row r="531" spans="1:33">
      <c r="A531" s="60">
        <v>926</v>
      </c>
      <c r="B531" s="60" t="s">
        <v>981</v>
      </c>
      <c r="C531" s="44" t="s">
        <v>91</v>
      </c>
      <c r="D531" s="44" t="s">
        <v>642</v>
      </c>
      <c r="F531" s="79">
        <v>0</v>
      </c>
      <c r="H531" s="63">
        <f t="shared" si="220"/>
        <v>0</v>
      </c>
      <c r="I531" s="63">
        <f t="shared" si="220"/>
        <v>0</v>
      </c>
      <c r="J531" s="63">
        <f t="shared" si="220"/>
        <v>0</v>
      </c>
      <c r="K531" s="63">
        <f t="shared" si="220"/>
        <v>0</v>
      </c>
      <c r="L531" s="63">
        <f t="shared" si="220"/>
        <v>0</v>
      </c>
      <c r="M531" s="63">
        <f t="shared" si="220"/>
        <v>0</v>
      </c>
      <c r="N531" s="63">
        <f t="shared" si="220"/>
        <v>0</v>
      </c>
      <c r="O531" s="63">
        <f t="shared" si="220"/>
        <v>0</v>
      </c>
      <c r="P531" s="63">
        <f t="shared" si="220"/>
        <v>0</v>
      </c>
      <c r="Q531" s="63">
        <f t="shared" si="220"/>
        <v>0</v>
      </c>
      <c r="R531" s="63">
        <f t="shared" si="221"/>
        <v>0</v>
      </c>
      <c r="S531" s="63">
        <f t="shared" si="221"/>
        <v>0</v>
      </c>
      <c r="T531" s="63">
        <f t="shared" si="221"/>
        <v>0</v>
      </c>
      <c r="U531" s="63">
        <f t="shared" si="221"/>
        <v>0</v>
      </c>
      <c r="V531" s="63">
        <f t="shared" si="221"/>
        <v>0</v>
      </c>
      <c r="W531" s="63">
        <f t="shared" si="221"/>
        <v>0</v>
      </c>
      <c r="X531" s="63">
        <f t="shared" si="221"/>
        <v>0</v>
      </c>
      <c r="Y531" s="63">
        <f t="shared" si="221"/>
        <v>0</v>
      </c>
      <c r="Z531" s="63">
        <f t="shared" si="221"/>
        <v>0</v>
      </c>
      <c r="AA531" s="63">
        <f t="shared" si="221"/>
        <v>0</v>
      </c>
      <c r="AB531" s="63">
        <f t="shared" si="221"/>
        <v>0</v>
      </c>
      <c r="AC531" s="63">
        <f t="shared" si="221"/>
        <v>0</v>
      </c>
      <c r="AD531" s="63">
        <f t="shared" si="221"/>
        <v>0</v>
      </c>
      <c r="AE531" s="63">
        <f t="shared" si="221"/>
        <v>0</v>
      </c>
      <c r="AF531" s="63">
        <f t="shared" si="222"/>
        <v>0</v>
      </c>
      <c r="AG531" s="58" t="str">
        <f t="shared" si="223"/>
        <v>ok</v>
      </c>
    </row>
    <row r="532" spans="1:33">
      <c r="A532" s="60">
        <v>928</v>
      </c>
      <c r="B532" s="60" t="s">
        <v>819</v>
      </c>
      <c r="C532" s="44" t="s">
        <v>92</v>
      </c>
      <c r="D532" s="44" t="s">
        <v>892</v>
      </c>
      <c r="F532" s="79">
        <v>0</v>
      </c>
      <c r="H532" s="63">
        <f t="shared" si="220"/>
        <v>0</v>
      </c>
      <c r="I532" s="63">
        <f t="shared" si="220"/>
        <v>0</v>
      </c>
      <c r="J532" s="63">
        <f t="shared" si="220"/>
        <v>0</v>
      </c>
      <c r="K532" s="63">
        <f t="shared" si="220"/>
        <v>0</v>
      </c>
      <c r="L532" s="63">
        <f t="shared" si="220"/>
        <v>0</v>
      </c>
      <c r="M532" s="63">
        <f t="shared" si="220"/>
        <v>0</v>
      </c>
      <c r="N532" s="63">
        <f t="shared" si="220"/>
        <v>0</v>
      </c>
      <c r="O532" s="63">
        <f t="shared" si="220"/>
        <v>0</v>
      </c>
      <c r="P532" s="63">
        <f t="shared" si="220"/>
        <v>0</v>
      </c>
      <c r="Q532" s="63">
        <f t="shared" si="220"/>
        <v>0</v>
      </c>
      <c r="R532" s="63">
        <f t="shared" si="221"/>
        <v>0</v>
      </c>
      <c r="S532" s="63">
        <f t="shared" si="221"/>
        <v>0</v>
      </c>
      <c r="T532" s="63">
        <f t="shared" si="221"/>
        <v>0</v>
      </c>
      <c r="U532" s="63">
        <f t="shared" si="221"/>
        <v>0</v>
      </c>
      <c r="V532" s="63">
        <f t="shared" si="221"/>
        <v>0</v>
      </c>
      <c r="W532" s="63">
        <f t="shared" si="221"/>
        <v>0</v>
      </c>
      <c r="X532" s="63">
        <f t="shared" si="221"/>
        <v>0</v>
      </c>
      <c r="Y532" s="63">
        <f t="shared" si="221"/>
        <v>0</v>
      </c>
      <c r="Z532" s="63">
        <f t="shared" si="221"/>
        <v>0</v>
      </c>
      <c r="AA532" s="63">
        <f t="shared" si="221"/>
        <v>0</v>
      </c>
      <c r="AB532" s="63">
        <f t="shared" si="221"/>
        <v>0</v>
      </c>
      <c r="AC532" s="63">
        <f t="shared" si="221"/>
        <v>0</v>
      </c>
      <c r="AD532" s="63">
        <f t="shared" si="221"/>
        <v>0</v>
      </c>
      <c r="AE532" s="63">
        <f t="shared" si="221"/>
        <v>0</v>
      </c>
      <c r="AF532" s="63">
        <f t="shared" si="222"/>
        <v>0</v>
      </c>
      <c r="AG532" s="58" t="str">
        <f t="shared" si="223"/>
        <v>ok</v>
      </c>
    </row>
    <row r="533" spans="1:33">
      <c r="A533" s="60">
        <v>929</v>
      </c>
      <c r="B533" s="60" t="s">
        <v>1082</v>
      </c>
      <c r="C533" s="44" t="s">
        <v>93</v>
      </c>
      <c r="D533" s="44" t="s">
        <v>642</v>
      </c>
      <c r="F533" s="79">
        <v>0</v>
      </c>
      <c r="H533" s="63">
        <f t="shared" si="220"/>
        <v>0</v>
      </c>
      <c r="I533" s="63">
        <f t="shared" si="220"/>
        <v>0</v>
      </c>
      <c r="J533" s="63">
        <f t="shared" si="220"/>
        <v>0</v>
      </c>
      <c r="K533" s="63">
        <f t="shared" si="220"/>
        <v>0</v>
      </c>
      <c r="L533" s="63">
        <f t="shared" si="220"/>
        <v>0</v>
      </c>
      <c r="M533" s="63">
        <f t="shared" si="220"/>
        <v>0</v>
      </c>
      <c r="N533" s="63">
        <f t="shared" si="220"/>
        <v>0</v>
      </c>
      <c r="O533" s="63">
        <f t="shared" si="220"/>
        <v>0</v>
      </c>
      <c r="P533" s="63">
        <f t="shared" si="220"/>
        <v>0</v>
      </c>
      <c r="Q533" s="63">
        <f t="shared" si="220"/>
        <v>0</v>
      </c>
      <c r="R533" s="63">
        <f t="shared" si="221"/>
        <v>0</v>
      </c>
      <c r="S533" s="63">
        <f t="shared" si="221"/>
        <v>0</v>
      </c>
      <c r="T533" s="63">
        <f t="shared" si="221"/>
        <v>0</v>
      </c>
      <c r="U533" s="63">
        <f t="shared" si="221"/>
        <v>0</v>
      </c>
      <c r="V533" s="63">
        <f t="shared" si="221"/>
        <v>0</v>
      </c>
      <c r="W533" s="63">
        <f t="shared" si="221"/>
        <v>0</v>
      </c>
      <c r="X533" s="63">
        <f t="shared" si="221"/>
        <v>0</v>
      </c>
      <c r="Y533" s="63">
        <f t="shared" si="221"/>
        <v>0</v>
      </c>
      <c r="Z533" s="63">
        <f t="shared" si="221"/>
        <v>0</v>
      </c>
      <c r="AA533" s="63">
        <f t="shared" si="221"/>
        <v>0</v>
      </c>
      <c r="AB533" s="63">
        <f t="shared" si="221"/>
        <v>0</v>
      </c>
      <c r="AC533" s="63">
        <f t="shared" si="221"/>
        <v>0</v>
      </c>
      <c r="AD533" s="63">
        <f t="shared" si="221"/>
        <v>0</v>
      </c>
      <c r="AE533" s="63">
        <f t="shared" si="221"/>
        <v>0</v>
      </c>
      <c r="AF533" s="63">
        <f t="shared" si="222"/>
        <v>0</v>
      </c>
      <c r="AG533" s="58" t="str">
        <f t="shared" si="223"/>
        <v>ok</v>
      </c>
    </row>
    <row r="534" spans="1:33">
      <c r="A534" s="60">
        <v>930</v>
      </c>
      <c r="B534" s="60" t="s">
        <v>984</v>
      </c>
      <c r="C534" s="44" t="s">
        <v>94</v>
      </c>
      <c r="D534" s="44" t="s">
        <v>642</v>
      </c>
      <c r="F534" s="79">
        <v>165400</v>
      </c>
      <c r="H534" s="63">
        <f t="shared" si="220"/>
        <v>53861.035011788954</v>
      </c>
      <c r="I534" s="63">
        <f t="shared" si="220"/>
        <v>0</v>
      </c>
      <c r="J534" s="63">
        <f t="shared" si="220"/>
        <v>0</v>
      </c>
      <c r="K534" s="63">
        <f t="shared" si="220"/>
        <v>45679.889207619242</v>
      </c>
      <c r="L534" s="63">
        <f t="shared" si="220"/>
        <v>0</v>
      </c>
      <c r="M534" s="63">
        <f t="shared" si="220"/>
        <v>0</v>
      </c>
      <c r="N534" s="63">
        <f t="shared" si="220"/>
        <v>12412.839563971089</v>
      </c>
      <c r="O534" s="63">
        <f t="shared" si="220"/>
        <v>0</v>
      </c>
      <c r="P534" s="63">
        <f t="shared" si="220"/>
        <v>0</v>
      </c>
      <c r="Q534" s="63">
        <f t="shared" si="220"/>
        <v>0</v>
      </c>
      <c r="R534" s="63">
        <f t="shared" si="221"/>
        <v>5166.185760022443</v>
      </c>
      <c r="S534" s="63">
        <f t="shared" si="221"/>
        <v>0</v>
      </c>
      <c r="T534" s="63">
        <f t="shared" si="221"/>
        <v>5124.0942691603414</v>
      </c>
      <c r="U534" s="63">
        <f t="shared" si="221"/>
        <v>8658.8096279065139</v>
      </c>
      <c r="V534" s="63">
        <f t="shared" si="221"/>
        <v>1700.2479287008393</v>
      </c>
      <c r="W534" s="63">
        <f t="shared" si="221"/>
        <v>2960.836024237431</v>
      </c>
      <c r="X534" s="63">
        <f t="shared" si="221"/>
        <v>464.57080034497079</v>
      </c>
      <c r="Y534" s="63">
        <f t="shared" si="221"/>
        <v>258.95543702687121</v>
      </c>
      <c r="Z534" s="63">
        <f t="shared" si="221"/>
        <v>116.12829479871152</v>
      </c>
      <c r="AA534" s="63">
        <f t="shared" si="221"/>
        <v>10542.747300404815</v>
      </c>
      <c r="AB534" s="63">
        <f t="shared" si="221"/>
        <v>400.6598710750431</v>
      </c>
      <c r="AC534" s="63">
        <f t="shared" si="221"/>
        <v>14823.587131431092</v>
      </c>
      <c r="AD534" s="63">
        <f t="shared" si="221"/>
        <v>3229.4137715116344</v>
      </c>
      <c r="AE534" s="63">
        <f t="shared" si="221"/>
        <v>0</v>
      </c>
      <c r="AF534" s="63">
        <f t="shared" si="222"/>
        <v>165400</v>
      </c>
      <c r="AG534" s="58" t="str">
        <f t="shared" si="223"/>
        <v>ok</v>
      </c>
    </row>
    <row r="535" spans="1:33">
      <c r="A535" s="60">
        <v>931</v>
      </c>
      <c r="B535" s="60" t="s">
        <v>986</v>
      </c>
      <c r="C535" s="44" t="s">
        <v>95</v>
      </c>
      <c r="D535" s="44" t="s">
        <v>882</v>
      </c>
      <c r="F535" s="79">
        <v>0</v>
      </c>
      <c r="H535" s="63">
        <f t="shared" si="220"/>
        <v>0</v>
      </c>
      <c r="I535" s="63">
        <f t="shared" si="220"/>
        <v>0</v>
      </c>
      <c r="J535" s="63">
        <f t="shared" si="220"/>
        <v>0</v>
      </c>
      <c r="K535" s="63">
        <f t="shared" si="220"/>
        <v>0</v>
      </c>
      <c r="L535" s="63">
        <f t="shared" si="220"/>
        <v>0</v>
      </c>
      <c r="M535" s="63">
        <f t="shared" si="220"/>
        <v>0</v>
      </c>
      <c r="N535" s="63">
        <f t="shared" si="220"/>
        <v>0</v>
      </c>
      <c r="O535" s="63">
        <f t="shared" si="220"/>
        <v>0</v>
      </c>
      <c r="P535" s="63">
        <f t="shared" si="220"/>
        <v>0</v>
      </c>
      <c r="Q535" s="63">
        <f t="shared" si="220"/>
        <v>0</v>
      </c>
      <c r="R535" s="63">
        <f t="shared" si="221"/>
        <v>0</v>
      </c>
      <c r="S535" s="63">
        <f t="shared" si="221"/>
        <v>0</v>
      </c>
      <c r="T535" s="63">
        <f t="shared" si="221"/>
        <v>0</v>
      </c>
      <c r="U535" s="63">
        <f t="shared" si="221"/>
        <v>0</v>
      </c>
      <c r="V535" s="63">
        <f t="shared" si="221"/>
        <v>0</v>
      </c>
      <c r="W535" s="63">
        <f t="shared" si="221"/>
        <v>0</v>
      </c>
      <c r="X535" s="63">
        <f t="shared" si="221"/>
        <v>0</v>
      </c>
      <c r="Y535" s="63">
        <f t="shared" si="221"/>
        <v>0</v>
      </c>
      <c r="Z535" s="63">
        <f t="shared" si="221"/>
        <v>0</v>
      </c>
      <c r="AA535" s="63">
        <f t="shared" si="221"/>
        <v>0</v>
      </c>
      <c r="AB535" s="63">
        <f t="shared" si="221"/>
        <v>0</v>
      </c>
      <c r="AC535" s="63">
        <f t="shared" si="221"/>
        <v>0</v>
      </c>
      <c r="AD535" s="63">
        <f t="shared" si="221"/>
        <v>0</v>
      </c>
      <c r="AE535" s="63">
        <f t="shared" si="221"/>
        <v>0</v>
      </c>
      <c r="AF535" s="63">
        <f t="shared" si="222"/>
        <v>0</v>
      </c>
      <c r="AG535" s="58" t="str">
        <f t="shared" si="223"/>
        <v>ok</v>
      </c>
    </row>
    <row r="536" spans="1:33">
      <c r="A536" s="60">
        <v>935</v>
      </c>
      <c r="B536" s="60" t="s">
        <v>988</v>
      </c>
      <c r="C536" s="44" t="s">
        <v>96</v>
      </c>
      <c r="D536" s="44" t="s">
        <v>882</v>
      </c>
      <c r="F536" s="79">
        <v>502248.93000000005</v>
      </c>
      <c r="H536" s="63">
        <f t="shared" si="220"/>
        <v>306591.48463598313</v>
      </c>
      <c r="I536" s="63">
        <f t="shared" si="220"/>
        <v>0</v>
      </c>
      <c r="J536" s="63">
        <f t="shared" si="220"/>
        <v>0</v>
      </c>
      <c r="K536" s="63">
        <f t="shared" si="220"/>
        <v>0</v>
      </c>
      <c r="L536" s="63">
        <f t="shared" si="220"/>
        <v>0</v>
      </c>
      <c r="M536" s="63">
        <f t="shared" si="220"/>
        <v>0</v>
      </c>
      <c r="N536" s="63">
        <f t="shared" si="220"/>
        <v>47089.30310939622</v>
      </c>
      <c r="O536" s="63">
        <f t="shared" si="220"/>
        <v>0</v>
      </c>
      <c r="P536" s="63">
        <f t="shared" si="220"/>
        <v>0</v>
      </c>
      <c r="Q536" s="63">
        <f t="shared" si="220"/>
        <v>0</v>
      </c>
      <c r="R536" s="63">
        <f t="shared" si="221"/>
        <v>18526.69899691836</v>
      </c>
      <c r="S536" s="63">
        <f t="shared" si="221"/>
        <v>0</v>
      </c>
      <c r="T536" s="63">
        <f t="shared" si="221"/>
        <v>28441.793292008482</v>
      </c>
      <c r="U536" s="63">
        <f t="shared" si="221"/>
        <v>46542.970563837342</v>
      </c>
      <c r="V536" s="63">
        <f t="shared" si="221"/>
        <v>7935.5198715195093</v>
      </c>
      <c r="W536" s="63">
        <f t="shared" si="221"/>
        <v>13559.861073008522</v>
      </c>
      <c r="X536" s="63">
        <f t="shared" si="221"/>
        <v>9721.4587905108947</v>
      </c>
      <c r="Y536" s="63">
        <f t="shared" si="221"/>
        <v>5418.8179880572197</v>
      </c>
      <c r="Z536" s="63">
        <f t="shared" si="221"/>
        <v>3464.6349211296938</v>
      </c>
      <c r="AA536" s="63">
        <f t="shared" si="221"/>
        <v>3533.3298848947429</v>
      </c>
      <c r="AB536" s="63">
        <f t="shared" si="221"/>
        <v>11423.056872735937</v>
      </c>
      <c r="AC536" s="63">
        <f t="shared" si="221"/>
        <v>0</v>
      </c>
      <c r="AD536" s="63">
        <f t="shared" si="221"/>
        <v>0</v>
      </c>
      <c r="AE536" s="63">
        <f t="shared" si="221"/>
        <v>0</v>
      </c>
      <c r="AF536" s="63">
        <f t="shared" si="222"/>
        <v>502248.93</v>
      </c>
      <c r="AG536" s="58" t="str">
        <f t="shared" si="223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989</v>
      </c>
      <c r="B538" s="60"/>
      <c r="C538" s="44" t="s">
        <v>97</v>
      </c>
      <c r="F538" s="76">
        <f t="shared" ref="F538:M538" si="224">SUM(F525:F537)</f>
        <v>17775253.93</v>
      </c>
      <c r="G538" s="62">
        <f t="shared" si="224"/>
        <v>0</v>
      </c>
      <c r="H538" s="62">
        <f t="shared" si="224"/>
        <v>5931391.5273433924</v>
      </c>
      <c r="I538" s="62">
        <f t="shared" si="224"/>
        <v>0</v>
      </c>
      <c r="J538" s="62">
        <f t="shared" si="224"/>
        <v>0</v>
      </c>
      <c r="K538" s="62">
        <f t="shared" si="224"/>
        <v>4770428.9884078186</v>
      </c>
      <c r="L538" s="62">
        <f t="shared" si="224"/>
        <v>0</v>
      </c>
      <c r="M538" s="62">
        <f t="shared" si="224"/>
        <v>0</v>
      </c>
      <c r="N538" s="62">
        <f>SUM(N525:N537)</f>
        <v>1343383.3771884195</v>
      </c>
      <c r="O538" s="62">
        <f>SUM(O525:O537)</f>
        <v>0</v>
      </c>
      <c r="P538" s="62">
        <f>SUM(P525:P537)</f>
        <v>0</v>
      </c>
      <c r="Q538" s="62">
        <f t="shared" ref="Q538:AB538" si="225">SUM(Q525:Q537)</f>
        <v>0</v>
      </c>
      <c r="R538" s="62">
        <f t="shared" si="225"/>
        <v>558040.31727863825</v>
      </c>
      <c r="S538" s="62">
        <f t="shared" si="225"/>
        <v>0</v>
      </c>
      <c r="T538" s="62">
        <f t="shared" si="225"/>
        <v>563559.72516430554</v>
      </c>
      <c r="U538" s="62">
        <f t="shared" si="225"/>
        <v>950797.27526079852</v>
      </c>
      <c r="V538" s="62">
        <f t="shared" si="225"/>
        <v>185495.32019612193</v>
      </c>
      <c r="W538" s="62">
        <f t="shared" si="225"/>
        <v>322765.03308530152</v>
      </c>
      <c r="X538" s="62">
        <f t="shared" si="225"/>
        <v>58237.382352860841</v>
      </c>
      <c r="Y538" s="62">
        <f t="shared" si="225"/>
        <v>32461.97735046551</v>
      </c>
      <c r="Z538" s="62">
        <f t="shared" si="225"/>
        <v>15592.111442892801</v>
      </c>
      <c r="AA538" s="62">
        <f t="shared" si="225"/>
        <v>1104530.4691450449</v>
      </c>
      <c r="AB538" s="62">
        <f t="shared" si="225"/>
        <v>53264.65273959552</v>
      </c>
      <c r="AC538" s="62">
        <f>SUM(AC525:AC537)</f>
        <v>1548052.5673467044</v>
      </c>
      <c r="AD538" s="62">
        <f>SUM(AD525:AD537)</f>
        <v>337253.20569763798</v>
      </c>
      <c r="AE538" s="62">
        <f>SUM(AE525:AE537)</f>
        <v>0</v>
      </c>
      <c r="AF538" s="63">
        <f>SUM(H538:AE538)</f>
        <v>17775253.929999996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991</v>
      </c>
      <c r="B540" s="60"/>
      <c r="C540" s="44" t="s">
        <v>98</v>
      </c>
      <c r="F540" s="76">
        <f>F490+F499+F514+F538</f>
        <v>73368547.409999996</v>
      </c>
      <c r="G540" s="62"/>
      <c r="H540" s="62">
        <f t="shared" ref="H540:M540" si="226">H490+H499+H514+H538</f>
        <v>24034851.784580022</v>
      </c>
      <c r="I540" s="62">
        <f t="shared" si="226"/>
        <v>0</v>
      </c>
      <c r="J540" s="62">
        <f t="shared" si="226"/>
        <v>0</v>
      </c>
      <c r="K540" s="62">
        <f t="shared" si="226"/>
        <v>20124089.731171191</v>
      </c>
      <c r="L540" s="62">
        <f t="shared" si="226"/>
        <v>0</v>
      </c>
      <c r="M540" s="62">
        <f t="shared" si="226"/>
        <v>0</v>
      </c>
      <c r="N540" s="62">
        <f>N490+N499+N514+N538</f>
        <v>5515515.3771884199</v>
      </c>
      <c r="O540" s="62">
        <f>O490+O499+O514+O538</f>
        <v>0</v>
      </c>
      <c r="P540" s="62">
        <f>P490+P499+P514+P538</f>
        <v>0</v>
      </c>
      <c r="Q540" s="62">
        <f t="shared" ref="Q540:AB540" si="227">Q490+Q499+Q514+Q538</f>
        <v>0</v>
      </c>
      <c r="R540" s="62">
        <f t="shared" si="227"/>
        <v>2294468.860985558</v>
      </c>
      <c r="S540" s="62">
        <f t="shared" si="227"/>
        <v>0</v>
      </c>
      <c r="T540" s="62">
        <f t="shared" si="227"/>
        <v>2285840.7198717846</v>
      </c>
      <c r="U540" s="62">
        <f t="shared" si="227"/>
        <v>3861146.3975803666</v>
      </c>
      <c r="V540" s="62">
        <f t="shared" si="227"/>
        <v>756972.84189520229</v>
      </c>
      <c r="W540" s="62">
        <f t="shared" si="227"/>
        <v>1317944.1506281546</v>
      </c>
      <c r="X540" s="62">
        <f t="shared" si="227"/>
        <v>214386.23873627349</v>
      </c>
      <c r="Y540" s="62">
        <f t="shared" si="227"/>
        <v>119500.58441743354</v>
      </c>
      <c r="Z540" s="62">
        <f t="shared" si="227"/>
        <v>54624.483716633593</v>
      </c>
      <c r="AA540" s="62">
        <f t="shared" si="227"/>
        <v>4648097.8497791598</v>
      </c>
      <c r="AB540" s="62">
        <f t="shared" si="227"/>
        <v>187932.13640545908</v>
      </c>
      <c r="AC540" s="62">
        <f>AC490+AC499+AC514+AC538</f>
        <v>6530471.1273467047</v>
      </c>
      <c r="AD540" s="62">
        <f>AD490+AD499+AD514+AD538</f>
        <v>1422705.1256976379</v>
      </c>
      <c r="AE540" s="62">
        <f>AE490+AE499+AE514+AE538</f>
        <v>0</v>
      </c>
      <c r="AF540" s="63">
        <f>SUM(H540:AE540)</f>
        <v>73368547.409999996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99</v>
      </c>
      <c r="F542" s="80">
        <f t="shared" ref="F542:M542" si="228">F540-F430</f>
        <v>73368547.409999996</v>
      </c>
      <c r="G542" s="64">
        <f t="shared" si="228"/>
        <v>0</v>
      </c>
      <c r="H542" s="64">
        <f t="shared" si="228"/>
        <v>24034851.784580022</v>
      </c>
      <c r="I542" s="64">
        <f t="shared" si="228"/>
        <v>0</v>
      </c>
      <c r="J542" s="64">
        <f t="shared" si="228"/>
        <v>0</v>
      </c>
      <c r="K542" s="64">
        <f t="shared" si="228"/>
        <v>20124089.731171191</v>
      </c>
      <c r="L542" s="64">
        <f t="shared" si="228"/>
        <v>0</v>
      </c>
      <c r="M542" s="64">
        <f t="shared" si="228"/>
        <v>0</v>
      </c>
      <c r="N542" s="64">
        <f>N540-N430</f>
        <v>5515515.3771884199</v>
      </c>
      <c r="O542" s="64">
        <f>O540-O430</f>
        <v>0</v>
      </c>
      <c r="P542" s="64">
        <f>P540-P430</f>
        <v>0</v>
      </c>
      <c r="Q542" s="64">
        <f t="shared" ref="Q542:AB542" si="229">Q540-Q430</f>
        <v>0</v>
      </c>
      <c r="R542" s="64">
        <f t="shared" si="229"/>
        <v>2294468.860985558</v>
      </c>
      <c r="S542" s="64">
        <f t="shared" si="229"/>
        <v>0</v>
      </c>
      <c r="T542" s="64">
        <f t="shared" si="229"/>
        <v>2285840.7198717846</v>
      </c>
      <c r="U542" s="64">
        <f t="shared" si="229"/>
        <v>3861146.3975803666</v>
      </c>
      <c r="V542" s="64">
        <f t="shared" si="229"/>
        <v>756972.84189520229</v>
      </c>
      <c r="W542" s="64">
        <f t="shared" si="229"/>
        <v>1317944.1506281546</v>
      </c>
      <c r="X542" s="64">
        <f t="shared" si="229"/>
        <v>214386.23873627349</v>
      </c>
      <c r="Y542" s="64">
        <f t="shared" si="229"/>
        <v>119500.58441743354</v>
      </c>
      <c r="Z542" s="64">
        <f t="shared" si="229"/>
        <v>54624.483716633593</v>
      </c>
      <c r="AA542" s="64">
        <f t="shared" si="229"/>
        <v>4648097.8497791598</v>
      </c>
      <c r="AB542" s="64">
        <f t="shared" si="229"/>
        <v>187932.13640545908</v>
      </c>
      <c r="AC542" s="64">
        <f>AC540-AC430</f>
        <v>6530471.1273467047</v>
      </c>
      <c r="AD542" s="64">
        <f>AD540-AD430</f>
        <v>1422705.1256976379</v>
      </c>
      <c r="AE542" s="64">
        <f>AE540-AE430</f>
        <v>0</v>
      </c>
      <c r="AF542" s="63">
        <f>SUM(H542:AE542)</f>
        <v>73368547.409999996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4.1">
      <c r="A568" s="59" t="s">
        <v>994</v>
      </c>
      <c r="B568" s="60"/>
      <c r="F568" s="112"/>
      <c r="AG568" s="58"/>
    </row>
    <row r="569" spans="1:33">
      <c r="A569" s="60"/>
      <c r="B569" s="60"/>
      <c r="AG569" s="58"/>
    </row>
    <row r="570" spans="1:33" ht="14.1">
      <c r="A570" s="65" t="s">
        <v>995</v>
      </c>
      <c r="B570" s="60"/>
      <c r="AG570" s="58"/>
    </row>
    <row r="571" spans="1:33">
      <c r="A571" s="68" t="s">
        <v>303</v>
      </c>
      <c r="B571" s="60"/>
      <c r="C571" s="44" t="s">
        <v>21</v>
      </c>
      <c r="D571" s="44" t="s">
        <v>191</v>
      </c>
      <c r="F571" s="76">
        <v>179722988.35269237</v>
      </c>
      <c r="H571" s="63">
        <f t="shared" ref="H571:Q578" si="230">IF(VLOOKUP($D571,$C$6:$AE$653,H$2,)=0,0,((VLOOKUP($D571,$C$6:$AE$653,H$2,)/VLOOKUP($D571,$C$6:$AE$653,4,))*$F571))</f>
        <v>179722988.35269237</v>
      </c>
      <c r="I571" s="63">
        <f t="shared" si="230"/>
        <v>0</v>
      </c>
      <c r="J571" s="63">
        <f t="shared" si="230"/>
        <v>0</v>
      </c>
      <c r="K571" s="63">
        <f t="shared" si="230"/>
        <v>0</v>
      </c>
      <c r="L571" s="63">
        <f t="shared" si="230"/>
        <v>0</v>
      </c>
      <c r="M571" s="63">
        <f t="shared" si="230"/>
        <v>0</v>
      </c>
      <c r="N571" s="63">
        <f t="shared" si="230"/>
        <v>0</v>
      </c>
      <c r="O571" s="63">
        <f t="shared" si="230"/>
        <v>0</v>
      </c>
      <c r="P571" s="63">
        <f t="shared" si="230"/>
        <v>0</v>
      </c>
      <c r="Q571" s="63">
        <f t="shared" si="230"/>
        <v>0</v>
      </c>
      <c r="R571" s="63">
        <f t="shared" ref="R571:AE578" si="231">IF(VLOOKUP($D571,$C$6:$AE$653,R$2,)=0,0,((VLOOKUP($D571,$C$6:$AE$653,R$2,)/VLOOKUP($D571,$C$6:$AE$653,4,))*$F571))</f>
        <v>0</v>
      </c>
      <c r="S571" s="63">
        <f t="shared" si="231"/>
        <v>0</v>
      </c>
      <c r="T571" s="63">
        <f t="shared" si="231"/>
        <v>0</v>
      </c>
      <c r="U571" s="63">
        <f t="shared" si="231"/>
        <v>0</v>
      </c>
      <c r="V571" s="63">
        <f t="shared" si="231"/>
        <v>0</v>
      </c>
      <c r="W571" s="63">
        <f t="shared" si="231"/>
        <v>0</v>
      </c>
      <c r="X571" s="63">
        <f t="shared" si="231"/>
        <v>0</v>
      </c>
      <c r="Y571" s="63">
        <f t="shared" si="231"/>
        <v>0</v>
      </c>
      <c r="Z571" s="63">
        <f t="shared" si="231"/>
        <v>0</v>
      </c>
      <c r="AA571" s="63">
        <f t="shared" si="231"/>
        <v>0</v>
      </c>
      <c r="AB571" s="63">
        <f t="shared" si="231"/>
        <v>0</v>
      </c>
      <c r="AC571" s="63">
        <f t="shared" si="231"/>
        <v>0</v>
      </c>
      <c r="AD571" s="63">
        <f t="shared" si="231"/>
        <v>0</v>
      </c>
      <c r="AE571" s="63">
        <f t="shared" si="231"/>
        <v>0</v>
      </c>
      <c r="AF571" s="63">
        <f t="shared" ref="AF571:AF578" si="232">SUM(H571:AE571)</f>
        <v>179722988.35269237</v>
      </c>
      <c r="AG571" s="58" t="str">
        <f t="shared" ref="AG571:AG578" si="233">IF(ABS(AF571-F571)&lt;1,"ok","err")</f>
        <v>ok</v>
      </c>
    </row>
    <row r="572" spans="1:33">
      <c r="A572" s="68" t="s">
        <v>302</v>
      </c>
      <c r="B572" s="60"/>
      <c r="C572" s="44" t="s">
        <v>34</v>
      </c>
      <c r="D572" s="44" t="s">
        <v>191</v>
      </c>
      <c r="F572" s="79">
        <v>5725979.8709662594</v>
      </c>
      <c r="H572" s="63">
        <f t="shared" si="230"/>
        <v>5725979.8709662594</v>
      </c>
      <c r="I572" s="63">
        <f t="shared" si="230"/>
        <v>0</v>
      </c>
      <c r="J572" s="63">
        <f t="shared" si="230"/>
        <v>0</v>
      </c>
      <c r="K572" s="63">
        <f t="shared" si="230"/>
        <v>0</v>
      </c>
      <c r="L572" s="63">
        <f t="shared" si="230"/>
        <v>0</v>
      </c>
      <c r="M572" s="63">
        <f t="shared" si="230"/>
        <v>0</v>
      </c>
      <c r="N572" s="63">
        <f t="shared" si="230"/>
        <v>0</v>
      </c>
      <c r="O572" s="63">
        <f t="shared" si="230"/>
        <v>0</v>
      </c>
      <c r="P572" s="63">
        <f t="shared" si="230"/>
        <v>0</v>
      </c>
      <c r="Q572" s="63">
        <f t="shared" si="230"/>
        <v>0</v>
      </c>
      <c r="R572" s="63">
        <f t="shared" si="231"/>
        <v>0</v>
      </c>
      <c r="S572" s="63">
        <f t="shared" si="231"/>
        <v>0</v>
      </c>
      <c r="T572" s="63">
        <f t="shared" si="231"/>
        <v>0</v>
      </c>
      <c r="U572" s="63">
        <f t="shared" si="231"/>
        <v>0</v>
      </c>
      <c r="V572" s="63">
        <f t="shared" si="231"/>
        <v>0</v>
      </c>
      <c r="W572" s="63">
        <f t="shared" si="231"/>
        <v>0</v>
      </c>
      <c r="X572" s="63">
        <f t="shared" si="231"/>
        <v>0</v>
      </c>
      <c r="Y572" s="63">
        <f t="shared" si="231"/>
        <v>0</v>
      </c>
      <c r="Z572" s="63">
        <f t="shared" si="231"/>
        <v>0</v>
      </c>
      <c r="AA572" s="63">
        <f t="shared" si="231"/>
        <v>0</v>
      </c>
      <c r="AB572" s="63">
        <f t="shared" si="231"/>
        <v>0</v>
      </c>
      <c r="AC572" s="63">
        <f t="shared" si="231"/>
        <v>0</v>
      </c>
      <c r="AD572" s="63">
        <f t="shared" si="231"/>
        <v>0</v>
      </c>
      <c r="AE572" s="63">
        <f t="shared" si="231"/>
        <v>0</v>
      </c>
      <c r="AF572" s="63">
        <f t="shared" si="232"/>
        <v>5725979.8709662594</v>
      </c>
      <c r="AG572" s="58" t="str">
        <f t="shared" si="233"/>
        <v>ok</v>
      </c>
    </row>
    <row r="573" spans="1:33">
      <c r="A573" s="283" t="s">
        <v>301</v>
      </c>
      <c r="B573" s="60"/>
      <c r="C573" s="44" t="s">
        <v>35</v>
      </c>
      <c r="D573" s="44" t="s">
        <v>191</v>
      </c>
      <c r="F573" s="79">
        <f>13010803.436897-611017</f>
        <v>12399786.436897</v>
      </c>
      <c r="H573" s="63">
        <f t="shared" si="230"/>
        <v>12399786.436897</v>
      </c>
      <c r="I573" s="63">
        <f t="shared" si="230"/>
        <v>0</v>
      </c>
      <c r="J573" s="63">
        <f t="shared" si="230"/>
        <v>0</v>
      </c>
      <c r="K573" s="63">
        <f t="shared" si="230"/>
        <v>0</v>
      </c>
      <c r="L573" s="63">
        <f t="shared" si="230"/>
        <v>0</v>
      </c>
      <c r="M573" s="63">
        <f t="shared" si="230"/>
        <v>0</v>
      </c>
      <c r="N573" s="63">
        <f t="shared" si="230"/>
        <v>0</v>
      </c>
      <c r="O573" s="63">
        <f t="shared" si="230"/>
        <v>0</v>
      </c>
      <c r="P573" s="63">
        <f t="shared" si="230"/>
        <v>0</v>
      </c>
      <c r="Q573" s="63">
        <f t="shared" si="230"/>
        <v>0</v>
      </c>
      <c r="R573" s="63">
        <f t="shared" si="231"/>
        <v>0</v>
      </c>
      <c r="S573" s="63">
        <f t="shared" si="231"/>
        <v>0</v>
      </c>
      <c r="T573" s="63">
        <f t="shared" si="231"/>
        <v>0</v>
      </c>
      <c r="U573" s="63">
        <f t="shared" si="231"/>
        <v>0</v>
      </c>
      <c r="V573" s="63">
        <f t="shared" si="231"/>
        <v>0</v>
      </c>
      <c r="W573" s="63">
        <f t="shared" si="231"/>
        <v>0</v>
      </c>
      <c r="X573" s="63">
        <f t="shared" si="231"/>
        <v>0</v>
      </c>
      <c r="Y573" s="63">
        <f t="shared" si="231"/>
        <v>0</v>
      </c>
      <c r="Z573" s="63">
        <f t="shared" si="231"/>
        <v>0</v>
      </c>
      <c r="AA573" s="63">
        <f t="shared" si="231"/>
        <v>0</v>
      </c>
      <c r="AB573" s="63">
        <f t="shared" si="231"/>
        <v>0</v>
      </c>
      <c r="AC573" s="63">
        <f t="shared" si="231"/>
        <v>0</v>
      </c>
      <c r="AD573" s="63">
        <f t="shared" si="231"/>
        <v>0</v>
      </c>
      <c r="AE573" s="63">
        <f t="shared" si="231"/>
        <v>0</v>
      </c>
      <c r="AF573" s="63">
        <f t="shared" si="232"/>
        <v>12399786.436897</v>
      </c>
      <c r="AG573" s="58" t="str">
        <f t="shared" si="233"/>
        <v>ok</v>
      </c>
    </row>
    <row r="574" spans="1:33">
      <c r="A574" s="60" t="s">
        <v>304</v>
      </c>
      <c r="B574" s="60"/>
      <c r="C574" s="44" t="s">
        <v>36</v>
      </c>
      <c r="D574" s="44" t="s">
        <v>1085</v>
      </c>
      <c r="F574" s="79">
        <v>12287716.575704392</v>
      </c>
      <c r="H574" s="63">
        <f t="shared" si="230"/>
        <v>0</v>
      </c>
      <c r="I574" s="63">
        <f t="shared" si="230"/>
        <v>0</v>
      </c>
      <c r="J574" s="63">
        <f t="shared" si="230"/>
        <v>0</v>
      </c>
      <c r="K574" s="63">
        <f t="shared" si="230"/>
        <v>0</v>
      </c>
      <c r="L574" s="63">
        <f t="shared" si="230"/>
        <v>0</v>
      </c>
      <c r="M574" s="63">
        <f t="shared" si="230"/>
        <v>0</v>
      </c>
      <c r="N574" s="63">
        <f t="shared" si="230"/>
        <v>12287716.575704392</v>
      </c>
      <c r="O574" s="63">
        <f t="shared" si="230"/>
        <v>0</v>
      </c>
      <c r="P574" s="63">
        <f t="shared" si="230"/>
        <v>0</v>
      </c>
      <c r="Q574" s="63">
        <f t="shared" si="230"/>
        <v>0</v>
      </c>
      <c r="R574" s="63">
        <f t="shared" si="231"/>
        <v>0</v>
      </c>
      <c r="S574" s="63">
        <f t="shared" si="231"/>
        <v>0</v>
      </c>
      <c r="T574" s="63">
        <f t="shared" si="231"/>
        <v>0</v>
      </c>
      <c r="U574" s="63">
        <f t="shared" si="231"/>
        <v>0</v>
      </c>
      <c r="V574" s="63">
        <f t="shared" si="231"/>
        <v>0</v>
      </c>
      <c r="W574" s="63">
        <f t="shared" si="231"/>
        <v>0</v>
      </c>
      <c r="X574" s="63">
        <f t="shared" si="231"/>
        <v>0</v>
      </c>
      <c r="Y574" s="63">
        <f t="shared" si="231"/>
        <v>0</v>
      </c>
      <c r="Z574" s="63">
        <f t="shared" si="231"/>
        <v>0</v>
      </c>
      <c r="AA574" s="63">
        <f t="shared" si="231"/>
        <v>0</v>
      </c>
      <c r="AB574" s="63">
        <f t="shared" si="231"/>
        <v>0</v>
      </c>
      <c r="AC574" s="63">
        <f t="shared" si="231"/>
        <v>0</v>
      </c>
      <c r="AD574" s="63">
        <f t="shared" si="231"/>
        <v>0</v>
      </c>
      <c r="AE574" s="63">
        <f t="shared" si="231"/>
        <v>0</v>
      </c>
      <c r="AF574" s="63">
        <f t="shared" si="232"/>
        <v>12287716.575704392</v>
      </c>
      <c r="AG574" s="58" t="str">
        <f t="shared" si="233"/>
        <v>ok</v>
      </c>
    </row>
    <row r="575" spans="1:33">
      <c r="A575" s="60" t="s">
        <v>305</v>
      </c>
      <c r="B575" s="60"/>
      <c r="C575" s="44" t="s">
        <v>37</v>
      </c>
      <c r="D575" s="44" t="s">
        <v>1085</v>
      </c>
      <c r="F575" s="79">
        <v>0</v>
      </c>
      <c r="H575" s="63">
        <f t="shared" si="230"/>
        <v>0</v>
      </c>
      <c r="I575" s="63">
        <f t="shared" si="230"/>
        <v>0</v>
      </c>
      <c r="J575" s="63">
        <f t="shared" si="230"/>
        <v>0</v>
      </c>
      <c r="K575" s="63">
        <f t="shared" si="230"/>
        <v>0</v>
      </c>
      <c r="L575" s="63">
        <f t="shared" si="230"/>
        <v>0</v>
      </c>
      <c r="M575" s="63">
        <f t="shared" si="230"/>
        <v>0</v>
      </c>
      <c r="N575" s="63">
        <f t="shared" si="230"/>
        <v>0</v>
      </c>
      <c r="O575" s="63">
        <f t="shared" si="230"/>
        <v>0</v>
      </c>
      <c r="P575" s="63">
        <f t="shared" si="230"/>
        <v>0</v>
      </c>
      <c r="Q575" s="63">
        <f t="shared" si="230"/>
        <v>0</v>
      </c>
      <c r="R575" s="63">
        <f t="shared" si="231"/>
        <v>0</v>
      </c>
      <c r="S575" s="63">
        <f t="shared" si="231"/>
        <v>0</v>
      </c>
      <c r="T575" s="63">
        <f t="shared" si="231"/>
        <v>0</v>
      </c>
      <c r="U575" s="63">
        <f t="shared" si="231"/>
        <v>0</v>
      </c>
      <c r="V575" s="63">
        <f t="shared" si="231"/>
        <v>0</v>
      </c>
      <c r="W575" s="63">
        <f t="shared" si="231"/>
        <v>0</v>
      </c>
      <c r="X575" s="63">
        <f t="shared" si="231"/>
        <v>0</v>
      </c>
      <c r="Y575" s="63">
        <f t="shared" si="231"/>
        <v>0</v>
      </c>
      <c r="Z575" s="63">
        <f t="shared" si="231"/>
        <v>0</v>
      </c>
      <c r="AA575" s="63">
        <f t="shared" si="231"/>
        <v>0</v>
      </c>
      <c r="AB575" s="63">
        <f t="shared" si="231"/>
        <v>0</v>
      </c>
      <c r="AC575" s="63">
        <f t="shared" si="231"/>
        <v>0</v>
      </c>
      <c r="AD575" s="63">
        <f t="shared" si="231"/>
        <v>0</v>
      </c>
      <c r="AE575" s="63">
        <f t="shared" si="231"/>
        <v>0</v>
      </c>
      <c r="AF575" s="63">
        <f t="shared" si="232"/>
        <v>0</v>
      </c>
      <c r="AG575" s="58" t="str">
        <f t="shared" si="233"/>
        <v>ok</v>
      </c>
    </row>
    <row r="576" spans="1:33">
      <c r="A576" s="60" t="s">
        <v>307</v>
      </c>
      <c r="B576" s="60"/>
      <c r="C576" s="44" t="s">
        <v>38</v>
      </c>
      <c r="D576" s="44" t="s">
        <v>859</v>
      </c>
      <c r="F576" s="79">
        <v>42603324.121205993</v>
      </c>
      <c r="H576" s="63">
        <f t="shared" si="230"/>
        <v>0</v>
      </c>
      <c r="I576" s="63">
        <f t="shared" si="230"/>
        <v>0</v>
      </c>
      <c r="J576" s="63">
        <f t="shared" si="230"/>
        <v>0</v>
      </c>
      <c r="K576" s="63">
        <f t="shared" si="230"/>
        <v>0</v>
      </c>
      <c r="L576" s="63">
        <f t="shared" si="230"/>
        <v>0</v>
      </c>
      <c r="M576" s="63">
        <f t="shared" si="230"/>
        <v>0</v>
      </c>
      <c r="N576" s="63">
        <f t="shared" si="230"/>
        <v>0</v>
      </c>
      <c r="O576" s="63">
        <f t="shared" si="230"/>
        <v>0</v>
      </c>
      <c r="P576" s="63">
        <f t="shared" si="230"/>
        <v>0</v>
      </c>
      <c r="Q576" s="63">
        <f t="shared" si="230"/>
        <v>0</v>
      </c>
      <c r="R576" s="63">
        <f t="shared" si="231"/>
        <v>5312706.683166367</v>
      </c>
      <c r="S576" s="63">
        <f t="shared" si="231"/>
        <v>0</v>
      </c>
      <c r="T576" s="63">
        <f t="shared" si="231"/>
        <v>8155954.0276885545</v>
      </c>
      <c r="U576" s="63">
        <f t="shared" si="231"/>
        <v>13346638.319651207</v>
      </c>
      <c r="V576" s="63">
        <f t="shared" si="231"/>
        <v>2275585.6001564953</v>
      </c>
      <c r="W576" s="63">
        <f t="shared" si="231"/>
        <v>3888418.7926495997</v>
      </c>
      <c r="X576" s="63">
        <f t="shared" si="231"/>
        <v>2787720.5267416714</v>
      </c>
      <c r="Y576" s="63">
        <f t="shared" si="231"/>
        <v>1553897.4614313252</v>
      </c>
      <c r="Z576" s="63">
        <f t="shared" si="231"/>
        <v>993516.92944754823</v>
      </c>
      <c r="AA576" s="63">
        <f t="shared" si="231"/>
        <v>1013215.861953288</v>
      </c>
      <c r="AB576" s="63">
        <f t="shared" si="231"/>
        <v>3275669.918319942</v>
      </c>
      <c r="AC576" s="63">
        <f t="shared" si="231"/>
        <v>0</v>
      </c>
      <c r="AD576" s="63">
        <f t="shared" si="231"/>
        <v>0</v>
      </c>
      <c r="AE576" s="63">
        <f t="shared" si="231"/>
        <v>0</v>
      </c>
      <c r="AF576" s="63">
        <f t="shared" si="232"/>
        <v>42603324.121205993</v>
      </c>
      <c r="AG576" s="58" t="str">
        <f t="shared" si="233"/>
        <v>ok</v>
      </c>
    </row>
    <row r="577" spans="1:33">
      <c r="A577" s="68" t="s">
        <v>599</v>
      </c>
      <c r="B577" s="60"/>
      <c r="C577" s="44" t="s">
        <v>39</v>
      </c>
      <c r="D577" s="44" t="s">
        <v>882</v>
      </c>
      <c r="F577" s="79">
        <f>804798.3901624+23936088.87-339957-8694-9196</f>
        <v>24383040.260162402</v>
      </c>
      <c r="H577" s="63">
        <f t="shared" si="230"/>
        <v>14884317.450516297</v>
      </c>
      <c r="I577" s="63">
        <f t="shared" si="230"/>
        <v>0</v>
      </c>
      <c r="J577" s="63">
        <f t="shared" si="230"/>
        <v>0</v>
      </c>
      <c r="K577" s="63">
        <f t="shared" si="230"/>
        <v>0</v>
      </c>
      <c r="L577" s="63">
        <f t="shared" si="230"/>
        <v>0</v>
      </c>
      <c r="M577" s="63">
        <f t="shared" si="230"/>
        <v>0</v>
      </c>
      <c r="N577" s="63">
        <f t="shared" si="230"/>
        <v>2286078.286994854</v>
      </c>
      <c r="O577" s="63">
        <f t="shared" si="230"/>
        <v>0</v>
      </c>
      <c r="P577" s="63">
        <f t="shared" si="230"/>
        <v>0</v>
      </c>
      <c r="Q577" s="63">
        <f t="shared" si="230"/>
        <v>0</v>
      </c>
      <c r="R577" s="63">
        <f t="shared" si="231"/>
        <v>899428.98938534467</v>
      </c>
      <c r="S577" s="63">
        <f t="shared" si="231"/>
        <v>0</v>
      </c>
      <c r="T577" s="63">
        <f t="shared" si="231"/>
        <v>1380784.2077637871</v>
      </c>
      <c r="U577" s="63">
        <f t="shared" si="231"/>
        <v>2259555.0877243271</v>
      </c>
      <c r="V577" s="63">
        <f t="shared" si="231"/>
        <v>385251.39418928965</v>
      </c>
      <c r="W577" s="63">
        <f t="shared" si="231"/>
        <v>658300.33418961335</v>
      </c>
      <c r="X577" s="63">
        <f t="shared" si="231"/>
        <v>471954.65618321334</v>
      </c>
      <c r="Y577" s="63">
        <f t="shared" si="231"/>
        <v>263071.25664815534</v>
      </c>
      <c r="Z577" s="63">
        <f t="shared" si="231"/>
        <v>168200.1249234516</v>
      </c>
      <c r="AA577" s="63">
        <f t="shared" si="231"/>
        <v>171535.10876732678</v>
      </c>
      <c r="AB577" s="63">
        <f t="shared" si="231"/>
        <v>554563.36287674156</v>
      </c>
      <c r="AC577" s="63">
        <f t="shared" si="231"/>
        <v>0</v>
      </c>
      <c r="AD577" s="63">
        <f t="shared" si="231"/>
        <v>0</v>
      </c>
      <c r="AE577" s="63">
        <f t="shared" si="231"/>
        <v>0</v>
      </c>
      <c r="AF577" s="63">
        <f t="shared" si="232"/>
        <v>24383040.260162406</v>
      </c>
      <c r="AG577" s="58" t="str">
        <f t="shared" si="233"/>
        <v>ok</v>
      </c>
    </row>
    <row r="578" spans="1:33">
      <c r="A578" s="68" t="s">
        <v>306</v>
      </c>
      <c r="B578" s="60"/>
      <c r="C578" s="44" t="s">
        <v>1375</v>
      </c>
      <c r="D578" s="44" t="s">
        <v>861</v>
      </c>
      <c r="F578" s="79"/>
      <c r="H578" s="63">
        <f t="shared" si="230"/>
        <v>0</v>
      </c>
      <c r="I578" s="63">
        <f t="shared" si="230"/>
        <v>0</v>
      </c>
      <c r="J578" s="63">
        <f t="shared" si="230"/>
        <v>0</v>
      </c>
      <c r="K578" s="63">
        <f t="shared" si="230"/>
        <v>0</v>
      </c>
      <c r="L578" s="63">
        <f t="shared" si="230"/>
        <v>0</v>
      </c>
      <c r="M578" s="63">
        <f t="shared" si="230"/>
        <v>0</v>
      </c>
      <c r="N578" s="63">
        <f t="shared" si="230"/>
        <v>0</v>
      </c>
      <c r="O578" s="63">
        <f t="shared" si="230"/>
        <v>0</v>
      </c>
      <c r="P578" s="63">
        <f t="shared" si="230"/>
        <v>0</v>
      </c>
      <c r="Q578" s="63">
        <f t="shared" si="230"/>
        <v>0</v>
      </c>
      <c r="R578" s="63">
        <f t="shared" si="231"/>
        <v>0</v>
      </c>
      <c r="S578" s="63">
        <f t="shared" si="231"/>
        <v>0</v>
      </c>
      <c r="T578" s="63">
        <f t="shared" si="231"/>
        <v>0</v>
      </c>
      <c r="U578" s="63">
        <f t="shared" si="231"/>
        <v>0</v>
      </c>
      <c r="V578" s="63">
        <f t="shared" si="231"/>
        <v>0</v>
      </c>
      <c r="W578" s="63">
        <f t="shared" si="231"/>
        <v>0</v>
      </c>
      <c r="X578" s="63">
        <f t="shared" si="231"/>
        <v>0</v>
      </c>
      <c r="Y578" s="63">
        <f t="shared" si="231"/>
        <v>0</v>
      </c>
      <c r="Z578" s="63">
        <f t="shared" si="231"/>
        <v>0</v>
      </c>
      <c r="AA578" s="63">
        <f t="shared" si="231"/>
        <v>0</v>
      </c>
      <c r="AB578" s="63">
        <f t="shared" si="231"/>
        <v>0</v>
      </c>
      <c r="AC578" s="63">
        <f t="shared" si="231"/>
        <v>0</v>
      </c>
      <c r="AD578" s="63">
        <f t="shared" si="231"/>
        <v>0</v>
      </c>
      <c r="AE578" s="63">
        <f t="shared" si="231"/>
        <v>0</v>
      </c>
      <c r="AF578" s="63">
        <f t="shared" si="232"/>
        <v>0</v>
      </c>
      <c r="AG578" s="58" t="str">
        <f t="shared" si="233"/>
        <v>ok</v>
      </c>
    </row>
    <row r="579" spans="1:33">
      <c r="A579" s="60"/>
      <c r="B579" s="60"/>
      <c r="F579" s="79"/>
      <c r="AG579" s="58"/>
    </row>
    <row r="580" spans="1:33">
      <c r="A580" s="60" t="s">
        <v>996</v>
      </c>
      <c r="B580" s="60"/>
      <c r="C580" s="44" t="s">
        <v>997</v>
      </c>
      <c r="F580" s="76">
        <f>SUM(F571:F579)</f>
        <v>277122835.6176284</v>
      </c>
      <c r="H580" s="63">
        <f t="shared" ref="H580:M580" si="234">SUM(H571:H579)</f>
        <v>212733072.11107191</v>
      </c>
      <c r="I580" s="63">
        <f t="shared" si="234"/>
        <v>0</v>
      </c>
      <c r="J580" s="63">
        <f t="shared" si="234"/>
        <v>0</v>
      </c>
      <c r="K580" s="63">
        <f t="shared" si="234"/>
        <v>0</v>
      </c>
      <c r="L580" s="63">
        <f t="shared" si="234"/>
        <v>0</v>
      </c>
      <c r="M580" s="63">
        <f t="shared" si="234"/>
        <v>0</v>
      </c>
      <c r="N580" s="63">
        <f>SUM(N571:N579)</f>
        <v>14573794.862699246</v>
      </c>
      <c r="O580" s="63">
        <f>SUM(O571:O579)</f>
        <v>0</v>
      </c>
      <c r="P580" s="63">
        <f>SUM(P571:P579)</f>
        <v>0</v>
      </c>
      <c r="Q580" s="63">
        <f t="shared" ref="Q580:AB580" si="235">SUM(Q571:Q579)</f>
        <v>0</v>
      </c>
      <c r="R580" s="63">
        <f t="shared" si="235"/>
        <v>6212135.672551712</v>
      </c>
      <c r="S580" s="63">
        <f t="shared" si="235"/>
        <v>0</v>
      </c>
      <c r="T580" s="63">
        <f t="shared" si="235"/>
        <v>9536738.2354523409</v>
      </c>
      <c r="U580" s="63">
        <f t="shared" si="235"/>
        <v>15606193.407375533</v>
      </c>
      <c r="V580" s="63">
        <f t="shared" si="235"/>
        <v>2660836.9943457851</v>
      </c>
      <c r="W580" s="63">
        <f t="shared" si="235"/>
        <v>4546719.1268392131</v>
      </c>
      <c r="X580" s="63">
        <f t="shared" si="235"/>
        <v>3259675.1829248848</v>
      </c>
      <c r="Y580" s="63">
        <f t="shared" si="235"/>
        <v>1816968.7180794806</v>
      </c>
      <c r="Z580" s="63">
        <f t="shared" si="235"/>
        <v>1161717.0543709998</v>
      </c>
      <c r="AA580" s="63">
        <f t="shared" si="235"/>
        <v>1184750.9707206148</v>
      </c>
      <c r="AB580" s="63">
        <f t="shared" si="235"/>
        <v>3830233.2811966836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277122835.61762846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4.1">
      <c r="A582" s="65" t="s">
        <v>718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4.1">
      <c r="A583" s="65"/>
      <c r="B583" s="60" t="s">
        <v>681</v>
      </c>
      <c r="C583" s="94" t="s">
        <v>719</v>
      </c>
      <c r="D583" s="44" t="s">
        <v>616</v>
      </c>
      <c r="F583" s="76">
        <v>0</v>
      </c>
      <c r="H583" s="63">
        <f t="shared" ref="H583:Q586" si="236">IF(VLOOKUP($D583,$C$6:$AE$653,H$2,)=0,0,((VLOOKUP($D583,$C$6:$AE$653,H$2,)/VLOOKUP($D583,$C$6:$AE$653,4,))*$F583))</f>
        <v>0</v>
      </c>
      <c r="I583" s="63">
        <f t="shared" si="236"/>
        <v>0</v>
      </c>
      <c r="J583" s="63">
        <f t="shared" si="236"/>
        <v>0</v>
      </c>
      <c r="K583" s="63">
        <f t="shared" si="236"/>
        <v>0</v>
      </c>
      <c r="L583" s="63">
        <f t="shared" si="236"/>
        <v>0</v>
      </c>
      <c r="M583" s="63">
        <f t="shared" si="236"/>
        <v>0</v>
      </c>
      <c r="N583" s="63">
        <f t="shared" si="236"/>
        <v>0</v>
      </c>
      <c r="O583" s="63">
        <f t="shared" si="236"/>
        <v>0</v>
      </c>
      <c r="P583" s="63">
        <f t="shared" si="236"/>
        <v>0</v>
      </c>
      <c r="Q583" s="63">
        <f t="shared" si="236"/>
        <v>0</v>
      </c>
      <c r="R583" s="63">
        <f t="shared" ref="R583:AE586" si="237">IF(VLOOKUP($D583,$C$6:$AE$653,R$2,)=0,0,((VLOOKUP($D583,$C$6:$AE$653,R$2,)/VLOOKUP($D583,$C$6:$AE$653,4,))*$F583))</f>
        <v>0</v>
      </c>
      <c r="S583" s="63">
        <f t="shared" si="237"/>
        <v>0</v>
      </c>
      <c r="T583" s="63">
        <f t="shared" si="237"/>
        <v>0</v>
      </c>
      <c r="U583" s="63">
        <f t="shared" si="237"/>
        <v>0</v>
      </c>
      <c r="V583" s="63">
        <f t="shared" si="237"/>
        <v>0</v>
      </c>
      <c r="W583" s="63">
        <f t="shared" si="237"/>
        <v>0</v>
      </c>
      <c r="X583" s="63">
        <f t="shared" si="237"/>
        <v>0</v>
      </c>
      <c r="Y583" s="63">
        <f t="shared" si="237"/>
        <v>0</v>
      </c>
      <c r="Z583" s="63">
        <f t="shared" si="237"/>
        <v>0</v>
      </c>
      <c r="AA583" s="63">
        <f t="shared" si="237"/>
        <v>0</v>
      </c>
      <c r="AB583" s="63">
        <f t="shared" si="237"/>
        <v>0</v>
      </c>
      <c r="AC583" s="63">
        <f t="shared" si="237"/>
        <v>0</v>
      </c>
      <c r="AD583" s="63">
        <f t="shared" si="237"/>
        <v>0</v>
      </c>
      <c r="AE583" s="63">
        <f t="shared" si="237"/>
        <v>0</v>
      </c>
      <c r="AF583" s="63">
        <f>SUM(H583:AE583)</f>
        <v>0</v>
      </c>
      <c r="AG583" s="58" t="str">
        <f>IF(ABS(AF583-F583)&lt;1,"ok","err")</f>
        <v>ok</v>
      </c>
    </row>
    <row r="584" spans="1:33" ht="14.1">
      <c r="A584" s="65"/>
      <c r="B584" s="60" t="s">
        <v>1054</v>
      </c>
      <c r="C584" s="94" t="s">
        <v>720</v>
      </c>
      <c r="D584" s="44" t="s">
        <v>1085</v>
      </c>
      <c r="F584" s="79">
        <v>0</v>
      </c>
      <c r="H584" s="63">
        <f t="shared" si="236"/>
        <v>0</v>
      </c>
      <c r="I584" s="63">
        <f t="shared" si="236"/>
        <v>0</v>
      </c>
      <c r="J584" s="63">
        <f t="shared" si="236"/>
        <v>0</v>
      </c>
      <c r="K584" s="63">
        <f t="shared" si="236"/>
        <v>0</v>
      </c>
      <c r="L584" s="63">
        <f t="shared" si="236"/>
        <v>0</v>
      </c>
      <c r="M584" s="63">
        <f t="shared" si="236"/>
        <v>0</v>
      </c>
      <c r="N584" s="63">
        <f t="shared" si="236"/>
        <v>0</v>
      </c>
      <c r="O584" s="63">
        <f t="shared" si="236"/>
        <v>0</v>
      </c>
      <c r="P584" s="63">
        <f t="shared" si="236"/>
        <v>0</v>
      </c>
      <c r="Q584" s="63">
        <f t="shared" si="236"/>
        <v>0</v>
      </c>
      <c r="R584" s="63">
        <f t="shared" si="237"/>
        <v>0</v>
      </c>
      <c r="S584" s="63">
        <f t="shared" si="237"/>
        <v>0</v>
      </c>
      <c r="T584" s="63">
        <f t="shared" si="237"/>
        <v>0</v>
      </c>
      <c r="U584" s="63">
        <f t="shared" si="237"/>
        <v>0</v>
      </c>
      <c r="V584" s="63">
        <f t="shared" si="237"/>
        <v>0</v>
      </c>
      <c r="W584" s="63">
        <f t="shared" si="237"/>
        <v>0</v>
      </c>
      <c r="X584" s="63">
        <f t="shared" si="237"/>
        <v>0</v>
      </c>
      <c r="Y584" s="63">
        <f t="shared" si="237"/>
        <v>0</v>
      </c>
      <c r="Z584" s="63">
        <f t="shared" si="237"/>
        <v>0</v>
      </c>
      <c r="AA584" s="63">
        <f t="shared" si="237"/>
        <v>0</v>
      </c>
      <c r="AB584" s="63">
        <f t="shared" si="237"/>
        <v>0</v>
      </c>
      <c r="AC584" s="63">
        <f t="shared" si="237"/>
        <v>0</v>
      </c>
      <c r="AD584" s="63">
        <f t="shared" si="237"/>
        <v>0</v>
      </c>
      <c r="AE584" s="63">
        <f t="shared" si="237"/>
        <v>0</v>
      </c>
      <c r="AF584" s="63">
        <f>SUM(H584:AE584)</f>
        <v>0</v>
      </c>
      <c r="AG584" s="58" t="str">
        <f>IF(ABS(AF584-F584)&lt;1,"ok","err")</f>
        <v>ok</v>
      </c>
    </row>
    <row r="585" spans="1:33" ht="14.1">
      <c r="A585" s="65"/>
      <c r="B585" s="60" t="s">
        <v>862</v>
      </c>
      <c r="C585" s="94" t="s">
        <v>721</v>
      </c>
      <c r="D585" s="44" t="s">
        <v>859</v>
      </c>
      <c r="F585" s="79">
        <v>0</v>
      </c>
      <c r="H585" s="63">
        <f t="shared" si="236"/>
        <v>0</v>
      </c>
      <c r="I585" s="63">
        <f t="shared" si="236"/>
        <v>0</v>
      </c>
      <c r="J585" s="63">
        <f t="shared" si="236"/>
        <v>0</v>
      </c>
      <c r="K585" s="63">
        <f t="shared" si="236"/>
        <v>0</v>
      </c>
      <c r="L585" s="63">
        <f t="shared" si="236"/>
        <v>0</v>
      </c>
      <c r="M585" s="63">
        <f t="shared" si="236"/>
        <v>0</v>
      </c>
      <c r="N585" s="63">
        <f t="shared" si="236"/>
        <v>0</v>
      </c>
      <c r="O585" s="63">
        <f t="shared" si="236"/>
        <v>0</v>
      </c>
      <c r="P585" s="63">
        <f t="shared" si="236"/>
        <v>0</v>
      </c>
      <c r="Q585" s="63">
        <f t="shared" si="236"/>
        <v>0</v>
      </c>
      <c r="R585" s="63">
        <f t="shared" si="237"/>
        <v>0</v>
      </c>
      <c r="S585" s="63">
        <f t="shared" si="237"/>
        <v>0</v>
      </c>
      <c r="T585" s="63">
        <f t="shared" si="237"/>
        <v>0</v>
      </c>
      <c r="U585" s="63">
        <f t="shared" si="237"/>
        <v>0</v>
      </c>
      <c r="V585" s="63">
        <f t="shared" si="237"/>
        <v>0</v>
      </c>
      <c r="W585" s="63">
        <f t="shared" si="237"/>
        <v>0</v>
      </c>
      <c r="X585" s="63">
        <f t="shared" si="237"/>
        <v>0</v>
      </c>
      <c r="Y585" s="63">
        <f t="shared" si="237"/>
        <v>0</v>
      </c>
      <c r="Z585" s="63">
        <f t="shared" si="237"/>
        <v>0</v>
      </c>
      <c r="AA585" s="63">
        <f t="shared" si="237"/>
        <v>0</v>
      </c>
      <c r="AB585" s="63">
        <f t="shared" si="237"/>
        <v>0</v>
      </c>
      <c r="AC585" s="63">
        <f t="shared" si="237"/>
        <v>0</v>
      </c>
      <c r="AD585" s="63">
        <f t="shared" si="237"/>
        <v>0</v>
      </c>
      <c r="AE585" s="63">
        <f t="shared" si="237"/>
        <v>0</v>
      </c>
      <c r="AF585" s="63">
        <f>SUM(H585:AE585)</f>
        <v>0</v>
      </c>
      <c r="AG585" s="58" t="str">
        <f>IF(ABS(AF585-F585)&lt;1,"ok","err")</f>
        <v>ok</v>
      </c>
    </row>
    <row r="586" spans="1:33" ht="14.1">
      <c r="A586" s="65"/>
      <c r="B586" s="60" t="s">
        <v>682</v>
      </c>
      <c r="C586" s="94" t="s">
        <v>722</v>
      </c>
      <c r="D586" s="44" t="s">
        <v>882</v>
      </c>
      <c r="F586" s="79">
        <v>0</v>
      </c>
      <c r="H586" s="63">
        <f t="shared" si="236"/>
        <v>0</v>
      </c>
      <c r="I586" s="63">
        <f t="shared" si="236"/>
        <v>0</v>
      </c>
      <c r="J586" s="63">
        <f t="shared" si="236"/>
        <v>0</v>
      </c>
      <c r="K586" s="63">
        <f t="shared" si="236"/>
        <v>0</v>
      </c>
      <c r="L586" s="63">
        <f t="shared" si="236"/>
        <v>0</v>
      </c>
      <c r="M586" s="63">
        <f t="shared" si="236"/>
        <v>0</v>
      </c>
      <c r="N586" s="63">
        <f t="shared" si="236"/>
        <v>0</v>
      </c>
      <c r="O586" s="63">
        <f t="shared" si="236"/>
        <v>0</v>
      </c>
      <c r="P586" s="63">
        <f t="shared" si="236"/>
        <v>0</v>
      </c>
      <c r="Q586" s="63">
        <f t="shared" si="236"/>
        <v>0</v>
      </c>
      <c r="R586" s="63">
        <f t="shared" si="237"/>
        <v>0</v>
      </c>
      <c r="S586" s="63">
        <f t="shared" si="237"/>
        <v>0</v>
      </c>
      <c r="T586" s="63">
        <f t="shared" si="237"/>
        <v>0</v>
      </c>
      <c r="U586" s="63">
        <f t="shared" si="237"/>
        <v>0</v>
      </c>
      <c r="V586" s="63">
        <f t="shared" si="237"/>
        <v>0</v>
      </c>
      <c r="W586" s="63">
        <f t="shared" si="237"/>
        <v>0</v>
      </c>
      <c r="X586" s="63">
        <f t="shared" si="237"/>
        <v>0</v>
      </c>
      <c r="Y586" s="63">
        <f t="shared" si="237"/>
        <v>0</v>
      </c>
      <c r="Z586" s="63">
        <f t="shared" si="237"/>
        <v>0</v>
      </c>
      <c r="AA586" s="63">
        <f t="shared" si="237"/>
        <v>0</v>
      </c>
      <c r="AB586" s="63">
        <f t="shared" si="237"/>
        <v>0</v>
      </c>
      <c r="AC586" s="63">
        <f t="shared" si="237"/>
        <v>0</v>
      </c>
      <c r="AD586" s="63">
        <f t="shared" si="237"/>
        <v>0</v>
      </c>
      <c r="AE586" s="63">
        <f t="shared" si="237"/>
        <v>0</v>
      </c>
      <c r="AF586" s="63">
        <f>SUM(H586:AE586)</f>
        <v>0</v>
      </c>
      <c r="AG586" s="58" t="str">
        <f>IF(ABS(AF586-F586)&lt;1,"ok","err")</f>
        <v>ok</v>
      </c>
    </row>
    <row r="587" spans="1:33" ht="14.1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717</v>
      </c>
      <c r="B588" s="60"/>
      <c r="C588" s="94" t="s">
        <v>724</v>
      </c>
      <c r="F588" s="76">
        <f>SUM(F583:F587)</f>
        <v>0</v>
      </c>
      <c r="H588" s="62">
        <f t="shared" ref="H588:AE588" si="238">SUM(H583:H587)</f>
        <v>0</v>
      </c>
      <c r="I588" s="62">
        <f t="shared" si="238"/>
        <v>0</v>
      </c>
      <c r="J588" s="62">
        <f t="shared" si="238"/>
        <v>0</v>
      </c>
      <c r="K588" s="62">
        <f t="shared" si="238"/>
        <v>0</v>
      </c>
      <c r="L588" s="62">
        <f t="shared" si="238"/>
        <v>0</v>
      </c>
      <c r="M588" s="62">
        <f t="shared" si="238"/>
        <v>0</v>
      </c>
      <c r="N588" s="62">
        <f t="shared" si="238"/>
        <v>0</v>
      </c>
      <c r="O588" s="62">
        <f t="shared" si="238"/>
        <v>0</v>
      </c>
      <c r="P588" s="62">
        <f t="shared" si="238"/>
        <v>0</v>
      </c>
      <c r="Q588" s="62">
        <f t="shared" si="238"/>
        <v>0</v>
      </c>
      <c r="R588" s="62">
        <f t="shared" si="238"/>
        <v>0</v>
      </c>
      <c r="S588" s="62">
        <f t="shared" si="238"/>
        <v>0</v>
      </c>
      <c r="T588" s="62">
        <f t="shared" si="238"/>
        <v>0</v>
      </c>
      <c r="U588" s="62">
        <f t="shared" si="238"/>
        <v>0</v>
      </c>
      <c r="V588" s="62">
        <f t="shared" si="238"/>
        <v>0</v>
      </c>
      <c r="W588" s="62">
        <f t="shared" si="238"/>
        <v>0</v>
      </c>
      <c r="X588" s="62">
        <f t="shared" si="238"/>
        <v>0</v>
      </c>
      <c r="Y588" s="62">
        <f t="shared" si="238"/>
        <v>0</v>
      </c>
      <c r="Z588" s="62">
        <f t="shared" si="238"/>
        <v>0</v>
      </c>
      <c r="AA588" s="62">
        <f t="shared" si="238"/>
        <v>0</v>
      </c>
      <c r="AB588" s="62">
        <f t="shared" si="238"/>
        <v>0</v>
      </c>
      <c r="AC588" s="62">
        <f t="shared" si="238"/>
        <v>0</v>
      </c>
      <c r="AD588" s="62">
        <f t="shared" si="238"/>
        <v>0</v>
      </c>
      <c r="AE588" s="62">
        <f t="shared" si="238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4.1">
      <c r="A590" s="65" t="s">
        <v>688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4.1">
      <c r="A591" s="65"/>
      <c r="B591" s="60" t="s">
        <v>681</v>
      </c>
      <c r="C591" s="44" t="s">
        <v>689</v>
      </c>
      <c r="D591" s="44" t="s">
        <v>616</v>
      </c>
      <c r="F591" s="76">
        <v>0</v>
      </c>
      <c r="H591" s="63">
        <f t="shared" ref="H591:Q594" si="239">IF(VLOOKUP($D591,$C$6:$AE$653,H$2,)=0,0,((VLOOKUP($D591,$C$6:$AE$653,H$2,)/VLOOKUP($D591,$C$6:$AE$653,4,))*$F591))</f>
        <v>0</v>
      </c>
      <c r="I591" s="63">
        <f t="shared" si="239"/>
        <v>0</v>
      </c>
      <c r="J591" s="63">
        <f t="shared" si="239"/>
        <v>0</v>
      </c>
      <c r="K591" s="63">
        <f t="shared" si="239"/>
        <v>0</v>
      </c>
      <c r="L591" s="63">
        <f t="shared" si="239"/>
        <v>0</v>
      </c>
      <c r="M591" s="63">
        <f t="shared" si="239"/>
        <v>0</v>
      </c>
      <c r="N591" s="63">
        <f t="shared" si="239"/>
        <v>0</v>
      </c>
      <c r="O591" s="63">
        <f t="shared" si="239"/>
        <v>0</v>
      </c>
      <c r="P591" s="63">
        <f t="shared" si="239"/>
        <v>0</v>
      </c>
      <c r="Q591" s="63">
        <f t="shared" si="239"/>
        <v>0</v>
      </c>
      <c r="R591" s="63">
        <f t="shared" ref="R591:AE594" si="240">IF(VLOOKUP($D591,$C$6:$AE$653,R$2,)=0,0,((VLOOKUP($D591,$C$6:$AE$653,R$2,)/VLOOKUP($D591,$C$6:$AE$653,4,))*$F591))</f>
        <v>0</v>
      </c>
      <c r="S591" s="63">
        <f t="shared" si="240"/>
        <v>0</v>
      </c>
      <c r="T591" s="63">
        <f t="shared" si="240"/>
        <v>0</v>
      </c>
      <c r="U591" s="63">
        <f t="shared" si="240"/>
        <v>0</v>
      </c>
      <c r="V591" s="63">
        <f t="shared" si="240"/>
        <v>0</v>
      </c>
      <c r="W591" s="63">
        <f t="shared" si="240"/>
        <v>0</v>
      </c>
      <c r="X591" s="63">
        <f t="shared" si="240"/>
        <v>0</v>
      </c>
      <c r="Y591" s="63">
        <f t="shared" si="240"/>
        <v>0</v>
      </c>
      <c r="Z591" s="63">
        <f t="shared" si="240"/>
        <v>0</v>
      </c>
      <c r="AA591" s="63">
        <f t="shared" si="240"/>
        <v>0</v>
      </c>
      <c r="AB591" s="63">
        <f t="shared" si="240"/>
        <v>0</v>
      </c>
      <c r="AC591" s="63">
        <f t="shared" si="240"/>
        <v>0</v>
      </c>
      <c r="AD591" s="63">
        <f t="shared" si="240"/>
        <v>0</v>
      </c>
      <c r="AE591" s="63">
        <f t="shared" si="240"/>
        <v>0</v>
      </c>
      <c r="AF591" s="63">
        <f>SUM(H591:AE591)</f>
        <v>0</v>
      </c>
      <c r="AG591" s="58" t="str">
        <f>IF(ABS(AF591-F591)&lt;1,"ok","err")</f>
        <v>ok</v>
      </c>
    </row>
    <row r="592" spans="1:33" ht="14.1">
      <c r="A592" s="65"/>
      <c r="B592" s="60" t="s">
        <v>1054</v>
      </c>
      <c r="C592" s="44" t="s">
        <v>691</v>
      </c>
      <c r="D592" s="44" t="s">
        <v>1085</v>
      </c>
      <c r="F592" s="79">
        <v>0</v>
      </c>
      <c r="H592" s="63">
        <f t="shared" si="239"/>
        <v>0</v>
      </c>
      <c r="I592" s="63">
        <f t="shared" si="239"/>
        <v>0</v>
      </c>
      <c r="J592" s="63">
        <f t="shared" si="239"/>
        <v>0</v>
      </c>
      <c r="K592" s="63">
        <f t="shared" si="239"/>
        <v>0</v>
      </c>
      <c r="L592" s="63">
        <f t="shared" si="239"/>
        <v>0</v>
      </c>
      <c r="M592" s="63">
        <f t="shared" si="239"/>
        <v>0</v>
      </c>
      <c r="N592" s="63">
        <f t="shared" si="239"/>
        <v>0</v>
      </c>
      <c r="O592" s="63">
        <f t="shared" si="239"/>
        <v>0</v>
      </c>
      <c r="P592" s="63">
        <f t="shared" si="239"/>
        <v>0</v>
      </c>
      <c r="Q592" s="63">
        <f t="shared" si="239"/>
        <v>0</v>
      </c>
      <c r="R592" s="63">
        <f t="shared" si="240"/>
        <v>0</v>
      </c>
      <c r="S592" s="63">
        <f t="shared" si="240"/>
        <v>0</v>
      </c>
      <c r="T592" s="63">
        <f t="shared" si="240"/>
        <v>0</v>
      </c>
      <c r="U592" s="63">
        <f t="shared" si="240"/>
        <v>0</v>
      </c>
      <c r="V592" s="63">
        <f t="shared" si="240"/>
        <v>0</v>
      </c>
      <c r="W592" s="63">
        <f t="shared" si="240"/>
        <v>0</v>
      </c>
      <c r="X592" s="63">
        <f t="shared" si="240"/>
        <v>0</v>
      </c>
      <c r="Y592" s="63">
        <f t="shared" si="240"/>
        <v>0</v>
      </c>
      <c r="Z592" s="63">
        <f t="shared" si="240"/>
        <v>0</v>
      </c>
      <c r="AA592" s="63">
        <f t="shared" si="240"/>
        <v>0</v>
      </c>
      <c r="AB592" s="63">
        <f t="shared" si="240"/>
        <v>0</v>
      </c>
      <c r="AC592" s="63">
        <f t="shared" si="240"/>
        <v>0</v>
      </c>
      <c r="AD592" s="63">
        <f t="shared" si="240"/>
        <v>0</v>
      </c>
      <c r="AE592" s="63">
        <f t="shared" si="240"/>
        <v>0</v>
      </c>
      <c r="AF592" s="63">
        <f>SUM(H592:AE592)</f>
        <v>0</v>
      </c>
      <c r="AG592" s="58" t="str">
        <f>IF(ABS(AF592-F592)&lt;1,"ok","err")</f>
        <v>ok</v>
      </c>
    </row>
    <row r="593" spans="1:33" ht="14.1">
      <c r="A593" s="65"/>
      <c r="B593" s="60" t="s">
        <v>862</v>
      </c>
      <c r="C593" s="44" t="s">
        <v>690</v>
      </c>
      <c r="D593" s="44" t="s">
        <v>859</v>
      </c>
      <c r="F593" s="79">
        <v>0</v>
      </c>
      <c r="H593" s="63">
        <f t="shared" si="239"/>
        <v>0</v>
      </c>
      <c r="I593" s="63">
        <f t="shared" si="239"/>
        <v>0</v>
      </c>
      <c r="J593" s="63">
        <f t="shared" si="239"/>
        <v>0</v>
      </c>
      <c r="K593" s="63">
        <f t="shared" si="239"/>
        <v>0</v>
      </c>
      <c r="L593" s="63">
        <f t="shared" si="239"/>
        <v>0</v>
      </c>
      <c r="M593" s="63">
        <f t="shared" si="239"/>
        <v>0</v>
      </c>
      <c r="N593" s="63">
        <f t="shared" si="239"/>
        <v>0</v>
      </c>
      <c r="O593" s="63">
        <f t="shared" si="239"/>
        <v>0</v>
      </c>
      <c r="P593" s="63">
        <f t="shared" si="239"/>
        <v>0</v>
      </c>
      <c r="Q593" s="63">
        <f t="shared" si="239"/>
        <v>0</v>
      </c>
      <c r="R593" s="63">
        <f t="shared" si="240"/>
        <v>0</v>
      </c>
      <c r="S593" s="63">
        <f t="shared" si="240"/>
        <v>0</v>
      </c>
      <c r="T593" s="63">
        <f t="shared" si="240"/>
        <v>0</v>
      </c>
      <c r="U593" s="63">
        <f t="shared" si="240"/>
        <v>0</v>
      </c>
      <c r="V593" s="63">
        <f t="shared" si="240"/>
        <v>0</v>
      </c>
      <c r="W593" s="63">
        <f t="shared" si="240"/>
        <v>0</v>
      </c>
      <c r="X593" s="63">
        <f t="shared" si="240"/>
        <v>0</v>
      </c>
      <c r="Y593" s="63">
        <f t="shared" si="240"/>
        <v>0</v>
      </c>
      <c r="Z593" s="63">
        <f t="shared" si="240"/>
        <v>0</v>
      </c>
      <c r="AA593" s="63">
        <f t="shared" si="240"/>
        <v>0</v>
      </c>
      <c r="AB593" s="63">
        <f t="shared" si="240"/>
        <v>0</v>
      </c>
      <c r="AC593" s="63">
        <f t="shared" si="240"/>
        <v>0</v>
      </c>
      <c r="AD593" s="63">
        <f t="shared" si="240"/>
        <v>0</v>
      </c>
      <c r="AE593" s="63">
        <f t="shared" si="240"/>
        <v>0</v>
      </c>
      <c r="AF593" s="63">
        <f>SUM(H593:AE593)</f>
        <v>0</v>
      </c>
      <c r="AG593" s="58" t="str">
        <f>IF(ABS(AF593-F593)&lt;1,"ok","err")</f>
        <v>ok</v>
      </c>
    </row>
    <row r="594" spans="1:33" ht="14.1">
      <c r="A594" s="65"/>
      <c r="B594" s="60" t="s">
        <v>682</v>
      </c>
      <c r="C594" s="94" t="s">
        <v>723</v>
      </c>
      <c r="D594" s="44" t="s">
        <v>882</v>
      </c>
      <c r="F594" s="79">
        <v>0</v>
      </c>
      <c r="H594" s="63">
        <f t="shared" si="239"/>
        <v>0</v>
      </c>
      <c r="I594" s="63">
        <f t="shared" si="239"/>
        <v>0</v>
      </c>
      <c r="J594" s="63">
        <f t="shared" si="239"/>
        <v>0</v>
      </c>
      <c r="K594" s="63">
        <f t="shared" si="239"/>
        <v>0</v>
      </c>
      <c r="L594" s="63">
        <f t="shared" si="239"/>
        <v>0</v>
      </c>
      <c r="M594" s="63">
        <f t="shared" si="239"/>
        <v>0</v>
      </c>
      <c r="N594" s="63">
        <f t="shared" si="239"/>
        <v>0</v>
      </c>
      <c r="O594" s="63">
        <f t="shared" si="239"/>
        <v>0</v>
      </c>
      <c r="P594" s="63">
        <f t="shared" si="239"/>
        <v>0</v>
      </c>
      <c r="Q594" s="63">
        <f t="shared" si="239"/>
        <v>0</v>
      </c>
      <c r="R594" s="63">
        <f t="shared" si="240"/>
        <v>0</v>
      </c>
      <c r="S594" s="63">
        <f t="shared" si="240"/>
        <v>0</v>
      </c>
      <c r="T594" s="63">
        <f t="shared" si="240"/>
        <v>0</v>
      </c>
      <c r="U594" s="63">
        <f t="shared" si="240"/>
        <v>0</v>
      </c>
      <c r="V594" s="63">
        <f t="shared" si="240"/>
        <v>0</v>
      </c>
      <c r="W594" s="63">
        <f t="shared" si="240"/>
        <v>0</v>
      </c>
      <c r="X594" s="63">
        <f t="shared" si="240"/>
        <v>0</v>
      </c>
      <c r="Y594" s="63">
        <f t="shared" si="240"/>
        <v>0</v>
      </c>
      <c r="Z594" s="63">
        <f t="shared" si="240"/>
        <v>0</v>
      </c>
      <c r="AA594" s="63">
        <f t="shared" si="240"/>
        <v>0</v>
      </c>
      <c r="AB594" s="63">
        <f t="shared" si="240"/>
        <v>0</v>
      </c>
      <c r="AC594" s="63">
        <f t="shared" si="240"/>
        <v>0</v>
      </c>
      <c r="AD594" s="63">
        <f t="shared" si="240"/>
        <v>0</v>
      </c>
      <c r="AE594" s="63">
        <f t="shared" si="240"/>
        <v>0</v>
      </c>
      <c r="AF594" s="63">
        <f>SUM(H594:AE594)</f>
        <v>0</v>
      </c>
      <c r="AG594" s="58" t="str">
        <f>IF(ABS(AF594-F594)&lt;1,"ok","err")</f>
        <v>ok</v>
      </c>
    </row>
    <row r="595" spans="1:33" ht="14.1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692</v>
      </c>
      <c r="B596" s="60"/>
      <c r="C596" s="44" t="s">
        <v>694</v>
      </c>
      <c r="F596" s="76">
        <f>SUM(F591:F595)</f>
        <v>0</v>
      </c>
      <c r="H596" s="62">
        <f>SUM(H591:H595)</f>
        <v>0</v>
      </c>
      <c r="I596" s="62">
        <f t="shared" ref="I596:W596" si="241">SUM(I591:I595)</f>
        <v>0</v>
      </c>
      <c r="J596" s="62">
        <f t="shared" si="241"/>
        <v>0</v>
      </c>
      <c r="K596" s="62">
        <f t="shared" si="241"/>
        <v>0</v>
      </c>
      <c r="L596" s="62">
        <f t="shared" si="241"/>
        <v>0</v>
      </c>
      <c r="M596" s="62">
        <f t="shared" si="241"/>
        <v>0</v>
      </c>
      <c r="N596" s="62">
        <f t="shared" si="241"/>
        <v>0</v>
      </c>
      <c r="O596" s="62">
        <f t="shared" si="241"/>
        <v>0</v>
      </c>
      <c r="P596" s="62">
        <f t="shared" si="241"/>
        <v>0</v>
      </c>
      <c r="Q596" s="62">
        <f t="shared" si="241"/>
        <v>0</v>
      </c>
      <c r="R596" s="62">
        <f t="shared" si="241"/>
        <v>0</v>
      </c>
      <c r="S596" s="62">
        <f t="shared" si="241"/>
        <v>0</v>
      </c>
      <c r="T596" s="62">
        <f t="shared" si="241"/>
        <v>0</v>
      </c>
      <c r="U596" s="62">
        <f t="shared" si="241"/>
        <v>0</v>
      </c>
      <c r="V596" s="62">
        <f t="shared" si="241"/>
        <v>0</v>
      </c>
      <c r="W596" s="62">
        <f t="shared" si="241"/>
        <v>0</v>
      </c>
      <c r="X596" s="62">
        <f t="shared" ref="X596:AE596" si="242">SUM(X591:X595)</f>
        <v>0</v>
      </c>
      <c r="Y596" s="62">
        <f t="shared" si="242"/>
        <v>0</v>
      </c>
      <c r="Z596" s="62">
        <f t="shared" si="242"/>
        <v>0</v>
      </c>
      <c r="AA596" s="62">
        <f t="shared" si="242"/>
        <v>0</v>
      </c>
      <c r="AB596" s="62">
        <f t="shared" si="242"/>
        <v>0</v>
      </c>
      <c r="AC596" s="62">
        <f t="shared" si="242"/>
        <v>0</v>
      </c>
      <c r="AD596" s="62">
        <f t="shared" si="242"/>
        <v>0</v>
      </c>
      <c r="AE596" s="62">
        <f t="shared" si="242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614</v>
      </c>
      <c r="B598" s="60"/>
      <c r="C598" s="44" t="s">
        <v>998</v>
      </c>
      <c r="D598" s="44" t="s">
        <v>892</v>
      </c>
      <c r="F598" s="173">
        <f>42949138.113755-612416</f>
        <v>42336722.113755003</v>
      </c>
      <c r="H598" s="63">
        <f t="shared" ref="H598:AE598" si="243">IF(VLOOKUP($D598,$C$6:$AE$653,H$2,)=0,0,((VLOOKUP($D598,$C$6:$AE$653,H$2,)/VLOOKUP($D598,$C$6:$AE$653,4,))*$F598))</f>
        <v>25721710.883164674</v>
      </c>
      <c r="I598" s="63">
        <f t="shared" si="243"/>
        <v>0</v>
      </c>
      <c r="J598" s="63">
        <f t="shared" si="243"/>
        <v>0</v>
      </c>
      <c r="K598" s="63">
        <f t="shared" si="243"/>
        <v>0</v>
      </c>
      <c r="L598" s="63">
        <f t="shared" si="243"/>
        <v>0</v>
      </c>
      <c r="M598" s="63">
        <f t="shared" si="243"/>
        <v>0</v>
      </c>
      <c r="N598" s="63">
        <f t="shared" si="243"/>
        <v>4076188.9791705641</v>
      </c>
      <c r="O598" s="63">
        <f t="shared" si="243"/>
        <v>0</v>
      </c>
      <c r="P598" s="63">
        <f t="shared" si="243"/>
        <v>0</v>
      </c>
      <c r="Q598" s="63">
        <f t="shared" si="243"/>
        <v>0</v>
      </c>
      <c r="R598" s="63">
        <f t="shared" si="243"/>
        <v>1563612.3741103811</v>
      </c>
      <c r="S598" s="63">
        <f t="shared" si="243"/>
        <v>0</v>
      </c>
      <c r="T598" s="63">
        <f t="shared" si="243"/>
        <v>2400424.3789285575</v>
      </c>
      <c r="U598" s="63">
        <f t="shared" si="243"/>
        <v>3928123.6616180972</v>
      </c>
      <c r="V598" s="63">
        <f t="shared" si="243"/>
        <v>669740.30657974328</v>
      </c>
      <c r="W598" s="63">
        <f t="shared" si="243"/>
        <v>1144422.2507474481</v>
      </c>
      <c r="X598" s="63">
        <f t="shared" si="243"/>
        <v>820469.59697328508</v>
      </c>
      <c r="Y598" s="63">
        <f t="shared" si="243"/>
        <v>457336.24001704424</v>
      </c>
      <c r="Z598" s="63">
        <f t="shared" si="243"/>
        <v>292407.51605855033</v>
      </c>
      <c r="AA598" s="63">
        <f t="shared" si="243"/>
        <v>298205.21889810968</v>
      </c>
      <c r="AB598" s="63">
        <f t="shared" si="243"/>
        <v>964080.7074885543</v>
      </c>
      <c r="AC598" s="63">
        <f t="shared" si="243"/>
        <v>0</v>
      </c>
      <c r="AD598" s="63">
        <f t="shared" si="243"/>
        <v>0</v>
      </c>
      <c r="AE598" s="63">
        <f t="shared" si="243"/>
        <v>0</v>
      </c>
      <c r="AF598" s="63">
        <f>SUM(H598:AE598)</f>
        <v>42336722.11375501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685</v>
      </c>
      <c r="B600" s="60"/>
      <c r="C600" s="44" t="s">
        <v>515</v>
      </c>
      <c r="D600" s="44" t="s">
        <v>892</v>
      </c>
      <c r="F600" s="173">
        <v>-916996</v>
      </c>
      <c r="G600" s="62">
        <v>600157</v>
      </c>
      <c r="H600" s="63">
        <f t="shared" ref="H600:AE600" si="244">IF(VLOOKUP($D600,$C$6:$AE$653,H$2,)=0,0,((VLOOKUP($D600,$C$6:$AE$653,H$2,)/VLOOKUP($D600,$C$6:$AE$653,4,))*$F600))</f>
        <v>-557121.68574702344</v>
      </c>
      <c r="I600" s="63">
        <f t="shared" si="244"/>
        <v>0</v>
      </c>
      <c r="J600" s="63">
        <f t="shared" si="244"/>
        <v>0</v>
      </c>
      <c r="K600" s="63">
        <f t="shared" si="244"/>
        <v>0</v>
      </c>
      <c r="L600" s="63">
        <f t="shared" si="244"/>
        <v>0</v>
      </c>
      <c r="M600" s="63">
        <f t="shared" si="244"/>
        <v>0</v>
      </c>
      <c r="N600" s="63">
        <f t="shared" si="244"/>
        <v>-88288.577918248455</v>
      </c>
      <c r="O600" s="63">
        <f t="shared" si="244"/>
        <v>0</v>
      </c>
      <c r="P600" s="63">
        <f t="shared" si="244"/>
        <v>0</v>
      </c>
      <c r="Q600" s="63">
        <f t="shared" si="244"/>
        <v>0</v>
      </c>
      <c r="R600" s="63">
        <f t="shared" si="244"/>
        <v>-33867.201356712489</v>
      </c>
      <c r="S600" s="63">
        <f t="shared" si="244"/>
        <v>0</v>
      </c>
      <c r="T600" s="63">
        <f t="shared" si="244"/>
        <v>-51992.205439655867</v>
      </c>
      <c r="U600" s="63">
        <f t="shared" si="244"/>
        <v>-85081.543996974957</v>
      </c>
      <c r="V600" s="63">
        <f t="shared" si="244"/>
        <v>-14506.2997678997</v>
      </c>
      <c r="W600" s="63">
        <f t="shared" si="244"/>
        <v>-24787.715577665182</v>
      </c>
      <c r="X600" s="63">
        <f t="shared" si="244"/>
        <v>-17771.034245980842</v>
      </c>
      <c r="Y600" s="63">
        <f t="shared" si="244"/>
        <v>-9905.7149871887777</v>
      </c>
      <c r="Z600" s="63">
        <f t="shared" si="244"/>
        <v>-6333.4266142562346</v>
      </c>
      <c r="AA600" s="63">
        <f t="shared" si="244"/>
        <v>-6459.0024748242704</v>
      </c>
      <c r="AB600" s="63">
        <f t="shared" si="244"/>
        <v>-20881.59187356992</v>
      </c>
      <c r="AC600" s="63">
        <f t="shared" si="244"/>
        <v>0</v>
      </c>
      <c r="AD600" s="63">
        <f t="shared" si="244"/>
        <v>0</v>
      </c>
      <c r="AE600" s="63">
        <f t="shared" si="244"/>
        <v>0</v>
      </c>
      <c r="AF600" s="63">
        <f>SUM(H600:AE600)</f>
        <v>-916996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716</v>
      </c>
      <c r="B602" s="60"/>
      <c r="C602" s="44" t="s">
        <v>999</v>
      </c>
      <c r="D602" s="44" t="s">
        <v>892</v>
      </c>
      <c r="F602" s="76">
        <v>0</v>
      </c>
      <c r="G602" s="62">
        <v>600157</v>
      </c>
      <c r="H602" s="63">
        <f t="shared" ref="H602:AE602" si="245">IF(VLOOKUP($D602,$C$6:$AE$653,H$2,)=0,0,((VLOOKUP($D602,$C$6:$AE$653,H$2,)/VLOOKUP($D602,$C$6:$AE$653,4,))*$F602))</f>
        <v>0</v>
      </c>
      <c r="I602" s="63">
        <f t="shared" si="245"/>
        <v>0</v>
      </c>
      <c r="J602" s="63">
        <f t="shared" si="245"/>
        <v>0</v>
      </c>
      <c r="K602" s="63">
        <f t="shared" si="245"/>
        <v>0</v>
      </c>
      <c r="L602" s="63">
        <f t="shared" si="245"/>
        <v>0</v>
      </c>
      <c r="M602" s="63">
        <f t="shared" si="245"/>
        <v>0</v>
      </c>
      <c r="N602" s="63">
        <f t="shared" si="245"/>
        <v>0</v>
      </c>
      <c r="O602" s="63">
        <f t="shared" si="245"/>
        <v>0</v>
      </c>
      <c r="P602" s="63">
        <f t="shared" si="245"/>
        <v>0</v>
      </c>
      <c r="Q602" s="63">
        <f t="shared" si="245"/>
        <v>0</v>
      </c>
      <c r="R602" s="63">
        <f t="shared" si="245"/>
        <v>0</v>
      </c>
      <c r="S602" s="63">
        <f t="shared" si="245"/>
        <v>0</v>
      </c>
      <c r="T602" s="63">
        <f t="shared" si="245"/>
        <v>0</v>
      </c>
      <c r="U602" s="63">
        <f t="shared" si="245"/>
        <v>0</v>
      </c>
      <c r="V602" s="63">
        <f t="shared" si="245"/>
        <v>0</v>
      </c>
      <c r="W602" s="63">
        <f t="shared" si="245"/>
        <v>0</v>
      </c>
      <c r="X602" s="63">
        <f t="shared" si="245"/>
        <v>0</v>
      </c>
      <c r="Y602" s="63">
        <f t="shared" si="245"/>
        <v>0</v>
      </c>
      <c r="Z602" s="63">
        <f t="shared" si="245"/>
        <v>0</v>
      </c>
      <c r="AA602" s="63">
        <f t="shared" si="245"/>
        <v>0</v>
      </c>
      <c r="AB602" s="63">
        <f t="shared" si="245"/>
        <v>0</v>
      </c>
      <c r="AC602" s="63">
        <f t="shared" si="245"/>
        <v>0</v>
      </c>
      <c r="AD602" s="63">
        <f t="shared" si="245"/>
        <v>0</v>
      </c>
      <c r="AE602" s="63">
        <f t="shared" si="245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808</v>
      </c>
      <c r="B604" s="60"/>
      <c r="C604" s="44" t="s">
        <v>1000</v>
      </c>
      <c r="D604" s="44" t="s">
        <v>892</v>
      </c>
      <c r="F604" s="173">
        <v>75433705.043134421</v>
      </c>
      <c r="H604" s="63">
        <f t="shared" ref="H604:AE604" si="246">IF(VLOOKUP($D604,$C$6:$AE$653,H$2,)=0,0,((VLOOKUP($D604,$C$6:$AE$653,H$2,)/VLOOKUP($D604,$C$6:$AE$653,4,))*$F604))</f>
        <v>45829810.507106677</v>
      </c>
      <c r="I604" s="63">
        <f t="shared" si="246"/>
        <v>0</v>
      </c>
      <c r="J604" s="63">
        <f t="shared" si="246"/>
        <v>0</v>
      </c>
      <c r="K604" s="63">
        <f t="shared" si="246"/>
        <v>0</v>
      </c>
      <c r="L604" s="63">
        <f t="shared" si="246"/>
        <v>0</v>
      </c>
      <c r="M604" s="63">
        <f t="shared" si="246"/>
        <v>0</v>
      </c>
      <c r="N604" s="63">
        <f t="shared" si="246"/>
        <v>7262773.8238366842</v>
      </c>
      <c r="O604" s="63">
        <f t="shared" si="246"/>
        <v>0</v>
      </c>
      <c r="P604" s="63">
        <f t="shared" si="246"/>
        <v>0</v>
      </c>
      <c r="Q604" s="63">
        <f t="shared" si="246"/>
        <v>0</v>
      </c>
      <c r="R604" s="63">
        <f t="shared" si="246"/>
        <v>2785975.5961625697</v>
      </c>
      <c r="S604" s="63">
        <f t="shared" si="246"/>
        <v>0</v>
      </c>
      <c r="T604" s="63">
        <f t="shared" si="246"/>
        <v>4276970.3353962824</v>
      </c>
      <c r="U604" s="63">
        <f t="shared" si="246"/>
        <v>6998957.5684978701</v>
      </c>
      <c r="V604" s="63">
        <f t="shared" si="246"/>
        <v>1193313.7526870731</v>
      </c>
      <c r="W604" s="63">
        <f t="shared" si="246"/>
        <v>2039081.1143982129</v>
      </c>
      <c r="X604" s="63">
        <f t="shared" si="246"/>
        <v>1461876.5573925725</v>
      </c>
      <c r="Y604" s="63">
        <f t="shared" si="246"/>
        <v>814861.55074281059</v>
      </c>
      <c r="Z604" s="63">
        <f t="shared" si="246"/>
        <v>520998.82129490451</v>
      </c>
      <c r="AA604" s="63">
        <f t="shared" si="246"/>
        <v>531328.91262204992</v>
      </c>
      <c r="AB604" s="63">
        <f t="shared" si="246"/>
        <v>1717756.5029967262</v>
      </c>
      <c r="AC604" s="63">
        <f t="shared" si="246"/>
        <v>0</v>
      </c>
      <c r="AD604" s="63">
        <f t="shared" si="246"/>
        <v>0</v>
      </c>
      <c r="AE604" s="63">
        <f t="shared" si="246"/>
        <v>0</v>
      </c>
      <c r="AF604" s="63">
        <f>SUM(H604:AE604)</f>
        <v>75433705.043134421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1001</v>
      </c>
      <c r="B606" s="60"/>
      <c r="C606" s="44" t="s">
        <v>1002</v>
      </c>
      <c r="D606" s="44" t="s">
        <v>892</v>
      </c>
      <c r="F606" s="173">
        <v>0</v>
      </c>
      <c r="H606" s="63">
        <f t="shared" ref="H606:AE606" si="247">IF(VLOOKUP($D606,$C$6:$AE$653,H$2,)=0,0,((VLOOKUP($D606,$C$6:$AE$653,H$2,)/VLOOKUP($D606,$C$6:$AE$653,4,))*$F606))</f>
        <v>0</v>
      </c>
      <c r="I606" s="63">
        <f t="shared" si="247"/>
        <v>0</v>
      </c>
      <c r="J606" s="63">
        <f t="shared" si="247"/>
        <v>0</v>
      </c>
      <c r="K606" s="63">
        <f t="shared" si="247"/>
        <v>0</v>
      </c>
      <c r="L606" s="63">
        <f t="shared" si="247"/>
        <v>0</v>
      </c>
      <c r="M606" s="63">
        <f t="shared" si="247"/>
        <v>0</v>
      </c>
      <c r="N606" s="63">
        <f t="shared" si="247"/>
        <v>0</v>
      </c>
      <c r="O606" s="63">
        <f t="shared" si="247"/>
        <v>0</v>
      </c>
      <c r="P606" s="63">
        <f t="shared" si="247"/>
        <v>0</v>
      </c>
      <c r="Q606" s="63">
        <f t="shared" si="247"/>
        <v>0</v>
      </c>
      <c r="R606" s="63">
        <f t="shared" si="247"/>
        <v>0</v>
      </c>
      <c r="S606" s="63">
        <f t="shared" si="247"/>
        <v>0</v>
      </c>
      <c r="T606" s="63">
        <f t="shared" si="247"/>
        <v>0</v>
      </c>
      <c r="U606" s="63">
        <f t="shared" si="247"/>
        <v>0</v>
      </c>
      <c r="V606" s="63">
        <f t="shared" si="247"/>
        <v>0</v>
      </c>
      <c r="W606" s="63">
        <f t="shared" si="247"/>
        <v>0</v>
      </c>
      <c r="X606" s="63">
        <f t="shared" si="247"/>
        <v>0</v>
      </c>
      <c r="Y606" s="63">
        <f t="shared" si="247"/>
        <v>0</v>
      </c>
      <c r="Z606" s="63">
        <f t="shared" si="247"/>
        <v>0</v>
      </c>
      <c r="AA606" s="63">
        <f t="shared" si="247"/>
        <v>0</v>
      </c>
      <c r="AB606" s="63">
        <f t="shared" si="247"/>
        <v>0</v>
      </c>
      <c r="AC606" s="63">
        <f t="shared" si="247"/>
        <v>0</v>
      </c>
      <c r="AD606" s="63">
        <f t="shared" si="247"/>
        <v>0</v>
      </c>
      <c r="AE606" s="63">
        <f t="shared" si="247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4.1">
      <c r="A608" s="65" t="s">
        <v>1003</v>
      </c>
      <c r="B608" s="60"/>
      <c r="C608" s="44" t="s">
        <v>1004</v>
      </c>
      <c r="F608" s="80">
        <f>F580+F588+F596+F598+F600+F602+F604+F606</f>
        <v>393976266.77451777</v>
      </c>
      <c r="G608" s="64"/>
      <c r="H608" s="80">
        <f t="shared" ref="H608:AE608" si="248">H580+H588+H596+H598+H600+H602+H604+H606</f>
        <v>283727471.81559622</v>
      </c>
      <c r="I608" s="80">
        <f t="shared" si="248"/>
        <v>0</v>
      </c>
      <c r="J608" s="80">
        <f t="shared" si="248"/>
        <v>0</v>
      </c>
      <c r="K608" s="80">
        <f t="shared" si="248"/>
        <v>0</v>
      </c>
      <c r="L608" s="80">
        <f t="shared" si="248"/>
        <v>0</v>
      </c>
      <c r="M608" s="80">
        <f t="shared" si="248"/>
        <v>0</v>
      </c>
      <c r="N608" s="80">
        <f t="shared" si="248"/>
        <v>25824469.087788243</v>
      </c>
      <c r="O608" s="80">
        <f t="shared" si="248"/>
        <v>0</v>
      </c>
      <c r="P608" s="80">
        <f t="shared" si="248"/>
        <v>0</v>
      </c>
      <c r="Q608" s="80">
        <f t="shared" si="248"/>
        <v>0</v>
      </c>
      <c r="R608" s="80">
        <f t="shared" si="248"/>
        <v>10527856.44146795</v>
      </c>
      <c r="S608" s="80">
        <f t="shared" si="248"/>
        <v>0</v>
      </c>
      <c r="T608" s="80">
        <f t="shared" si="248"/>
        <v>16162140.744337525</v>
      </c>
      <c r="U608" s="80">
        <f t="shared" si="248"/>
        <v>26448193.093494527</v>
      </c>
      <c r="V608" s="80">
        <f t="shared" si="248"/>
        <v>4509384.7538447017</v>
      </c>
      <c r="W608" s="80">
        <f t="shared" si="248"/>
        <v>7705434.7764072092</v>
      </c>
      <c r="X608" s="80">
        <f t="shared" si="248"/>
        <v>5524250.3030447615</v>
      </c>
      <c r="Y608" s="80">
        <f t="shared" si="248"/>
        <v>3079260.7938521467</v>
      </c>
      <c r="Z608" s="80">
        <f t="shared" si="248"/>
        <v>1968789.9651101981</v>
      </c>
      <c r="AA608" s="80">
        <f t="shared" si="248"/>
        <v>2007826.0997659501</v>
      </c>
      <c r="AB608" s="80">
        <f t="shared" si="248"/>
        <v>6491188.8998083938</v>
      </c>
      <c r="AC608" s="80">
        <f t="shared" si="248"/>
        <v>0</v>
      </c>
      <c r="AD608" s="80">
        <f t="shared" si="248"/>
        <v>0</v>
      </c>
      <c r="AE608" s="80">
        <f t="shared" si="248"/>
        <v>0</v>
      </c>
      <c r="AF608" s="63">
        <f>SUM(H608:AE608)</f>
        <v>393976266.77451771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4.1">
      <c r="A610" s="65" t="s">
        <v>1084</v>
      </c>
      <c r="B610" s="60"/>
      <c r="F610" s="80">
        <f>F333+F608</f>
        <v>1037412928.0158303</v>
      </c>
      <c r="G610" s="64">
        <f t="shared" ref="G610:AE610" si="249">G333+G608</f>
        <v>0</v>
      </c>
      <c r="H610" s="64">
        <f t="shared" si="249"/>
        <v>395685570.0308311</v>
      </c>
      <c r="I610" s="64">
        <f t="shared" si="249"/>
        <v>0</v>
      </c>
      <c r="J610" s="64">
        <f t="shared" si="249"/>
        <v>0</v>
      </c>
      <c r="K610" s="64">
        <f t="shared" si="249"/>
        <v>397495518.54181111</v>
      </c>
      <c r="L610" s="64">
        <f t="shared" si="249"/>
        <v>0</v>
      </c>
      <c r="M610" s="64">
        <f t="shared" si="249"/>
        <v>0</v>
      </c>
      <c r="N610" s="64">
        <f t="shared" si="249"/>
        <v>60290462.199914575</v>
      </c>
      <c r="O610" s="64">
        <f t="shared" si="249"/>
        <v>0</v>
      </c>
      <c r="P610" s="64">
        <f t="shared" si="249"/>
        <v>0</v>
      </c>
      <c r="Q610" s="64">
        <f t="shared" si="249"/>
        <v>0</v>
      </c>
      <c r="R610" s="64">
        <f t="shared" si="249"/>
        <v>18602235.093585499</v>
      </c>
      <c r="S610" s="64">
        <f t="shared" si="249"/>
        <v>0</v>
      </c>
      <c r="T610" s="64">
        <f t="shared" si="249"/>
        <v>29362315.544825345</v>
      </c>
      <c r="U610" s="64">
        <f t="shared" si="249"/>
        <v>48540916.758069448</v>
      </c>
      <c r="V610" s="64">
        <f t="shared" si="249"/>
        <v>8678513.5606606212</v>
      </c>
      <c r="W610" s="64">
        <f t="shared" si="249"/>
        <v>14929225.615540747</v>
      </c>
      <c r="X610" s="64">
        <f t="shared" si="249"/>
        <v>6641279.5213026498</v>
      </c>
      <c r="Y610" s="64">
        <f t="shared" si="249"/>
        <v>3701901.7113849809</v>
      </c>
      <c r="Z610" s="64">
        <f t="shared" si="249"/>
        <v>2301702.5436082552</v>
      </c>
      <c r="AA610" s="64">
        <f t="shared" si="249"/>
        <v>15926141.35749062</v>
      </c>
      <c r="AB610" s="64">
        <f t="shared" si="249"/>
        <v>8165124.3716460401</v>
      </c>
      <c r="AC610" s="64">
        <f t="shared" si="249"/>
        <v>22203327.895651627</v>
      </c>
      <c r="AD610" s="64">
        <f t="shared" si="249"/>
        <v>4888693.2695076521</v>
      </c>
      <c r="AE610" s="64">
        <f t="shared" si="249"/>
        <v>0</v>
      </c>
      <c r="AF610" s="63">
        <f>SUM(H610:AE610)</f>
        <v>1037412928.0158303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4.1">
      <c r="A614" s="59" t="s">
        <v>1215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847</v>
      </c>
      <c r="C616" s="60" t="s">
        <v>864</v>
      </c>
      <c r="F616" s="81">
        <v>1</v>
      </c>
      <c r="G616" s="81"/>
      <c r="H616" s="230">
        <v>0</v>
      </c>
      <c r="I616" s="230">
        <v>0</v>
      </c>
      <c r="J616" s="230">
        <v>0</v>
      </c>
      <c r="K616" s="230">
        <v>0</v>
      </c>
      <c r="L616" s="230">
        <v>0</v>
      </c>
      <c r="M616" s="230">
        <v>0</v>
      </c>
      <c r="N616" s="230">
        <v>0</v>
      </c>
      <c r="O616" s="230">
        <v>0</v>
      </c>
      <c r="P616" s="230">
        <v>0</v>
      </c>
      <c r="Q616" s="230">
        <v>0</v>
      </c>
      <c r="R616" s="230">
        <v>1</v>
      </c>
      <c r="S616" s="230">
        <v>0</v>
      </c>
      <c r="T616" s="230">
        <v>0</v>
      </c>
      <c r="U616" s="230">
        <v>0</v>
      </c>
      <c r="V616" s="230">
        <v>0</v>
      </c>
      <c r="W616" s="230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30">
        <f>SUM(H616:AE616)</f>
        <v>1</v>
      </c>
      <c r="AG616" s="93" t="str">
        <f t="shared" ref="AG616:AG640" si="250">IF(ABS(AF616-F616)&lt;0.0000001,"ok","err")</f>
        <v>ok</v>
      </c>
    </row>
    <row r="617" spans="1:34" s="60" customFormat="1">
      <c r="A617" s="60" t="s">
        <v>1005</v>
      </c>
      <c r="C617" s="60" t="s">
        <v>865</v>
      </c>
      <c r="F617" s="81">
        <v>1</v>
      </c>
      <c r="G617" s="81"/>
      <c r="H617" s="230">
        <v>0</v>
      </c>
      <c r="I617" s="230">
        <v>0</v>
      </c>
      <c r="J617" s="230">
        <v>0</v>
      </c>
      <c r="K617" s="230">
        <v>0</v>
      </c>
      <c r="L617" s="230">
        <v>0</v>
      </c>
      <c r="M617" s="230">
        <v>0</v>
      </c>
      <c r="N617" s="230">
        <v>0</v>
      </c>
      <c r="O617" s="230">
        <v>0</v>
      </c>
      <c r="P617" s="230">
        <v>0</v>
      </c>
      <c r="Q617" s="230">
        <v>0</v>
      </c>
      <c r="R617" s="230">
        <v>0</v>
      </c>
      <c r="S617" s="230">
        <v>0</v>
      </c>
      <c r="T617" s="439">
        <f>0.3601*0.7052</f>
        <v>0.25394252</v>
      </c>
      <c r="U617" s="439">
        <f>0.6399*0.7052</f>
        <v>0.45125748000000004</v>
      </c>
      <c r="V617" s="439">
        <f>0.3601*0.2948</f>
        <v>0.10615748</v>
      </c>
      <c r="W617" s="439">
        <f>0.6399*0.2948</f>
        <v>0.18864252000000001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30">
        <f t="shared" ref="AF617:AF625" si="251">SUM(H617:AE617)</f>
        <v>1</v>
      </c>
      <c r="AG617" s="93" t="str">
        <f t="shared" si="250"/>
        <v>ok</v>
      </c>
    </row>
    <row r="618" spans="1:34" s="60" customFormat="1">
      <c r="A618" s="60" t="s">
        <v>1006</v>
      </c>
      <c r="C618" s="60" t="s">
        <v>867</v>
      </c>
      <c r="F618" s="81">
        <v>1</v>
      </c>
      <c r="G618" s="81"/>
      <c r="H618" s="230">
        <v>0</v>
      </c>
      <c r="I618" s="230">
        <v>0</v>
      </c>
      <c r="J618" s="230">
        <v>0</v>
      </c>
      <c r="K618" s="230">
        <v>0</v>
      </c>
      <c r="L618" s="230">
        <v>0</v>
      </c>
      <c r="M618" s="230">
        <v>0</v>
      </c>
      <c r="N618" s="230">
        <v>0</v>
      </c>
      <c r="O618" s="230">
        <v>0</v>
      </c>
      <c r="P618" s="230">
        <v>0</v>
      </c>
      <c r="Q618" s="230">
        <v>0</v>
      </c>
      <c r="R618" s="230">
        <v>0</v>
      </c>
      <c r="S618" s="230">
        <v>0</v>
      </c>
      <c r="T618" s="439">
        <f>T617</f>
        <v>0.25394252</v>
      </c>
      <c r="U618" s="439">
        <f>U617</f>
        <v>0.45125748000000004</v>
      </c>
      <c r="V618" s="439">
        <f>V617</f>
        <v>0.10615748</v>
      </c>
      <c r="W618" s="439">
        <f>W617</f>
        <v>0.18864252000000001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30">
        <f t="shared" si="251"/>
        <v>1</v>
      </c>
      <c r="AG618" s="93" t="str">
        <f t="shared" si="250"/>
        <v>ok</v>
      </c>
      <c r="AH618" s="81"/>
    </row>
    <row r="619" spans="1:34" s="60" customFormat="1">
      <c r="A619" s="60" t="s">
        <v>1007</v>
      </c>
      <c r="C619" s="60" t="s">
        <v>868</v>
      </c>
      <c r="F619" s="81">
        <v>1</v>
      </c>
      <c r="G619" s="81"/>
      <c r="H619" s="230">
        <v>0</v>
      </c>
      <c r="I619" s="230">
        <v>0</v>
      </c>
      <c r="J619" s="230">
        <v>0</v>
      </c>
      <c r="K619" s="230">
        <v>0</v>
      </c>
      <c r="L619" s="230">
        <v>0</v>
      </c>
      <c r="M619" s="230">
        <v>0</v>
      </c>
      <c r="N619" s="230">
        <v>0</v>
      </c>
      <c r="O619" s="230">
        <v>0</v>
      </c>
      <c r="P619" s="230">
        <v>0</v>
      </c>
      <c r="Q619" s="230">
        <v>0</v>
      </c>
      <c r="R619" s="230">
        <v>0</v>
      </c>
      <c r="S619" s="230">
        <v>0</v>
      </c>
      <c r="T619" s="439">
        <f>0.4014*0.8807</f>
        <v>0.35351297999999998</v>
      </c>
      <c r="U619" s="439">
        <f>0.5986*0.8807</f>
        <v>0.52718702000000006</v>
      </c>
      <c r="V619" s="439">
        <f>0.4014*0.1193</f>
        <v>4.7887019999999995E-2</v>
      </c>
      <c r="W619" s="439">
        <f>0.5986*0.1193</f>
        <v>7.1412980000000001E-2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30">
        <f t="shared" si="251"/>
        <v>1</v>
      </c>
      <c r="AG619" s="93" t="str">
        <f t="shared" si="250"/>
        <v>ok</v>
      </c>
    </row>
    <row r="620" spans="1:34" s="60" customFormat="1">
      <c r="A620" s="60" t="s">
        <v>1008</v>
      </c>
      <c r="C620" s="60" t="s">
        <v>871</v>
      </c>
      <c r="F620" s="81">
        <v>1</v>
      </c>
      <c r="G620" s="81"/>
      <c r="H620" s="230">
        <v>0</v>
      </c>
      <c r="I620" s="230">
        <v>0</v>
      </c>
      <c r="J620" s="230">
        <v>0</v>
      </c>
      <c r="K620" s="230">
        <v>0</v>
      </c>
      <c r="L620" s="230">
        <v>0</v>
      </c>
      <c r="M620" s="230">
        <v>0</v>
      </c>
      <c r="N620" s="230">
        <v>0</v>
      </c>
      <c r="O620" s="230">
        <v>0</v>
      </c>
      <c r="P620" s="230">
        <v>0</v>
      </c>
      <c r="Q620" s="230">
        <v>0</v>
      </c>
      <c r="R620" s="230">
        <v>0</v>
      </c>
      <c r="S620" s="230">
        <v>0</v>
      </c>
      <c r="T620" s="230">
        <v>0</v>
      </c>
      <c r="U620" s="230">
        <v>0</v>
      </c>
      <c r="V620" s="230">
        <v>0</v>
      </c>
      <c r="W620" s="230">
        <v>0</v>
      </c>
      <c r="X620" s="440">
        <v>0.64209254115302228</v>
      </c>
      <c r="Y620" s="440">
        <v>0.35790745884697772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30">
        <f t="shared" si="251"/>
        <v>1</v>
      </c>
      <c r="AG620" s="93" t="str">
        <f t="shared" si="250"/>
        <v>ok</v>
      </c>
    </row>
    <row r="621" spans="1:34" s="60" customFormat="1">
      <c r="A621" s="60" t="s">
        <v>1009</v>
      </c>
      <c r="C621" s="60" t="s">
        <v>873</v>
      </c>
      <c r="F621" s="81">
        <v>1</v>
      </c>
      <c r="G621" s="81"/>
      <c r="H621" s="230">
        <v>0</v>
      </c>
      <c r="I621" s="230">
        <v>0</v>
      </c>
      <c r="J621" s="230">
        <v>0</v>
      </c>
      <c r="K621" s="230">
        <v>0</v>
      </c>
      <c r="L621" s="230">
        <v>0</v>
      </c>
      <c r="M621" s="230">
        <v>0</v>
      </c>
      <c r="N621" s="230">
        <v>0</v>
      </c>
      <c r="O621" s="230">
        <v>0</v>
      </c>
      <c r="P621" s="230">
        <v>0</v>
      </c>
      <c r="Q621" s="230">
        <v>0</v>
      </c>
      <c r="R621" s="230">
        <v>0</v>
      </c>
      <c r="S621" s="230">
        <v>0</v>
      </c>
      <c r="T621" s="230">
        <v>0</v>
      </c>
      <c r="U621" s="230">
        <v>0</v>
      </c>
      <c r="V621" s="230">
        <v>0</v>
      </c>
      <c r="W621" s="230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30">
        <f t="shared" si="251"/>
        <v>1</v>
      </c>
      <c r="AG621" s="93" t="str">
        <f t="shared" si="250"/>
        <v>ok</v>
      </c>
    </row>
    <row r="622" spans="1:34" s="60" customFormat="1">
      <c r="A622" s="60" t="s">
        <v>848</v>
      </c>
      <c r="C622" s="60" t="s">
        <v>875</v>
      </c>
      <c r="F622" s="81">
        <v>1</v>
      </c>
      <c r="G622" s="81"/>
      <c r="H622" s="230">
        <v>0</v>
      </c>
      <c r="I622" s="230">
        <v>0</v>
      </c>
      <c r="J622" s="230">
        <v>0</v>
      </c>
      <c r="K622" s="230">
        <v>0</v>
      </c>
      <c r="L622" s="230">
        <v>0</v>
      </c>
      <c r="M622" s="230">
        <v>0</v>
      </c>
      <c r="N622" s="230">
        <v>0</v>
      </c>
      <c r="O622" s="230">
        <v>0</v>
      </c>
      <c r="P622" s="230">
        <v>0</v>
      </c>
      <c r="Q622" s="230">
        <v>0</v>
      </c>
      <c r="R622" s="230">
        <v>0</v>
      </c>
      <c r="S622" s="230">
        <v>0</v>
      </c>
      <c r="T622" s="230">
        <v>0</v>
      </c>
      <c r="U622" s="230">
        <v>0</v>
      </c>
      <c r="V622" s="230">
        <v>0</v>
      </c>
      <c r="W622" s="230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30">
        <f t="shared" si="251"/>
        <v>1</v>
      </c>
      <c r="AG622" s="93" t="str">
        <f t="shared" si="250"/>
        <v>ok</v>
      </c>
    </row>
    <row r="623" spans="1:34" s="60" customFormat="1">
      <c r="A623" s="60" t="s">
        <v>1010</v>
      </c>
      <c r="C623" s="60" t="s">
        <v>878</v>
      </c>
      <c r="F623" s="81">
        <v>1</v>
      </c>
      <c r="G623" s="81"/>
      <c r="H623" s="230">
        <v>0</v>
      </c>
      <c r="I623" s="230">
        <v>0</v>
      </c>
      <c r="J623" s="230">
        <v>0</v>
      </c>
      <c r="K623" s="230">
        <v>0</v>
      </c>
      <c r="L623" s="230">
        <v>0</v>
      </c>
      <c r="M623" s="230">
        <v>0</v>
      </c>
      <c r="N623" s="230">
        <v>0</v>
      </c>
      <c r="O623" s="230">
        <v>0</v>
      </c>
      <c r="P623" s="230">
        <v>0</v>
      </c>
      <c r="Q623" s="230">
        <v>0</v>
      </c>
      <c r="R623" s="230">
        <v>0</v>
      </c>
      <c r="S623" s="230">
        <v>0</v>
      </c>
      <c r="T623" s="230">
        <v>0</v>
      </c>
      <c r="U623" s="230">
        <v>0</v>
      </c>
      <c r="V623" s="230">
        <v>0</v>
      </c>
      <c r="W623" s="230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30">
        <f t="shared" si="251"/>
        <v>1</v>
      </c>
      <c r="AG623" s="93" t="str">
        <f t="shared" si="250"/>
        <v>ok</v>
      </c>
    </row>
    <row r="624" spans="1:34" s="60" customFormat="1">
      <c r="A624" s="60" t="s">
        <v>1011</v>
      </c>
      <c r="C624" s="60" t="s">
        <v>952</v>
      </c>
      <c r="F624" s="81">
        <v>1</v>
      </c>
      <c r="G624" s="81"/>
      <c r="H624" s="230">
        <v>0</v>
      </c>
      <c r="I624" s="230">
        <v>0</v>
      </c>
      <c r="J624" s="230">
        <v>0</v>
      </c>
      <c r="K624" s="230">
        <v>0</v>
      </c>
      <c r="L624" s="230">
        <v>0</v>
      </c>
      <c r="M624" s="230">
        <v>0</v>
      </c>
      <c r="N624" s="230">
        <v>0</v>
      </c>
      <c r="O624" s="230">
        <v>0</v>
      </c>
      <c r="P624" s="230">
        <v>0</v>
      </c>
      <c r="Q624" s="230">
        <v>0</v>
      </c>
      <c r="R624" s="230">
        <v>0</v>
      </c>
      <c r="S624" s="230">
        <v>0</v>
      </c>
      <c r="T624" s="230">
        <v>0</v>
      </c>
      <c r="U624" s="230">
        <v>0</v>
      </c>
      <c r="V624" s="230">
        <v>0</v>
      </c>
      <c r="W624" s="230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30">
        <f t="shared" si="251"/>
        <v>1</v>
      </c>
      <c r="AG624" s="93" t="str">
        <f t="shared" si="250"/>
        <v>ok</v>
      </c>
    </row>
    <row r="625" spans="1:33" s="60" customFormat="1">
      <c r="A625" s="60" t="s">
        <v>1012</v>
      </c>
      <c r="C625" s="60" t="s">
        <v>962</v>
      </c>
      <c r="F625" s="81">
        <v>1</v>
      </c>
      <c r="G625" s="81"/>
      <c r="H625" s="230">
        <v>0</v>
      </c>
      <c r="I625" s="230">
        <v>0</v>
      </c>
      <c r="J625" s="230">
        <v>0</v>
      </c>
      <c r="K625" s="230">
        <v>0</v>
      </c>
      <c r="L625" s="230">
        <v>0</v>
      </c>
      <c r="M625" s="230">
        <v>0</v>
      </c>
      <c r="N625" s="230">
        <v>0</v>
      </c>
      <c r="O625" s="230">
        <v>0</v>
      </c>
      <c r="P625" s="230">
        <v>0</v>
      </c>
      <c r="Q625" s="230">
        <v>0</v>
      </c>
      <c r="R625" s="230">
        <v>0</v>
      </c>
      <c r="S625" s="230">
        <v>0</v>
      </c>
      <c r="T625" s="230">
        <v>0</v>
      </c>
      <c r="U625" s="230">
        <v>0</v>
      </c>
      <c r="V625" s="230">
        <v>0</v>
      </c>
      <c r="W625" s="230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30">
        <f t="shared" si="251"/>
        <v>1</v>
      </c>
      <c r="AG625" s="93" t="str">
        <f t="shared" si="250"/>
        <v>ok</v>
      </c>
    </row>
    <row r="626" spans="1:33" s="60" customFormat="1" ht="14.1">
      <c r="A626" s="60" t="s">
        <v>1054</v>
      </c>
      <c r="C626" s="60" t="s">
        <v>1086</v>
      </c>
      <c r="F626" s="81">
        <v>1</v>
      </c>
      <c r="G626" s="81"/>
      <c r="H626" s="230">
        <v>0</v>
      </c>
      <c r="I626" s="230">
        <v>0</v>
      </c>
      <c r="J626" s="230">
        <v>0</v>
      </c>
      <c r="K626" s="230">
        <v>0</v>
      </c>
      <c r="L626" s="230">
        <v>0</v>
      </c>
      <c r="M626" s="230">
        <v>0</v>
      </c>
      <c r="N626" s="230">
        <v>1</v>
      </c>
      <c r="O626" s="231">
        <v>0</v>
      </c>
      <c r="P626" s="231">
        <v>0</v>
      </c>
      <c r="Q626" s="230">
        <v>0</v>
      </c>
      <c r="R626" s="230">
        <v>0</v>
      </c>
      <c r="S626" s="230">
        <v>0</v>
      </c>
      <c r="T626" s="230">
        <v>0</v>
      </c>
      <c r="U626" s="230">
        <v>0</v>
      </c>
      <c r="V626" s="230">
        <v>0</v>
      </c>
      <c r="W626" s="230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30">
        <f t="shared" ref="AF626:AF639" si="252">SUM(H626:AE626)</f>
        <v>1</v>
      </c>
      <c r="AG626" s="93" t="str">
        <f t="shared" si="250"/>
        <v>ok</v>
      </c>
    </row>
    <row r="627" spans="1:33" s="60" customFormat="1">
      <c r="A627" s="60" t="s">
        <v>40</v>
      </c>
      <c r="C627" s="60" t="s">
        <v>41</v>
      </c>
      <c r="F627" s="81">
        <v>1</v>
      </c>
      <c r="G627" s="81"/>
      <c r="H627" s="230">
        <v>0</v>
      </c>
      <c r="I627" s="230">
        <v>0</v>
      </c>
      <c r="J627" s="230">
        <v>0</v>
      </c>
      <c r="K627" s="230">
        <v>0</v>
      </c>
      <c r="L627" s="230">
        <v>0</v>
      </c>
      <c r="M627" s="230">
        <v>0</v>
      </c>
      <c r="N627" s="230">
        <v>0</v>
      </c>
      <c r="O627" s="230">
        <v>0</v>
      </c>
      <c r="P627" s="230">
        <v>0</v>
      </c>
      <c r="Q627" s="230">
        <v>0</v>
      </c>
      <c r="R627" s="230">
        <v>0</v>
      </c>
      <c r="S627" s="230">
        <v>0</v>
      </c>
      <c r="T627" s="230">
        <v>0</v>
      </c>
      <c r="U627" s="230">
        <v>0</v>
      </c>
      <c r="V627" s="230">
        <v>0</v>
      </c>
      <c r="W627" s="230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30">
        <f t="shared" si="252"/>
        <v>1</v>
      </c>
      <c r="AG627" s="93" t="str">
        <f t="shared" si="250"/>
        <v>ok</v>
      </c>
    </row>
    <row r="628" spans="1:33" s="60" customFormat="1">
      <c r="A628" s="60" t="s">
        <v>617</v>
      </c>
      <c r="C628" s="60" t="s">
        <v>616</v>
      </c>
      <c r="F628" s="81">
        <v>1</v>
      </c>
      <c r="G628" s="81"/>
      <c r="H628" s="230">
        <v>1</v>
      </c>
      <c r="I628" s="230">
        <v>0</v>
      </c>
      <c r="J628" s="230">
        <v>0</v>
      </c>
      <c r="K628" s="230">
        <v>0</v>
      </c>
      <c r="L628" s="230">
        <v>0</v>
      </c>
      <c r="M628" s="230">
        <v>0</v>
      </c>
      <c r="N628" s="230">
        <v>0</v>
      </c>
      <c r="O628" s="230">
        <v>0</v>
      </c>
      <c r="P628" s="230">
        <v>0</v>
      </c>
      <c r="Q628" s="230">
        <v>0</v>
      </c>
      <c r="R628" s="230">
        <v>0</v>
      </c>
      <c r="S628" s="230">
        <v>0</v>
      </c>
      <c r="T628" s="230">
        <v>0</v>
      </c>
      <c r="U628" s="230">
        <v>0</v>
      </c>
      <c r="V628" s="230">
        <v>0</v>
      </c>
      <c r="W628" s="230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30">
        <f t="shared" si="252"/>
        <v>1</v>
      </c>
      <c r="AG628" s="93" t="str">
        <f t="shared" si="250"/>
        <v>ok</v>
      </c>
    </row>
    <row r="629" spans="1:33" s="60" customFormat="1">
      <c r="A629" s="60" t="s">
        <v>622</v>
      </c>
      <c r="C629" s="60" t="s">
        <v>623</v>
      </c>
      <c r="F629" s="81">
        <v>1</v>
      </c>
      <c r="G629" s="81"/>
      <c r="H629" s="230">
        <v>0</v>
      </c>
      <c r="I629" s="230">
        <v>0</v>
      </c>
      <c r="J629" s="230">
        <v>0</v>
      </c>
      <c r="K629" s="230">
        <v>1</v>
      </c>
      <c r="L629" s="230">
        <v>0</v>
      </c>
      <c r="M629" s="230">
        <v>0</v>
      </c>
      <c r="N629" s="230">
        <v>0</v>
      </c>
      <c r="O629" s="230">
        <v>0</v>
      </c>
      <c r="P629" s="230">
        <v>0</v>
      </c>
      <c r="Q629" s="230">
        <v>0</v>
      </c>
      <c r="R629" s="230">
        <v>0</v>
      </c>
      <c r="S629" s="230">
        <v>0</v>
      </c>
      <c r="T629" s="230">
        <v>0</v>
      </c>
      <c r="U629" s="230">
        <v>0</v>
      </c>
      <c r="V629" s="230">
        <v>0</v>
      </c>
      <c r="W629" s="230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30">
        <f t="shared" si="252"/>
        <v>1</v>
      </c>
      <c r="AG629" s="93" t="str">
        <f t="shared" si="250"/>
        <v>ok</v>
      </c>
    </row>
    <row r="630" spans="1:33" s="60" customFormat="1">
      <c r="A630" s="60" t="s">
        <v>618</v>
      </c>
      <c r="C630" s="60" t="s">
        <v>619</v>
      </c>
      <c r="F630" s="81">
        <v>1</v>
      </c>
      <c r="G630" s="81"/>
      <c r="H630" s="230">
        <v>0</v>
      </c>
      <c r="I630" s="230">
        <v>0</v>
      </c>
      <c r="J630" s="230">
        <v>0</v>
      </c>
      <c r="K630" s="230">
        <v>1</v>
      </c>
      <c r="L630" s="230">
        <v>0</v>
      </c>
      <c r="M630" s="230">
        <v>0</v>
      </c>
      <c r="N630" s="230">
        <v>0</v>
      </c>
      <c r="O630" s="230">
        <v>0</v>
      </c>
      <c r="P630" s="230">
        <v>0</v>
      </c>
      <c r="Q630" s="230">
        <v>0</v>
      </c>
      <c r="R630" s="230">
        <v>0</v>
      </c>
      <c r="S630" s="230">
        <v>0</v>
      </c>
      <c r="T630" s="230">
        <v>0</v>
      </c>
      <c r="U630" s="230">
        <v>0</v>
      </c>
      <c r="V630" s="230">
        <v>0</v>
      </c>
      <c r="W630" s="230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30">
        <f t="shared" si="252"/>
        <v>1</v>
      </c>
      <c r="AG630" s="93" t="str">
        <f t="shared" si="250"/>
        <v>ok</v>
      </c>
    </row>
    <row r="631" spans="1:33" s="60" customFormat="1">
      <c r="A631" s="60" t="s">
        <v>620</v>
      </c>
      <c r="C631" s="60" t="s">
        <v>621</v>
      </c>
      <c r="F631" s="79">
        <f>F365+F366+F368+F369+F370</f>
        <v>12601985</v>
      </c>
      <c r="G631" s="112"/>
      <c r="H631" s="79">
        <f>H365+H366+H368+H369+H370</f>
        <v>11007917</v>
      </c>
      <c r="I631" s="79">
        <f t="shared" ref="I631:AE631" si="253">I365+I366+I368+I369+I370</f>
        <v>0</v>
      </c>
      <c r="J631" s="79">
        <f t="shared" si="253"/>
        <v>0</v>
      </c>
      <c r="K631" s="79">
        <f t="shared" si="253"/>
        <v>1594068</v>
      </c>
      <c r="L631" s="82">
        <f t="shared" si="253"/>
        <v>0</v>
      </c>
      <c r="M631" s="82">
        <f t="shared" si="253"/>
        <v>0</v>
      </c>
      <c r="N631" s="82">
        <f t="shared" si="253"/>
        <v>0</v>
      </c>
      <c r="O631" s="82">
        <f t="shared" si="253"/>
        <v>0</v>
      </c>
      <c r="P631" s="82">
        <f t="shared" si="253"/>
        <v>0</v>
      </c>
      <c r="Q631" s="82">
        <f t="shared" si="253"/>
        <v>0</v>
      </c>
      <c r="R631" s="82">
        <f t="shared" si="253"/>
        <v>0</v>
      </c>
      <c r="S631" s="82">
        <f t="shared" si="253"/>
        <v>0</v>
      </c>
      <c r="T631" s="82">
        <f t="shared" si="253"/>
        <v>0</v>
      </c>
      <c r="U631" s="82">
        <f t="shared" si="253"/>
        <v>0</v>
      </c>
      <c r="V631" s="82">
        <f t="shared" si="253"/>
        <v>0</v>
      </c>
      <c r="W631" s="82">
        <f t="shared" si="253"/>
        <v>0</v>
      </c>
      <c r="X631" s="82">
        <f t="shared" si="253"/>
        <v>0</v>
      </c>
      <c r="Y631" s="82">
        <f t="shared" si="253"/>
        <v>0</v>
      </c>
      <c r="Z631" s="82">
        <f t="shared" si="253"/>
        <v>0</v>
      </c>
      <c r="AA631" s="82">
        <f t="shared" si="253"/>
        <v>0</v>
      </c>
      <c r="AB631" s="82">
        <f t="shared" si="253"/>
        <v>0</v>
      </c>
      <c r="AC631" s="82">
        <f t="shared" si="253"/>
        <v>0</v>
      </c>
      <c r="AD631" s="82">
        <f t="shared" si="253"/>
        <v>0</v>
      </c>
      <c r="AE631" s="82">
        <f t="shared" si="253"/>
        <v>0</v>
      </c>
      <c r="AF631" s="398">
        <f t="shared" si="252"/>
        <v>12601985</v>
      </c>
      <c r="AG631" s="93" t="str">
        <f t="shared" si="250"/>
        <v>ok</v>
      </c>
    </row>
    <row r="632" spans="1:33" s="60" customFormat="1" ht="14.1">
      <c r="A632" s="60" t="s">
        <v>624</v>
      </c>
      <c r="C632" s="60" t="s">
        <v>624</v>
      </c>
      <c r="F632" s="81">
        <v>1</v>
      </c>
      <c r="G632" s="81"/>
      <c r="H632" s="230">
        <f>H628</f>
        <v>1</v>
      </c>
      <c r="I632" s="231">
        <f>I628</f>
        <v>0</v>
      </c>
      <c r="J632" s="231">
        <f>J628</f>
        <v>0</v>
      </c>
      <c r="K632" s="230">
        <v>0</v>
      </c>
      <c r="L632" s="230">
        <v>0</v>
      </c>
      <c r="M632" s="230">
        <v>0</v>
      </c>
      <c r="N632" s="230">
        <v>0</v>
      </c>
      <c r="O632" s="230">
        <v>0</v>
      </c>
      <c r="P632" s="230">
        <v>0</v>
      </c>
      <c r="Q632" s="230">
        <v>0</v>
      </c>
      <c r="R632" s="230">
        <v>0</v>
      </c>
      <c r="S632" s="230">
        <v>0</v>
      </c>
      <c r="T632" s="230">
        <v>0</v>
      </c>
      <c r="U632" s="230">
        <v>0</v>
      </c>
      <c r="V632" s="230">
        <v>0</v>
      </c>
      <c r="W632" s="230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30">
        <f t="shared" si="252"/>
        <v>1</v>
      </c>
      <c r="AG632" s="93" t="str">
        <f t="shared" si="250"/>
        <v>ok</v>
      </c>
    </row>
    <row r="633" spans="1:33" s="60" customFormat="1">
      <c r="A633" s="60" t="s">
        <v>625</v>
      </c>
      <c r="C633" s="60" t="s">
        <v>626</v>
      </c>
      <c r="F633" s="79">
        <f>F376+F377+F378+F379</f>
        <v>7744702</v>
      </c>
      <c r="G633" s="112"/>
      <c r="H633" s="79">
        <f>H376+H377+H378+H379</f>
        <v>30396</v>
      </c>
      <c r="I633" s="79">
        <f t="shared" ref="I633:AE633" si="254">I376+I377+I378+I379</f>
        <v>0</v>
      </c>
      <c r="J633" s="79">
        <f t="shared" si="254"/>
        <v>0</v>
      </c>
      <c r="K633" s="79">
        <f t="shared" si="254"/>
        <v>7714306</v>
      </c>
      <c r="L633" s="82">
        <f t="shared" si="254"/>
        <v>0</v>
      </c>
      <c r="M633" s="82">
        <f t="shared" si="254"/>
        <v>0</v>
      </c>
      <c r="N633" s="82">
        <f t="shared" si="254"/>
        <v>0</v>
      </c>
      <c r="O633" s="82">
        <f t="shared" si="254"/>
        <v>0</v>
      </c>
      <c r="P633" s="82">
        <f t="shared" si="254"/>
        <v>0</v>
      </c>
      <c r="Q633" s="82">
        <f t="shared" si="254"/>
        <v>0</v>
      </c>
      <c r="R633" s="82">
        <f t="shared" si="254"/>
        <v>0</v>
      </c>
      <c r="S633" s="82">
        <f t="shared" si="254"/>
        <v>0</v>
      </c>
      <c r="T633" s="82">
        <f t="shared" si="254"/>
        <v>0</v>
      </c>
      <c r="U633" s="82">
        <f t="shared" si="254"/>
        <v>0</v>
      </c>
      <c r="V633" s="82">
        <f t="shared" si="254"/>
        <v>0</v>
      </c>
      <c r="W633" s="82">
        <f t="shared" si="254"/>
        <v>0</v>
      </c>
      <c r="X633" s="82">
        <f t="shared" si="254"/>
        <v>0</v>
      </c>
      <c r="Y633" s="82">
        <f t="shared" si="254"/>
        <v>0</v>
      </c>
      <c r="Z633" s="82">
        <f t="shared" si="254"/>
        <v>0</v>
      </c>
      <c r="AA633" s="82">
        <f t="shared" si="254"/>
        <v>0</v>
      </c>
      <c r="AB633" s="82">
        <f t="shared" si="254"/>
        <v>0</v>
      </c>
      <c r="AC633" s="82">
        <f t="shared" si="254"/>
        <v>0</v>
      </c>
      <c r="AD633" s="82">
        <f t="shared" si="254"/>
        <v>0</v>
      </c>
      <c r="AE633" s="82">
        <f t="shared" si="254"/>
        <v>0</v>
      </c>
      <c r="AF633" s="79">
        <f t="shared" si="252"/>
        <v>7744702</v>
      </c>
      <c r="AG633" s="93" t="str">
        <f t="shared" si="250"/>
        <v>ok</v>
      </c>
    </row>
    <row r="634" spans="1:33" s="60" customFormat="1">
      <c r="A634" s="60" t="s">
        <v>627</v>
      </c>
      <c r="C634" s="60" t="s">
        <v>628</v>
      </c>
      <c r="F634" s="79">
        <f>F387+F388+F389+F390+F391</f>
        <v>262377</v>
      </c>
      <c r="G634" s="112"/>
      <c r="H634" s="79">
        <f t="shared" ref="H634:M634" si="255">H387+H388+H389+H390+H391</f>
        <v>262377</v>
      </c>
      <c r="I634" s="79">
        <f t="shared" si="255"/>
        <v>0</v>
      </c>
      <c r="J634" s="79">
        <f t="shared" si="255"/>
        <v>0</v>
      </c>
      <c r="K634" s="79">
        <f t="shared" si="255"/>
        <v>0</v>
      </c>
      <c r="L634" s="82">
        <f t="shared" si="255"/>
        <v>0</v>
      </c>
      <c r="M634" s="82">
        <f t="shared" si="255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6">Q387+Q388+Q389+Q390+Q391</f>
        <v>0</v>
      </c>
      <c r="R634" s="82">
        <f t="shared" si="256"/>
        <v>0</v>
      </c>
      <c r="S634" s="82">
        <f t="shared" si="256"/>
        <v>0</v>
      </c>
      <c r="T634" s="82">
        <f t="shared" si="256"/>
        <v>0</v>
      </c>
      <c r="U634" s="82">
        <f t="shared" si="256"/>
        <v>0</v>
      </c>
      <c r="V634" s="82">
        <f t="shared" si="256"/>
        <v>0</v>
      </c>
      <c r="W634" s="82">
        <f t="shared" si="256"/>
        <v>0</v>
      </c>
      <c r="X634" s="82">
        <f t="shared" si="256"/>
        <v>0</v>
      </c>
      <c r="Y634" s="82">
        <f t="shared" si="256"/>
        <v>0</v>
      </c>
      <c r="Z634" s="82">
        <f t="shared" si="256"/>
        <v>0</v>
      </c>
      <c r="AA634" s="82">
        <f t="shared" si="256"/>
        <v>0</v>
      </c>
      <c r="AB634" s="82">
        <f t="shared" si="256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79">
        <f t="shared" si="252"/>
        <v>262377</v>
      </c>
      <c r="AG634" s="93" t="str">
        <f t="shared" si="250"/>
        <v>ok</v>
      </c>
    </row>
    <row r="635" spans="1:33" s="60" customFormat="1">
      <c r="A635" s="60" t="s">
        <v>634</v>
      </c>
      <c r="C635" s="60" t="s">
        <v>635</v>
      </c>
      <c r="F635" s="79">
        <f>F397+F398+F399+F400</f>
        <v>158283</v>
      </c>
      <c r="G635" s="112"/>
      <c r="H635" s="79">
        <f>H397+H398+H399+H400</f>
        <v>86045</v>
      </c>
      <c r="I635" s="79">
        <f t="shared" ref="I635:AE635" si="257">I397+I398+I399+I400</f>
        <v>0</v>
      </c>
      <c r="J635" s="79">
        <f t="shared" si="257"/>
        <v>0</v>
      </c>
      <c r="K635" s="79">
        <f t="shared" si="257"/>
        <v>72238</v>
      </c>
      <c r="L635" s="82">
        <f t="shared" si="257"/>
        <v>0</v>
      </c>
      <c r="M635" s="82">
        <f t="shared" si="257"/>
        <v>0</v>
      </c>
      <c r="N635" s="82">
        <f t="shared" si="257"/>
        <v>0</v>
      </c>
      <c r="O635" s="82">
        <f t="shared" si="257"/>
        <v>0</v>
      </c>
      <c r="P635" s="82">
        <f t="shared" si="257"/>
        <v>0</v>
      </c>
      <c r="Q635" s="82">
        <f t="shared" si="257"/>
        <v>0</v>
      </c>
      <c r="R635" s="82">
        <f t="shared" si="257"/>
        <v>0</v>
      </c>
      <c r="S635" s="82">
        <f t="shared" si="257"/>
        <v>0</v>
      </c>
      <c r="T635" s="82">
        <f t="shared" si="257"/>
        <v>0</v>
      </c>
      <c r="U635" s="82">
        <f t="shared" si="257"/>
        <v>0</v>
      </c>
      <c r="V635" s="82">
        <f t="shared" si="257"/>
        <v>0</v>
      </c>
      <c r="W635" s="82">
        <f t="shared" si="257"/>
        <v>0</v>
      </c>
      <c r="X635" s="82">
        <f t="shared" si="257"/>
        <v>0</v>
      </c>
      <c r="Y635" s="82">
        <f t="shared" si="257"/>
        <v>0</v>
      </c>
      <c r="Z635" s="82">
        <f t="shared" si="257"/>
        <v>0</v>
      </c>
      <c r="AA635" s="82">
        <f t="shared" si="257"/>
        <v>0</v>
      </c>
      <c r="AB635" s="82">
        <f t="shared" si="257"/>
        <v>0</v>
      </c>
      <c r="AC635" s="82">
        <f t="shared" si="257"/>
        <v>0</v>
      </c>
      <c r="AD635" s="82">
        <f t="shared" si="257"/>
        <v>0</v>
      </c>
      <c r="AE635" s="82">
        <f t="shared" si="257"/>
        <v>0</v>
      </c>
      <c r="AF635" s="79">
        <f t="shared" si="252"/>
        <v>158283</v>
      </c>
      <c r="AG635" s="93" t="str">
        <f t="shared" si="250"/>
        <v>ok</v>
      </c>
    </row>
    <row r="636" spans="1:33" s="60" customFormat="1">
      <c r="A636" s="60" t="s">
        <v>637</v>
      </c>
      <c r="C636" s="60" t="s">
        <v>636</v>
      </c>
      <c r="F636" s="79">
        <f>F454+F455+F456+F457+F458+F459+F460+F461+F462+F463</f>
        <v>8228555</v>
      </c>
      <c r="G636" s="112"/>
      <c r="H636" s="79">
        <f>H454+H455+H456+H457+H458+H459+H460+H461+H462+H463</f>
        <v>0</v>
      </c>
      <c r="I636" s="79">
        <f t="shared" ref="I636:AE636" si="258">I454+I455+I456+I457+I458+I459+I460+I461+I462+I463</f>
        <v>0</v>
      </c>
      <c r="J636" s="79">
        <f t="shared" si="258"/>
        <v>0</v>
      </c>
      <c r="K636" s="79">
        <f t="shared" si="258"/>
        <v>0</v>
      </c>
      <c r="L636" s="82">
        <f t="shared" si="258"/>
        <v>0</v>
      </c>
      <c r="M636" s="82">
        <f t="shared" si="258"/>
        <v>0</v>
      </c>
      <c r="N636" s="82">
        <f t="shared" si="258"/>
        <v>0</v>
      </c>
      <c r="O636" s="82">
        <f t="shared" si="258"/>
        <v>0</v>
      </c>
      <c r="P636" s="82">
        <f t="shared" si="258"/>
        <v>0</v>
      </c>
      <c r="Q636" s="82">
        <f t="shared" si="258"/>
        <v>0</v>
      </c>
      <c r="R636" s="82">
        <f t="shared" si="258"/>
        <v>1220520.9680450442</v>
      </c>
      <c r="S636" s="82">
        <f t="shared" si="258"/>
        <v>0</v>
      </c>
      <c r="T636" s="82">
        <f t="shared" si="258"/>
        <v>973421.84185554693</v>
      </c>
      <c r="U636" s="82">
        <f t="shared" si="258"/>
        <v>1651299.6766921924</v>
      </c>
      <c r="V636" s="82">
        <f t="shared" si="258"/>
        <v>329314.48042335309</v>
      </c>
      <c r="W636" s="82">
        <f t="shared" si="258"/>
        <v>574563.38616658899</v>
      </c>
      <c r="X636" s="82">
        <f t="shared" si="258"/>
        <v>98167.480594296954</v>
      </c>
      <c r="Y636" s="82">
        <f t="shared" si="258"/>
        <v>54719.329799131789</v>
      </c>
      <c r="Z636" s="82">
        <f t="shared" si="258"/>
        <v>34985.951050711454</v>
      </c>
      <c r="AA636" s="82">
        <f t="shared" si="258"/>
        <v>3176211.634135488</v>
      </c>
      <c r="AB636" s="82">
        <f t="shared" si="258"/>
        <v>115350.25123764618</v>
      </c>
      <c r="AC636" s="82">
        <f t="shared" si="258"/>
        <v>0</v>
      </c>
      <c r="AD636" s="82">
        <f t="shared" si="258"/>
        <v>0</v>
      </c>
      <c r="AE636" s="82">
        <f t="shared" si="258"/>
        <v>0</v>
      </c>
      <c r="AF636" s="79">
        <f t="shared" si="252"/>
        <v>8228555</v>
      </c>
      <c r="AG636" s="93" t="str">
        <f t="shared" si="250"/>
        <v>ok</v>
      </c>
    </row>
    <row r="637" spans="1:33" s="60" customFormat="1">
      <c r="A637" s="60" t="s">
        <v>638</v>
      </c>
      <c r="C637" s="60" t="s">
        <v>639</v>
      </c>
      <c r="F637" s="79">
        <f>F475+F476+F477+F478+F479+F480+F481+F482</f>
        <v>2715913</v>
      </c>
      <c r="G637" s="112"/>
      <c r="H637" s="79">
        <f>H475+H476+H477+H478+H479+H480+H481+H482</f>
        <v>0</v>
      </c>
      <c r="I637" s="79">
        <f t="shared" ref="I637:AE637" si="259">I475+I476+I477+I478+I479+I480+I481+I482</f>
        <v>0</v>
      </c>
      <c r="J637" s="79">
        <f t="shared" si="259"/>
        <v>0</v>
      </c>
      <c r="K637" s="79">
        <f t="shared" si="259"/>
        <v>0</v>
      </c>
      <c r="L637" s="82">
        <f t="shared" si="259"/>
        <v>0</v>
      </c>
      <c r="M637" s="82">
        <f t="shared" si="259"/>
        <v>0</v>
      </c>
      <c r="N637" s="82">
        <f t="shared" si="259"/>
        <v>0</v>
      </c>
      <c r="O637" s="82">
        <f t="shared" si="259"/>
        <v>0</v>
      </c>
      <c r="P637" s="82">
        <f t="shared" si="259"/>
        <v>0</v>
      </c>
      <c r="Q637" s="82">
        <f t="shared" si="259"/>
        <v>0</v>
      </c>
      <c r="R637" s="82">
        <f t="shared" si="259"/>
        <v>374744</v>
      </c>
      <c r="S637" s="82">
        <f t="shared" si="259"/>
        <v>0</v>
      </c>
      <c r="T637" s="82">
        <f t="shared" si="259"/>
        <v>636274.68161274004</v>
      </c>
      <c r="U637" s="82">
        <f t="shared" si="259"/>
        <v>1068062.6678872602</v>
      </c>
      <c r="V637" s="82">
        <f t="shared" si="259"/>
        <v>204075.03558726</v>
      </c>
      <c r="W637" s="82">
        <f t="shared" si="259"/>
        <v>354162.61491273995</v>
      </c>
      <c r="X637" s="82">
        <f t="shared" si="259"/>
        <v>46627.476153450174</v>
      </c>
      <c r="Y637" s="82">
        <f t="shared" si="259"/>
        <v>25990.52384654983</v>
      </c>
      <c r="Z637" s="82">
        <f t="shared" si="259"/>
        <v>0</v>
      </c>
      <c r="AA637" s="82">
        <f t="shared" si="259"/>
        <v>0</v>
      </c>
      <c r="AB637" s="82">
        <f t="shared" si="259"/>
        <v>5976</v>
      </c>
      <c r="AC637" s="82">
        <f t="shared" si="259"/>
        <v>0</v>
      </c>
      <c r="AD637" s="82">
        <f t="shared" si="259"/>
        <v>0</v>
      </c>
      <c r="AE637" s="82">
        <f t="shared" si="259"/>
        <v>0</v>
      </c>
      <c r="AF637" s="79">
        <f t="shared" si="252"/>
        <v>2715913</v>
      </c>
      <c r="AG637" s="93" t="str">
        <f t="shared" si="250"/>
        <v>ok</v>
      </c>
    </row>
    <row r="638" spans="1:33" s="60" customFormat="1">
      <c r="A638" s="60" t="s">
        <v>949</v>
      </c>
      <c r="C638" s="60" t="s">
        <v>640</v>
      </c>
      <c r="F638" s="81">
        <v>1</v>
      </c>
      <c r="G638" s="81"/>
      <c r="H638" s="230">
        <v>0</v>
      </c>
      <c r="I638" s="230">
        <v>0</v>
      </c>
      <c r="J638" s="230">
        <v>0</v>
      </c>
      <c r="K638" s="230">
        <v>0</v>
      </c>
      <c r="L638" s="230">
        <v>0</v>
      </c>
      <c r="M638" s="230">
        <v>0</v>
      </c>
      <c r="N638" s="230">
        <v>0</v>
      </c>
      <c r="O638" s="230">
        <v>0</v>
      </c>
      <c r="P638" s="230">
        <v>0</v>
      </c>
      <c r="Q638" s="230">
        <v>0</v>
      </c>
      <c r="R638" s="230">
        <v>0</v>
      </c>
      <c r="S638" s="230">
        <v>0</v>
      </c>
      <c r="T638" s="230">
        <v>0</v>
      </c>
      <c r="U638" s="230">
        <v>0</v>
      </c>
      <c r="V638" s="230">
        <v>0</v>
      </c>
      <c r="W638" s="230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30">
        <f t="shared" si="252"/>
        <v>1</v>
      </c>
      <c r="AG638" s="93" t="str">
        <f t="shared" si="250"/>
        <v>ok</v>
      </c>
    </row>
    <row r="639" spans="1:33" s="60" customFormat="1">
      <c r="A639" s="60" t="s">
        <v>960</v>
      </c>
      <c r="C639" s="60" t="s">
        <v>641</v>
      </c>
      <c r="F639" s="81">
        <v>1</v>
      </c>
      <c r="G639" s="81"/>
      <c r="H639" s="230">
        <v>0</v>
      </c>
      <c r="I639" s="230">
        <v>0</v>
      </c>
      <c r="J639" s="230">
        <v>0</v>
      </c>
      <c r="K639" s="230">
        <v>0</v>
      </c>
      <c r="L639" s="230">
        <v>0</v>
      </c>
      <c r="M639" s="230">
        <v>0</v>
      </c>
      <c r="N639" s="230">
        <v>0</v>
      </c>
      <c r="O639" s="230">
        <v>0</v>
      </c>
      <c r="P639" s="230">
        <v>0</v>
      </c>
      <c r="Q639" s="230">
        <v>0</v>
      </c>
      <c r="R639" s="230">
        <v>0</v>
      </c>
      <c r="S639" s="230">
        <v>0</v>
      </c>
      <c r="T639" s="230">
        <v>0</v>
      </c>
      <c r="U639" s="230">
        <v>0</v>
      </c>
      <c r="V639" s="230">
        <v>0</v>
      </c>
      <c r="W639" s="230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30">
        <f t="shared" si="252"/>
        <v>1</v>
      </c>
      <c r="AG639" s="93" t="str">
        <f t="shared" si="250"/>
        <v>ok</v>
      </c>
    </row>
    <row r="640" spans="1:33" s="60" customFormat="1">
      <c r="A640" s="60" t="s">
        <v>818</v>
      </c>
      <c r="C640" s="60" t="s">
        <v>817</v>
      </c>
      <c r="F640" s="79">
        <f t="shared" ref="F640:AE640" si="260">F39+F40</f>
        <v>1160271504.5446146</v>
      </c>
      <c r="G640" s="79">
        <f t="shared" si="260"/>
        <v>0</v>
      </c>
      <c r="H640" s="79">
        <f t="shared" si="260"/>
        <v>0</v>
      </c>
      <c r="I640" s="79">
        <f t="shared" si="260"/>
        <v>0</v>
      </c>
      <c r="J640" s="79">
        <f t="shared" si="260"/>
        <v>0</v>
      </c>
      <c r="K640" s="79">
        <f t="shared" si="260"/>
        <v>0</v>
      </c>
      <c r="L640" s="79">
        <f t="shared" si="260"/>
        <v>0</v>
      </c>
      <c r="M640" s="79">
        <f t="shared" si="260"/>
        <v>0</v>
      </c>
      <c r="N640" s="79">
        <f t="shared" si="260"/>
        <v>0</v>
      </c>
      <c r="O640" s="79">
        <f t="shared" si="260"/>
        <v>0</v>
      </c>
      <c r="P640" s="79">
        <f t="shared" si="260"/>
        <v>0</v>
      </c>
      <c r="Q640" s="79">
        <f t="shared" si="260"/>
        <v>0</v>
      </c>
      <c r="R640" s="79">
        <f t="shared" si="260"/>
        <v>0</v>
      </c>
      <c r="S640" s="79">
        <f t="shared" si="260"/>
        <v>0</v>
      </c>
      <c r="T640" s="79">
        <f t="shared" si="260"/>
        <v>342041384.40241784</v>
      </c>
      <c r="U640" s="79">
        <f t="shared" si="260"/>
        <v>559726383.01709938</v>
      </c>
      <c r="V640" s="79">
        <f t="shared" si="260"/>
        <v>95432667.516435459</v>
      </c>
      <c r="W640" s="79">
        <f t="shared" si="260"/>
        <v>163071069.60866195</v>
      </c>
      <c r="X640" s="79">
        <f t="shared" si="260"/>
        <v>0</v>
      </c>
      <c r="Y640" s="79">
        <f t="shared" si="260"/>
        <v>0</v>
      </c>
      <c r="Z640" s="79">
        <f t="shared" si="260"/>
        <v>0</v>
      </c>
      <c r="AA640" s="79">
        <f t="shared" si="260"/>
        <v>0</v>
      </c>
      <c r="AB640" s="79">
        <f t="shared" si="260"/>
        <v>0</v>
      </c>
      <c r="AC640" s="79">
        <f t="shared" si="260"/>
        <v>0</v>
      </c>
      <c r="AD640" s="79">
        <f t="shared" si="260"/>
        <v>0</v>
      </c>
      <c r="AE640" s="79">
        <f t="shared" si="260"/>
        <v>0</v>
      </c>
      <c r="AF640" s="79">
        <f t="shared" ref="AF640:AF648" si="261">SUM(H640:AE640)</f>
        <v>1160271504.5446148</v>
      </c>
      <c r="AG640" s="93" t="str">
        <f t="shared" si="250"/>
        <v>err</v>
      </c>
    </row>
    <row r="641" spans="1:33" s="60" customFormat="1">
      <c r="A641" s="60" t="s">
        <v>837</v>
      </c>
      <c r="D641" s="60" t="s">
        <v>616</v>
      </c>
      <c r="F641" s="79">
        <v>27272357.152828299</v>
      </c>
      <c r="G641" s="79"/>
      <c r="H641" s="79">
        <f t="shared" ref="H641:Q642" si="262">IF(VLOOKUP($D641,$C$6:$AE$653,H$2,)=0,0,((VLOOKUP($D641,$C$6:$AE$653,H$2,)/VLOOKUP($D641,$C$6:$AE$653,4,))*$F641))</f>
        <v>27272357.152828299</v>
      </c>
      <c r="I641" s="79">
        <f t="shared" si="262"/>
        <v>0</v>
      </c>
      <c r="J641" s="79">
        <f t="shared" si="262"/>
        <v>0</v>
      </c>
      <c r="K641" s="79">
        <f t="shared" si="262"/>
        <v>0</v>
      </c>
      <c r="L641" s="79">
        <f t="shared" si="262"/>
        <v>0</v>
      </c>
      <c r="M641" s="79">
        <f t="shared" si="262"/>
        <v>0</v>
      </c>
      <c r="N641" s="79">
        <f t="shared" si="262"/>
        <v>0</v>
      </c>
      <c r="O641" s="79">
        <f t="shared" si="262"/>
        <v>0</v>
      </c>
      <c r="P641" s="79">
        <f t="shared" si="262"/>
        <v>0</v>
      </c>
      <c r="Q641" s="79">
        <f t="shared" si="262"/>
        <v>0</v>
      </c>
      <c r="R641" s="79">
        <f t="shared" ref="R641:AE642" si="263">IF(VLOOKUP($D641,$C$6:$AE$653,R$2,)=0,0,((VLOOKUP($D641,$C$6:$AE$653,R$2,)/VLOOKUP($D641,$C$6:$AE$653,4,))*$F641))</f>
        <v>0</v>
      </c>
      <c r="S641" s="79">
        <f t="shared" si="263"/>
        <v>0</v>
      </c>
      <c r="T641" s="79">
        <f t="shared" si="263"/>
        <v>0</v>
      </c>
      <c r="U641" s="79">
        <f t="shared" si="263"/>
        <v>0</v>
      </c>
      <c r="V641" s="79">
        <f t="shared" si="263"/>
        <v>0</v>
      </c>
      <c r="W641" s="79">
        <f t="shared" si="263"/>
        <v>0</v>
      </c>
      <c r="X641" s="79">
        <f t="shared" si="263"/>
        <v>0</v>
      </c>
      <c r="Y641" s="79">
        <f t="shared" si="263"/>
        <v>0</v>
      </c>
      <c r="Z641" s="79">
        <f t="shared" si="263"/>
        <v>0</v>
      </c>
      <c r="AA641" s="79">
        <f t="shared" si="263"/>
        <v>0</v>
      </c>
      <c r="AB641" s="79">
        <f t="shared" si="263"/>
        <v>0</v>
      </c>
      <c r="AC641" s="79">
        <f t="shared" si="263"/>
        <v>0</v>
      </c>
      <c r="AD641" s="79">
        <f t="shared" si="263"/>
        <v>0</v>
      </c>
      <c r="AE641" s="79">
        <f t="shared" si="263"/>
        <v>0</v>
      </c>
      <c r="AF641" s="79">
        <f t="shared" si="261"/>
        <v>27272357.152828299</v>
      </c>
      <c r="AG641" s="93" t="str">
        <f>IF(ABS(AF641-F641)&lt;1,"ok","err")</f>
        <v>ok</v>
      </c>
    </row>
    <row r="642" spans="1:33" s="60" customFormat="1">
      <c r="A642" s="60" t="s">
        <v>838</v>
      </c>
      <c r="D642" s="60" t="s">
        <v>619</v>
      </c>
      <c r="F642" s="79">
        <v>22555449.143752601</v>
      </c>
      <c r="G642" s="81"/>
      <c r="H642" s="79">
        <f t="shared" si="262"/>
        <v>0</v>
      </c>
      <c r="I642" s="79">
        <f t="shared" si="262"/>
        <v>0</v>
      </c>
      <c r="J642" s="79">
        <f t="shared" si="262"/>
        <v>0</v>
      </c>
      <c r="K642" s="79">
        <f t="shared" si="262"/>
        <v>22555449.143752601</v>
      </c>
      <c r="L642" s="79">
        <f t="shared" si="262"/>
        <v>0</v>
      </c>
      <c r="M642" s="79">
        <f t="shared" si="262"/>
        <v>0</v>
      </c>
      <c r="N642" s="79">
        <f t="shared" si="262"/>
        <v>0</v>
      </c>
      <c r="O642" s="79">
        <f t="shared" si="262"/>
        <v>0</v>
      </c>
      <c r="P642" s="79">
        <f t="shared" si="262"/>
        <v>0</v>
      </c>
      <c r="Q642" s="79">
        <f t="shared" si="262"/>
        <v>0</v>
      </c>
      <c r="R642" s="79">
        <f t="shared" si="263"/>
        <v>0</v>
      </c>
      <c r="S642" s="79">
        <f t="shared" si="263"/>
        <v>0</v>
      </c>
      <c r="T642" s="79">
        <f t="shared" si="263"/>
        <v>0</v>
      </c>
      <c r="U642" s="79">
        <f t="shared" si="263"/>
        <v>0</v>
      </c>
      <c r="V642" s="79">
        <f t="shared" si="263"/>
        <v>0</v>
      </c>
      <c r="W642" s="79">
        <f t="shared" si="263"/>
        <v>0</v>
      </c>
      <c r="X642" s="79">
        <f t="shared" si="263"/>
        <v>0</v>
      </c>
      <c r="Y642" s="79">
        <f t="shared" si="263"/>
        <v>0</v>
      </c>
      <c r="Z642" s="79">
        <f t="shared" si="263"/>
        <v>0</v>
      </c>
      <c r="AA642" s="79">
        <f t="shared" si="263"/>
        <v>0</v>
      </c>
      <c r="AB642" s="79">
        <f t="shared" si="263"/>
        <v>0</v>
      </c>
      <c r="AC642" s="79">
        <f t="shared" si="263"/>
        <v>0</v>
      </c>
      <c r="AD642" s="79">
        <f t="shared" si="263"/>
        <v>0</v>
      </c>
      <c r="AE642" s="79">
        <f t="shared" si="263"/>
        <v>0</v>
      </c>
      <c r="AF642" s="79">
        <f t="shared" si="261"/>
        <v>22555449.143752601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910</v>
      </c>
      <c r="F643" s="79">
        <f>F641+F642</f>
        <v>49827806.296580896</v>
      </c>
      <c r="G643" s="79"/>
      <c r="H643" s="79">
        <f>H641+H642</f>
        <v>27272357.152828299</v>
      </c>
      <c r="I643" s="79">
        <f t="shared" ref="I643:AE643" si="264">I641+I642</f>
        <v>0</v>
      </c>
      <c r="J643" s="79">
        <f t="shared" si="264"/>
        <v>0</v>
      </c>
      <c r="K643" s="79">
        <f t="shared" si="264"/>
        <v>22555449.143752601</v>
      </c>
      <c r="L643" s="79">
        <f t="shared" si="264"/>
        <v>0</v>
      </c>
      <c r="M643" s="79">
        <f t="shared" si="264"/>
        <v>0</v>
      </c>
      <c r="N643" s="79">
        <f t="shared" si="264"/>
        <v>0</v>
      </c>
      <c r="O643" s="79">
        <f t="shared" si="264"/>
        <v>0</v>
      </c>
      <c r="P643" s="79">
        <f t="shared" si="264"/>
        <v>0</v>
      </c>
      <c r="Q643" s="79">
        <f t="shared" si="264"/>
        <v>0</v>
      </c>
      <c r="R643" s="79">
        <f t="shared" si="264"/>
        <v>0</v>
      </c>
      <c r="S643" s="79">
        <f t="shared" si="264"/>
        <v>0</v>
      </c>
      <c r="T643" s="79">
        <f t="shared" si="264"/>
        <v>0</v>
      </c>
      <c r="U643" s="79">
        <f t="shared" si="264"/>
        <v>0</v>
      </c>
      <c r="V643" s="79">
        <f t="shared" si="264"/>
        <v>0</v>
      </c>
      <c r="W643" s="79">
        <f t="shared" si="264"/>
        <v>0</v>
      </c>
      <c r="X643" s="79">
        <f t="shared" si="264"/>
        <v>0</v>
      </c>
      <c r="Y643" s="79">
        <f t="shared" si="264"/>
        <v>0</v>
      </c>
      <c r="Z643" s="79">
        <f t="shared" si="264"/>
        <v>0</v>
      </c>
      <c r="AA643" s="79">
        <f t="shared" si="264"/>
        <v>0</v>
      </c>
      <c r="AB643" s="79">
        <f t="shared" si="264"/>
        <v>0</v>
      </c>
      <c r="AC643" s="79">
        <f t="shared" si="264"/>
        <v>0</v>
      </c>
      <c r="AD643" s="79">
        <f t="shared" si="264"/>
        <v>0</v>
      </c>
      <c r="AE643" s="79">
        <f t="shared" si="264"/>
        <v>0</v>
      </c>
      <c r="AF643" s="79">
        <f t="shared" si="261"/>
        <v>49827806.296580896</v>
      </c>
      <c r="AG643" s="93" t="str">
        <f>IF(ABS(AF643-F643)&lt;1,"ok","err")</f>
        <v>ok</v>
      </c>
    </row>
    <row r="644" spans="1:33" s="60" customFormat="1">
      <c r="A644" s="60" t="s">
        <v>115</v>
      </c>
      <c r="C644" s="60" t="s">
        <v>113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30">
        <f t="shared" si="261"/>
        <v>1</v>
      </c>
      <c r="AG644" s="93" t="str">
        <f>IF(ABS(AF644-F644)&lt;1,"ok","err")</f>
        <v>ok</v>
      </c>
    </row>
    <row r="645" spans="1:33" s="60" customFormat="1">
      <c r="A645" s="60" t="s">
        <v>116</v>
      </c>
      <c r="C645" s="60" t="s">
        <v>114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30">
        <f t="shared" si="261"/>
        <v>1</v>
      </c>
      <c r="AG645" s="93" t="str">
        <f>IF(ABS(AF645-F645)&lt;1,"ok","err")</f>
        <v>ok</v>
      </c>
    </row>
    <row r="646" spans="1:33" s="60" customFormat="1">
      <c r="A646" s="60" t="s">
        <v>121</v>
      </c>
      <c r="C646" s="60" t="s">
        <v>118</v>
      </c>
      <c r="F646" s="81">
        <v>1</v>
      </c>
      <c r="G646" s="81"/>
      <c r="H646" s="230">
        <v>0</v>
      </c>
      <c r="I646" s="230">
        <v>0</v>
      </c>
      <c r="J646" s="230">
        <v>0</v>
      </c>
      <c r="K646" s="230">
        <v>0</v>
      </c>
      <c r="L646" s="230">
        <v>0</v>
      </c>
      <c r="M646" s="230">
        <v>1</v>
      </c>
      <c r="N646" s="230">
        <v>0</v>
      </c>
      <c r="O646" s="230">
        <v>0</v>
      </c>
      <c r="P646" s="230">
        <v>0</v>
      </c>
      <c r="Q646" s="230">
        <v>0</v>
      </c>
      <c r="R646" s="230">
        <v>0</v>
      </c>
      <c r="S646" s="230">
        <v>0</v>
      </c>
      <c r="T646" s="230">
        <v>0</v>
      </c>
      <c r="U646" s="230">
        <v>0</v>
      </c>
      <c r="V646" s="230">
        <v>0</v>
      </c>
      <c r="W646" s="230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30">
        <f t="shared" si="261"/>
        <v>1</v>
      </c>
      <c r="AG646" s="93" t="str">
        <f>IF(ABS(AF646-F646)&lt;0.0000001,"ok","err")</f>
        <v>ok</v>
      </c>
    </row>
    <row r="647" spans="1:33" s="60" customFormat="1">
      <c r="A647" s="60" t="s">
        <v>120</v>
      </c>
      <c r="C647" s="60" t="s">
        <v>119</v>
      </c>
      <c r="F647" s="81">
        <v>1</v>
      </c>
      <c r="G647" s="81"/>
      <c r="H647" s="230">
        <v>1</v>
      </c>
      <c r="I647" s="230">
        <v>0</v>
      </c>
      <c r="J647" s="230">
        <v>0</v>
      </c>
      <c r="K647" s="230">
        <v>0</v>
      </c>
      <c r="L647" s="230">
        <v>0</v>
      </c>
      <c r="M647" s="230">
        <v>0</v>
      </c>
      <c r="N647" s="230">
        <v>0</v>
      </c>
      <c r="O647" s="230">
        <v>0</v>
      </c>
      <c r="P647" s="230">
        <v>0</v>
      </c>
      <c r="Q647" s="230">
        <v>0</v>
      </c>
      <c r="R647" s="230">
        <v>0</v>
      </c>
      <c r="S647" s="230">
        <v>0</v>
      </c>
      <c r="T647" s="230">
        <v>0</v>
      </c>
      <c r="U647" s="230">
        <v>0</v>
      </c>
      <c r="V647" s="230">
        <v>0</v>
      </c>
      <c r="W647" s="230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30">
        <f t="shared" si="261"/>
        <v>1</v>
      </c>
      <c r="AG647" s="93" t="str">
        <f>IF(ABS(AF647-F647)&lt;0.0000001,"ok","err")</f>
        <v>ok</v>
      </c>
    </row>
    <row r="648" spans="1:33" s="60" customFormat="1">
      <c r="C648" s="60" t="s">
        <v>854</v>
      </c>
      <c r="F648" s="81">
        <v>1</v>
      </c>
      <c r="G648" s="81"/>
      <c r="H648" s="230">
        <v>0</v>
      </c>
      <c r="I648" s="230">
        <v>0</v>
      </c>
      <c r="J648" s="230">
        <v>0</v>
      </c>
      <c r="K648" s="230">
        <v>1</v>
      </c>
      <c r="L648" s="230">
        <v>0</v>
      </c>
      <c r="M648" s="230">
        <v>0</v>
      </c>
      <c r="N648" s="230">
        <v>0</v>
      </c>
      <c r="O648" s="230">
        <v>0</v>
      </c>
      <c r="P648" s="230">
        <v>0</v>
      </c>
      <c r="Q648" s="230">
        <v>0</v>
      </c>
      <c r="R648" s="230">
        <v>0</v>
      </c>
      <c r="S648" s="230">
        <v>0</v>
      </c>
      <c r="T648" s="230">
        <v>0</v>
      </c>
      <c r="U648" s="230">
        <v>0</v>
      </c>
      <c r="V648" s="230">
        <v>0</v>
      </c>
      <c r="W648" s="230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30">
        <f t="shared" si="261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4.1">
      <c r="A650" s="65" t="s">
        <v>829</v>
      </c>
      <c r="W650" s="77"/>
      <c r="AG650" s="93"/>
    </row>
    <row r="651" spans="1:33" s="60" customFormat="1">
      <c r="A651" s="60" t="s">
        <v>816</v>
      </c>
      <c r="D651" s="60" t="s">
        <v>1087</v>
      </c>
      <c r="F651" s="81">
        <v>1</v>
      </c>
      <c r="H651" s="110">
        <f t="shared" ref="H651:AE651" si="265">H50/$F$50</f>
        <v>0.61043730772305094</v>
      </c>
      <c r="I651" s="110">
        <f t="shared" si="265"/>
        <v>0</v>
      </c>
      <c r="J651" s="110">
        <f t="shared" si="265"/>
        <v>0</v>
      </c>
      <c r="K651" s="110">
        <f t="shared" si="265"/>
        <v>0</v>
      </c>
      <c r="L651" s="110">
        <f t="shared" si="265"/>
        <v>0</v>
      </c>
      <c r="M651" s="110">
        <f t="shared" si="265"/>
        <v>0</v>
      </c>
      <c r="N651" s="110">
        <f t="shared" si="265"/>
        <v>9.3756900804937926E-2</v>
      </c>
      <c r="O651" s="110">
        <f t="shared" si="265"/>
        <v>0</v>
      </c>
      <c r="P651" s="110">
        <f t="shared" si="265"/>
        <v>0</v>
      </c>
      <c r="Q651" s="110">
        <f t="shared" si="265"/>
        <v>0</v>
      </c>
      <c r="R651" s="110">
        <f t="shared" si="265"/>
        <v>3.6887483258388143E-2</v>
      </c>
      <c r="S651" s="110">
        <f t="shared" si="265"/>
        <v>0</v>
      </c>
      <c r="T651" s="110">
        <f t="shared" si="265"/>
        <v>5.6628877819627173E-2</v>
      </c>
      <c r="U651" s="110">
        <f t="shared" si="265"/>
        <v>9.2669128361980463E-2</v>
      </c>
      <c r="V651" s="110">
        <f t="shared" si="265"/>
        <v>1.5799973673452143E-2</v>
      </c>
      <c r="W651" s="110">
        <f t="shared" si="265"/>
        <v>2.6998287628026446E-2</v>
      </c>
      <c r="X651" s="110">
        <f t="shared" si="265"/>
        <v>1.9355857643162909E-2</v>
      </c>
      <c r="Y651" s="110">
        <f t="shared" si="265"/>
        <v>1.0789108078452689E-2</v>
      </c>
      <c r="Z651" s="110">
        <f t="shared" si="265"/>
        <v>6.8982425131890145E-3</v>
      </c>
      <c r="AA651" s="110">
        <f t="shared" si="265"/>
        <v>7.0350172471143795E-3</v>
      </c>
      <c r="AB651" s="110">
        <f t="shared" si="265"/>
        <v>2.2743815248617724E-2</v>
      </c>
      <c r="AC651" s="110">
        <f t="shared" si="265"/>
        <v>0</v>
      </c>
      <c r="AD651" s="110">
        <f t="shared" si="265"/>
        <v>0</v>
      </c>
      <c r="AE651" s="110">
        <f t="shared" si="265"/>
        <v>0</v>
      </c>
      <c r="AF651" s="230">
        <f t="shared" ref="AF651:AF669" si="266">SUM(H651:AE651)</f>
        <v>1</v>
      </c>
      <c r="AG651" s="93" t="str">
        <f t="shared" ref="AG651:AG669" si="267">IF(ABS(AF651-F651)&lt;0.0000001,"ok","err")</f>
        <v>ok</v>
      </c>
    </row>
    <row r="652" spans="1:33" s="60" customFormat="1">
      <c r="A652" s="60" t="s">
        <v>879</v>
      </c>
      <c r="D652" s="60" t="s">
        <v>859</v>
      </c>
      <c r="F652" s="81">
        <v>1</v>
      </c>
      <c r="H652" s="110">
        <f t="shared" ref="H652:AE652" si="268">H48/$F$48</f>
        <v>0</v>
      </c>
      <c r="I652" s="110">
        <f t="shared" si="268"/>
        <v>0</v>
      </c>
      <c r="J652" s="110">
        <f t="shared" si="268"/>
        <v>0</v>
      </c>
      <c r="K652" s="110">
        <f t="shared" si="268"/>
        <v>0</v>
      </c>
      <c r="L652" s="110">
        <f t="shared" si="268"/>
        <v>0</v>
      </c>
      <c r="M652" s="110">
        <f t="shared" si="268"/>
        <v>0</v>
      </c>
      <c r="N652" s="110">
        <f t="shared" si="268"/>
        <v>0</v>
      </c>
      <c r="O652" s="110">
        <f t="shared" si="268"/>
        <v>0</v>
      </c>
      <c r="P652" s="110">
        <f t="shared" si="268"/>
        <v>0</v>
      </c>
      <c r="Q652" s="110">
        <f t="shared" si="268"/>
        <v>0</v>
      </c>
      <c r="R652" s="110">
        <f t="shared" si="268"/>
        <v>0.12470169388782373</v>
      </c>
      <c r="S652" s="110">
        <f t="shared" si="268"/>
        <v>0</v>
      </c>
      <c r="T652" s="110">
        <f t="shared" si="268"/>
        <v>0.19143938168967647</v>
      </c>
      <c r="U652" s="110">
        <f t="shared" si="268"/>
        <v>0.31327692368980803</v>
      </c>
      <c r="V652" s="110">
        <f t="shared" si="268"/>
        <v>5.3413334454430812E-2</v>
      </c>
      <c r="W652" s="110">
        <f t="shared" si="268"/>
        <v>9.1270314531962118E-2</v>
      </c>
      <c r="X652" s="110">
        <f t="shared" si="268"/>
        <v>6.5434343076390872E-2</v>
      </c>
      <c r="Y652" s="110">
        <f t="shared" si="268"/>
        <v>3.6473620157208952E-2</v>
      </c>
      <c r="Z652" s="110">
        <f t="shared" si="268"/>
        <v>2.3320173952178083E-2</v>
      </c>
      <c r="AA652" s="110">
        <f t="shared" si="268"/>
        <v>2.3782554128187271E-2</v>
      </c>
      <c r="AB652" s="110">
        <f t="shared" si="268"/>
        <v>7.688766043233379E-2</v>
      </c>
      <c r="AC652" s="110">
        <f t="shared" si="268"/>
        <v>0</v>
      </c>
      <c r="AD652" s="110">
        <f t="shared" si="268"/>
        <v>0</v>
      </c>
      <c r="AE652" s="110">
        <f t="shared" si="268"/>
        <v>0</v>
      </c>
      <c r="AF652" s="230">
        <f t="shared" si="266"/>
        <v>1.0000000000000002</v>
      </c>
      <c r="AG652" s="93" t="str">
        <f t="shared" si="267"/>
        <v>ok</v>
      </c>
    </row>
    <row r="653" spans="1:33" s="60" customFormat="1">
      <c r="A653" s="60" t="s">
        <v>1057</v>
      </c>
      <c r="D653" s="60" t="s">
        <v>1085</v>
      </c>
      <c r="F653" s="81">
        <v>1</v>
      </c>
      <c r="H653" s="110">
        <f t="shared" ref="H653:AE653" si="269">H33/$F$33</f>
        <v>0</v>
      </c>
      <c r="I653" s="110">
        <f t="shared" si="269"/>
        <v>0</v>
      </c>
      <c r="J653" s="110">
        <f t="shared" si="269"/>
        <v>0</v>
      </c>
      <c r="K653" s="110">
        <f t="shared" si="269"/>
        <v>0</v>
      </c>
      <c r="L653" s="110">
        <f t="shared" si="269"/>
        <v>0</v>
      </c>
      <c r="M653" s="110">
        <f t="shared" si="269"/>
        <v>0</v>
      </c>
      <c r="N653" s="110">
        <f t="shared" si="269"/>
        <v>1</v>
      </c>
      <c r="O653" s="110">
        <f t="shared" si="269"/>
        <v>0</v>
      </c>
      <c r="P653" s="110">
        <f t="shared" si="269"/>
        <v>0</v>
      </c>
      <c r="Q653" s="110">
        <f t="shared" si="269"/>
        <v>0</v>
      </c>
      <c r="R653" s="110">
        <f t="shared" si="269"/>
        <v>0</v>
      </c>
      <c r="S653" s="110">
        <f t="shared" si="269"/>
        <v>0</v>
      </c>
      <c r="T653" s="110">
        <f t="shared" si="269"/>
        <v>0</v>
      </c>
      <c r="U653" s="110">
        <f t="shared" si="269"/>
        <v>0</v>
      </c>
      <c r="V653" s="110">
        <f t="shared" si="269"/>
        <v>0</v>
      </c>
      <c r="W653" s="110">
        <f t="shared" si="269"/>
        <v>0</v>
      </c>
      <c r="X653" s="110">
        <f t="shared" si="269"/>
        <v>0</v>
      </c>
      <c r="Y653" s="110">
        <f t="shared" si="269"/>
        <v>0</v>
      </c>
      <c r="Z653" s="110">
        <f t="shared" si="269"/>
        <v>0</v>
      </c>
      <c r="AA653" s="110">
        <f t="shared" si="269"/>
        <v>0</v>
      </c>
      <c r="AB653" s="110">
        <f t="shared" si="269"/>
        <v>0</v>
      </c>
      <c r="AC653" s="110">
        <f t="shared" si="269"/>
        <v>0</v>
      </c>
      <c r="AD653" s="110">
        <f t="shared" si="269"/>
        <v>0</v>
      </c>
      <c r="AE653" s="110">
        <f t="shared" si="269"/>
        <v>0</v>
      </c>
      <c r="AF653" s="230">
        <f t="shared" si="266"/>
        <v>1</v>
      </c>
      <c r="AG653" s="93" t="str">
        <f t="shared" si="267"/>
        <v>ok</v>
      </c>
    </row>
    <row r="654" spans="1:33" s="60" customFormat="1">
      <c r="A654" s="60" t="s">
        <v>19</v>
      </c>
      <c r="D654" s="60" t="s">
        <v>901</v>
      </c>
      <c r="F654" s="81">
        <v>1</v>
      </c>
      <c r="H654" s="110">
        <f>H335/$F$335</f>
        <v>0.14707976030885322</v>
      </c>
      <c r="I654" s="110">
        <f t="shared" ref="I654:AE654" si="270">I335/$F$335</f>
        <v>0</v>
      </c>
      <c r="J654" s="110">
        <f t="shared" si="270"/>
        <v>0</v>
      </c>
      <c r="K654" s="110">
        <f t="shared" si="270"/>
        <v>0.62967469397489018</v>
      </c>
      <c r="L654" s="110">
        <f t="shared" si="270"/>
        <v>0</v>
      </c>
      <c r="M654" s="110">
        <f t="shared" si="270"/>
        <v>0</v>
      </c>
      <c r="N654" s="110">
        <f t="shared" si="270"/>
        <v>5.742800867517929E-2</v>
      </c>
      <c r="O654" s="110">
        <f t="shared" si="270"/>
        <v>0</v>
      </c>
      <c r="P654" s="110">
        <f t="shared" si="270"/>
        <v>0</v>
      </c>
      <c r="Q654" s="110">
        <f t="shared" si="270"/>
        <v>0</v>
      </c>
      <c r="R654" s="110">
        <f t="shared" si="270"/>
        <v>1.3453710321706785E-2</v>
      </c>
      <c r="S654" s="110">
        <f t="shared" si="270"/>
        <v>0</v>
      </c>
      <c r="T654" s="110">
        <f t="shared" si="270"/>
        <v>2.1994426520371639E-2</v>
      </c>
      <c r="U654" s="110">
        <f t="shared" si="270"/>
        <v>3.6811390350483197E-2</v>
      </c>
      <c r="V654" s="110">
        <f t="shared" si="270"/>
        <v>6.9466956749761133E-3</v>
      </c>
      <c r="W654" s="110">
        <f t="shared" si="270"/>
        <v>1.2036441881359385E-2</v>
      </c>
      <c r="X654" s="110">
        <f t="shared" si="270"/>
        <v>1.8612190697030284E-3</v>
      </c>
      <c r="Y654" s="110">
        <f t="shared" si="270"/>
        <v>1.0374582243218935E-3</v>
      </c>
      <c r="Z654" s="110">
        <f t="shared" si="270"/>
        <v>5.5470638504062674E-4</v>
      </c>
      <c r="AA654" s="110">
        <f t="shared" si="270"/>
        <v>2.3191008213927566E-2</v>
      </c>
      <c r="AB654" s="110">
        <f t="shared" si="270"/>
        <v>2.7891487265620258E-3</v>
      </c>
      <c r="AC654" s="110">
        <f t="shared" si="270"/>
        <v>3.6995681594351341E-2</v>
      </c>
      <c r="AD654" s="110">
        <f t="shared" si="270"/>
        <v>8.1456500782737997E-3</v>
      </c>
      <c r="AE654" s="110">
        <f t="shared" si="270"/>
        <v>0</v>
      </c>
      <c r="AF654" s="230">
        <f t="shared" si="266"/>
        <v>1.0000000000000002</v>
      </c>
      <c r="AG654" s="93" t="str">
        <f t="shared" si="267"/>
        <v>ok</v>
      </c>
    </row>
    <row r="655" spans="1:33" s="60" customFormat="1">
      <c r="A655" s="60" t="s">
        <v>883</v>
      </c>
      <c r="D655" s="60" t="s">
        <v>884</v>
      </c>
      <c r="F655" s="81">
        <v>1</v>
      </c>
      <c r="H655" s="110">
        <f t="shared" ref="H655:AE655" si="271">H69/$F$69</f>
        <v>0.61016834105937556</v>
      </c>
      <c r="I655" s="110">
        <f t="shared" si="271"/>
        <v>0</v>
      </c>
      <c r="J655" s="110">
        <f t="shared" si="271"/>
        <v>0</v>
      </c>
      <c r="K655" s="110">
        <f t="shared" si="271"/>
        <v>0</v>
      </c>
      <c r="L655" s="110">
        <f t="shared" si="271"/>
        <v>0</v>
      </c>
      <c r="M655" s="110">
        <f t="shared" si="271"/>
        <v>0</v>
      </c>
      <c r="N655" s="110">
        <f t="shared" si="271"/>
        <v>9.3710432468776958E-2</v>
      </c>
      <c r="O655" s="110">
        <f t="shared" si="271"/>
        <v>0</v>
      </c>
      <c r="P655" s="110">
        <f t="shared" si="271"/>
        <v>0</v>
      </c>
      <c r="Q655" s="110">
        <f t="shared" si="271"/>
        <v>0</v>
      </c>
      <c r="R655" s="110">
        <f t="shared" si="271"/>
        <v>3.692681853717926E-2</v>
      </c>
      <c r="S655" s="110">
        <f t="shared" si="271"/>
        <v>0</v>
      </c>
      <c r="T655" s="110">
        <f t="shared" si="271"/>
        <v>5.6689264500959152E-2</v>
      </c>
      <c r="U655" s="110">
        <f t="shared" si="271"/>
        <v>9.2767946868353338E-2</v>
      </c>
      <c r="V655" s="110">
        <f t="shared" si="271"/>
        <v>1.5816822108597042E-2</v>
      </c>
      <c r="W655" s="110">
        <f t="shared" si="271"/>
        <v>2.7027077479675917E-2</v>
      </c>
      <c r="X655" s="110">
        <f t="shared" si="271"/>
        <v>1.9376497925160514E-2</v>
      </c>
      <c r="Y655" s="110">
        <f t="shared" si="271"/>
        <v>1.0800613134821014E-2</v>
      </c>
      <c r="Z655" s="110">
        <f t="shared" si="271"/>
        <v>6.905598512255807E-3</v>
      </c>
      <c r="AA655" s="110">
        <f t="shared" si="271"/>
        <v>7.042519097071917E-3</v>
      </c>
      <c r="AB655" s="110">
        <f t="shared" si="271"/>
        <v>2.2768068307773625E-2</v>
      </c>
      <c r="AC655" s="110">
        <f t="shared" si="271"/>
        <v>0</v>
      </c>
      <c r="AD655" s="110">
        <f t="shared" si="271"/>
        <v>0</v>
      </c>
      <c r="AE655" s="110">
        <f t="shared" si="271"/>
        <v>0</v>
      </c>
      <c r="AF655" s="230">
        <f t="shared" si="266"/>
        <v>1</v>
      </c>
      <c r="AG655" s="93" t="str">
        <f t="shared" si="267"/>
        <v>ok</v>
      </c>
    </row>
    <row r="656" spans="1:33" s="60" customFormat="1">
      <c r="A656" s="60" t="s">
        <v>830</v>
      </c>
      <c r="D656" s="60" t="s">
        <v>98</v>
      </c>
      <c r="F656" s="81">
        <v>1</v>
      </c>
      <c r="H656" s="110">
        <f>H540/$F$540</f>
        <v>0.32759067247532991</v>
      </c>
      <c r="I656" s="110">
        <f t="shared" ref="I656:AE656" si="272">I540/$F$540</f>
        <v>0</v>
      </c>
      <c r="J656" s="110">
        <f t="shared" si="272"/>
        <v>0</v>
      </c>
      <c r="K656" s="110">
        <f t="shared" si="272"/>
        <v>0.27428769468084513</v>
      </c>
      <c r="L656" s="110">
        <f t="shared" si="272"/>
        <v>0</v>
      </c>
      <c r="M656" s="110">
        <f t="shared" si="272"/>
        <v>0</v>
      </c>
      <c r="N656" s="110">
        <f t="shared" si="272"/>
        <v>7.5175474667182329E-2</v>
      </c>
      <c r="O656" s="110">
        <f t="shared" si="272"/>
        <v>0</v>
      </c>
      <c r="P656" s="110">
        <f t="shared" si="272"/>
        <v>0</v>
      </c>
      <c r="Q656" s="110">
        <f t="shared" si="272"/>
        <v>0</v>
      </c>
      <c r="R656" s="110">
        <f t="shared" si="272"/>
        <v>3.1273194604270249E-2</v>
      </c>
      <c r="S656" s="110">
        <f t="shared" si="272"/>
        <v>0</v>
      </c>
      <c r="T656" s="110">
        <f t="shared" si="272"/>
        <v>3.1155594605110429E-2</v>
      </c>
      <c r="U656" s="110">
        <f t="shared" si="272"/>
        <v>5.2626725400509965E-2</v>
      </c>
      <c r="V656" s="110">
        <f t="shared" si="272"/>
        <v>1.0317402601213667E-2</v>
      </c>
      <c r="W656" s="110">
        <f t="shared" si="272"/>
        <v>1.7963339839116417E-2</v>
      </c>
      <c r="X656" s="110">
        <f t="shared" si="272"/>
        <v>2.9220455672678758E-3</v>
      </c>
      <c r="Y656" s="110">
        <f t="shared" si="272"/>
        <v>1.6287713009995593E-3</v>
      </c>
      <c r="Z656" s="110">
        <f t="shared" si="272"/>
        <v>7.4452181002548207E-4</v>
      </c>
      <c r="AA656" s="110">
        <f t="shared" si="272"/>
        <v>6.3352731025251741E-2</v>
      </c>
      <c r="AB656" s="110">
        <f t="shared" si="272"/>
        <v>2.5614809484403706E-3</v>
      </c>
      <c r="AC656" s="110">
        <f t="shared" si="272"/>
        <v>8.900913753754669E-2</v>
      </c>
      <c r="AD656" s="110">
        <f t="shared" si="272"/>
        <v>1.9391212936890254E-2</v>
      </c>
      <c r="AE656" s="110">
        <f t="shared" si="272"/>
        <v>0</v>
      </c>
      <c r="AF656" s="230">
        <f t="shared" si="266"/>
        <v>1</v>
      </c>
      <c r="AG656" s="93" t="str">
        <f t="shared" si="267"/>
        <v>ok</v>
      </c>
    </row>
    <row r="657" spans="1:33" s="60" customFormat="1">
      <c r="A657" s="60" t="s">
        <v>267</v>
      </c>
      <c r="D657" s="60" t="s">
        <v>18</v>
      </c>
      <c r="F657" s="81">
        <v>1</v>
      </c>
      <c r="H657" s="110">
        <f>H308/$F$308</f>
        <v>0.14494815376761611</v>
      </c>
      <c r="I657" s="110">
        <f t="shared" ref="I657:AE657" si="273">I308/$F$308</f>
        <v>0</v>
      </c>
      <c r="J657" s="110">
        <f t="shared" si="273"/>
        <v>0</v>
      </c>
      <c r="K657" s="110">
        <f t="shared" si="273"/>
        <v>0.67605346010541334</v>
      </c>
      <c r="L657" s="110">
        <f t="shared" si="273"/>
        <v>0</v>
      </c>
      <c r="M657" s="110">
        <f t="shared" si="273"/>
        <v>0</v>
      </c>
      <c r="N657" s="110">
        <f t="shared" si="273"/>
        <v>4.9836348953259751E-2</v>
      </c>
      <c r="O657" s="110">
        <f t="shared" si="273"/>
        <v>0</v>
      </c>
      <c r="P657" s="110">
        <f t="shared" si="273"/>
        <v>0</v>
      </c>
      <c r="Q657" s="110">
        <f t="shared" si="273"/>
        <v>0</v>
      </c>
      <c r="R657" s="110">
        <f t="shared" si="273"/>
        <v>9.5476673787142832E-3</v>
      </c>
      <c r="S657" s="110">
        <f t="shared" si="273"/>
        <v>0</v>
      </c>
      <c r="T657" s="110">
        <f t="shared" si="273"/>
        <v>1.838720165655813E-2</v>
      </c>
      <c r="U657" s="110">
        <f t="shared" si="273"/>
        <v>3.0748590560060303E-2</v>
      </c>
      <c r="V657" s="110">
        <f t="shared" si="273"/>
        <v>5.7821754501481016E-3</v>
      </c>
      <c r="W657" s="110">
        <f t="shared" si="273"/>
        <v>1.0014122240769734E-2</v>
      </c>
      <c r="X657" s="110">
        <f t="shared" si="273"/>
        <v>1.2412870339670221E-3</v>
      </c>
      <c r="Y657" s="110">
        <f t="shared" si="273"/>
        <v>6.919032063961672E-4</v>
      </c>
      <c r="Z657" s="110">
        <f t="shared" si="273"/>
        <v>3.6568178365626436E-4</v>
      </c>
      <c r="AA657" s="110">
        <f t="shared" si="273"/>
        <v>1.6248235878006216E-2</v>
      </c>
      <c r="AB657" s="110">
        <f t="shared" si="273"/>
        <v>2.2253035721858236E-3</v>
      </c>
      <c r="AC657" s="110">
        <f t="shared" si="273"/>
        <v>2.7767935017802878E-2</v>
      </c>
      <c r="AD657" s="110">
        <f t="shared" si="273"/>
        <v>6.1419333954456957E-3</v>
      </c>
      <c r="AE657" s="110">
        <f t="shared" si="273"/>
        <v>0</v>
      </c>
      <c r="AF657" s="230">
        <f t="shared" si="266"/>
        <v>0.99999999999999956</v>
      </c>
      <c r="AG657" s="93" t="str">
        <f t="shared" si="267"/>
        <v>ok</v>
      </c>
    </row>
    <row r="658" spans="1:33" s="60" customFormat="1">
      <c r="A658" s="60" t="s">
        <v>831</v>
      </c>
      <c r="D658" s="60" t="s">
        <v>629</v>
      </c>
      <c r="F658" s="81">
        <v>1</v>
      </c>
      <c r="H658" s="110">
        <f>H372/$F$372</f>
        <v>0.87350659439762857</v>
      </c>
      <c r="I658" s="110">
        <f t="shared" ref="I658:AE658" si="274">I372/$F$372</f>
        <v>0</v>
      </c>
      <c r="J658" s="110">
        <f t="shared" si="274"/>
        <v>0</v>
      </c>
      <c r="K658" s="110">
        <f t="shared" si="274"/>
        <v>0.12649340560237138</v>
      </c>
      <c r="L658" s="110">
        <f t="shared" si="274"/>
        <v>0</v>
      </c>
      <c r="M658" s="110">
        <f t="shared" si="274"/>
        <v>0</v>
      </c>
      <c r="N658" s="110">
        <f t="shared" si="274"/>
        <v>0</v>
      </c>
      <c r="O658" s="110">
        <f t="shared" si="274"/>
        <v>0</v>
      </c>
      <c r="P658" s="110">
        <f t="shared" si="274"/>
        <v>0</v>
      </c>
      <c r="Q658" s="110">
        <f t="shared" si="274"/>
        <v>0</v>
      </c>
      <c r="R658" s="110">
        <f t="shared" si="274"/>
        <v>0</v>
      </c>
      <c r="S658" s="110">
        <f t="shared" si="274"/>
        <v>0</v>
      </c>
      <c r="T658" s="110">
        <f t="shared" si="274"/>
        <v>0</v>
      </c>
      <c r="U658" s="110">
        <f t="shared" si="274"/>
        <v>0</v>
      </c>
      <c r="V658" s="110">
        <f t="shared" si="274"/>
        <v>0</v>
      </c>
      <c r="W658" s="110">
        <f t="shared" si="274"/>
        <v>0</v>
      </c>
      <c r="X658" s="110">
        <f t="shared" si="274"/>
        <v>0</v>
      </c>
      <c r="Y658" s="110">
        <f t="shared" si="274"/>
        <v>0</v>
      </c>
      <c r="Z658" s="110">
        <f t="shared" si="274"/>
        <v>0</v>
      </c>
      <c r="AA658" s="110">
        <f t="shared" si="274"/>
        <v>0</v>
      </c>
      <c r="AB658" s="110">
        <f t="shared" si="274"/>
        <v>0</v>
      </c>
      <c r="AC658" s="110">
        <f t="shared" si="274"/>
        <v>0</v>
      </c>
      <c r="AD658" s="110">
        <f t="shared" si="274"/>
        <v>0</v>
      </c>
      <c r="AE658" s="110">
        <f t="shared" si="274"/>
        <v>0</v>
      </c>
      <c r="AF658" s="230">
        <f t="shared" si="266"/>
        <v>1</v>
      </c>
      <c r="AG658" s="93" t="str">
        <f t="shared" si="267"/>
        <v>ok</v>
      </c>
    </row>
    <row r="659" spans="1:33" s="60" customFormat="1">
      <c r="A659" s="60" t="s">
        <v>832</v>
      </c>
      <c r="D659" s="60" t="s">
        <v>86</v>
      </c>
      <c r="F659" s="81">
        <v>1</v>
      </c>
      <c r="H659" s="110">
        <f>H381/$F$381</f>
        <v>3.9247475241784638E-3</v>
      </c>
      <c r="I659" s="110">
        <f t="shared" ref="I659:AE659" si="275">I381/$F$381</f>
        <v>0</v>
      </c>
      <c r="J659" s="110">
        <f t="shared" si="275"/>
        <v>0</v>
      </c>
      <c r="K659" s="110">
        <f t="shared" si="275"/>
        <v>0.99607525247582152</v>
      </c>
      <c r="L659" s="110">
        <f t="shared" si="275"/>
        <v>0</v>
      </c>
      <c r="M659" s="110">
        <f t="shared" si="275"/>
        <v>0</v>
      </c>
      <c r="N659" s="110">
        <f t="shared" si="275"/>
        <v>0</v>
      </c>
      <c r="O659" s="110">
        <f t="shared" si="275"/>
        <v>0</v>
      </c>
      <c r="P659" s="110">
        <f t="shared" si="275"/>
        <v>0</v>
      </c>
      <c r="Q659" s="110">
        <f t="shared" si="275"/>
        <v>0</v>
      </c>
      <c r="R659" s="110">
        <f t="shared" si="275"/>
        <v>0</v>
      </c>
      <c r="S659" s="110">
        <f t="shared" si="275"/>
        <v>0</v>
      </c>
      <c r="T659" s="110">
        <f t="shared" si="275"/>
        <v>0</v>
      </c>
      <c r="U659" s="110">
        <f t="shared" si="275"/>
        <v>0</v>
      </c>
      <c r="V659" s="110">
        <f t="shared" si="275"/>
        <v>0</v>
      </c>
      <c r="W659" s="110">
        <f t="shared" si="275"/>
        <v>0</v>
      </c>
      <c r="X659" s="110">
        <f t="shared" si="275"/>
        <v>0</v>
      </c>
      <c r="Y659" s="110">
        <f t="shared" si="275"/>
        <v>0</v>
      </c>
      <c r="Z659" s="110">
        <f t="shared" si="275"/>
        <v>0</v>
      </c>
      <c r="AA659" s="110">
        <f t="shared" si="275"/>
        <v>0</v>
      </c>
      <c r="AB659" s="110">
        <f t="shared" si="275"/>
        <v>0</v>
      </c>
      <c r="AC659" s="110">
        <f t="shared" si="275"/>
        <v>0</v>
      </c>
      <c r="AD659" s="110">
        <f t="shared" si="275"/>
        <v>0</v>
      </c>
      <c r="AE659" s="110">
        <f t="shared" si="275"/>
        <v>0</v>
      </c>
      <c r="AF659" s="230">
        <f t="shared" si="266"/>
        <v>1</v>
      </c>
      <c r="AG659" s="93" t="str">
        <f t="shared" si="267"/>
        <v>ok</v>
      </c>
    </row>
    <row r="660" spans="1:33" s="60" customFormat="1">
      <c r="A660" s="60" t="s">
        <v>833</v>
      </c>
      <c r="D660" s="60" t="s">
        <v>630</v>
      </c>
      <c r="F660" s="81">
        <v>1</v>
      </c>
      <c r="H660" s="110">
        <f>H393/$F$393</f>
        <v>1</v>
      </c>
      <c r="I660" s="110">
        <f t="shared" ref="I660:AE660" si="276">I393/$F$393</f>
        <v>0</v>
      </c>
      <c r="J660" s="110">
        <f t="shared" si="276"/>
        <v>0</v>
      </c>
      <c r="K660" s="110">
        <f t="shared" si="276"/>
        <v>0</v>
      </c>
      <c r="L660" s="110">
        <f t="shared" si="276"/>
        <v>0</v>
      </c>
      <c r="M660" s="110">
        <f t="shared" si="276"/>
        <v>0</v>
      </c>
      <c r="N660" s="110">
        <f t="shared" si="276"/>
        <v>0</v>
      </c>
      <c r="O660" s="110">
        <f t="shared" si="276"/>
        <v>0</v>
      </c>
      <c r="P660" s="110">
        <f t="shared" si="276"/>
        <v>0</v>
      </c>
      <c r="Q660" s="110">
        <f t="shared" si="276"/>
        <v>0</v>
      </c>
      <c r="R660" s="110">
        <f t="shared" si="276"/>
        <v>0</v>
      </c>
      <c r="S660" s="110">
        <f t="shared" si="276"/>
        <v>0</v>
      </c>
      <c r="T660" s="110">
        <f t="shared" si="276"/>
        <v>0</v>
      </c>
      <c r="U660" s="110">
        <f t="shared" si="276"/>
        <v>0</v>
      </c>
      <c r="V660" s="110">
        <f t="shared" si="276"/>
        <v>0</v>
      </c>
      <c r="W660" s="110">
        <f t="shared" si="276"/>
        <v>0</v>
      </c>
      <c r="X660" s="110">
        <f t="shared" si="276"/>
        <v>0</v>
      </c>
      <c r="Y660" s="110">
        <f t="shared" si="276"/>
        <v>0</v>
      </c>
      <c r="Z660" s="110">
        <f t="shared" si="276"/>
        <v>0</v>
      </c>
      <c r="AA660" s="110">
        <f t="shared" si="276"/>
        <v>0</v>
      </c>
      <c r="AB660" s="110">
        <f t="shared" si="276"/>
        <v>0</v>
      </c>
      <c r="AC660" s="110">
        <f t="shared" si="276"/>
        <v>0</v>
      </c>
      <c r="AD660" s="110">
        <f t="shared" si="276"/>
        <v>0</v>
      </c>
      <c r="AE660" s="110">
        <f t="shared" si="276"/>
        <v>0</v>
      </c>
      <c r="AF660" s="230">
        <f t="shared" si="266"/>
        <v>1</v>
      </c>
      <c r="AG660" s="93" t="str">
        <f t="shared" si="267"/>
        <v>ok</v>
      </c>
    </row>
    <row r="661" spans="1:33" s="60" customFormat="1">
      <c r="A661" s="60" t="s">
        <v>834</v>
      </c>
      <c r="D661" s="60" t="s">
        <v>631</v>
      </c>
      <c r="F661" s="81">
        <v>1</v>
      </c>
      <c r="H661" s="110">
        <f>H402/$F$402</f>
        <v>0.54361491758432678</v>
      </c>
      <c r="I661" s="110">
        <f t="shared" ref="I661:AE661" si="277">I402/$F$402</f>
        <v>0</v>
      </c>
      <c r="J661" s="110">
        <f t="shared" si="277"/>
        <v>0</v>
      </c>
      <c r="K661" s="110">
        <f t="shared" si="277"/>
        <v>0.45638508241567322</v>
      </c>
      <c r="L661" s="110">
        <f t="shared" si="277"/>
        <v>0</v>
      </c>
      <c r="M661" s="110">
        <f t="shared" si="277"/>
        <v>0</v>
      </c>
      <c r="N661" s="110">
        <f t="shared" si="277"/>
        <v>0</v>
      </c>
      <c r="O661" s="110">
        <f t="shared" si="277"/>
        <v>0</v>
      </c>
      <c r="P661" s="110">
        <f t="shared" si="277"/>
        <v>0</v>
      </c>
      <c r="Q661" s="110">
        <f t="shared" si="277"/>
        <v>0</v>
      </c>
      <c r="R661" s="110">
        <f t="shared" si="277"/>
        <v>0</v>
      </c>
      <c r="S661" s="110">
        <f t="shared" si="277"/>
        <v>0</v>
      </c>
      <c r="T661" s="110">
        <f t="shared" si="277"/>
        <v>0</v>
      </c>
      <c r="U661" s="110">
        <f t="shared" si="277"/>
        <v>0</v>
      </c>
      <c r="V661" s="110">
        <f t="shared" si="277"/>
        <v>0</v>
      </c>
      <c r="W661" s="110">
        <f t="shared" si="277"/>
        <v>0</v>
      </c>
      <c r="X661" s="110">
        <f t="shared" si="277"/>
        <v>0</v>
      </c>
      <c r="Y661" s="110">
        <f t="shared" si="277"/>
        <v>0</v>
      </c>
      <c r="Z661" s="110">
        <f t="shared" si="277"/>
        <v>0</v>
      </c>
      <c r="AA661" s="110">
        <f t="shared" si="277"/>
        <v>0</v>
      </c>
      <c r="AB661" s="110">
        <f t="shared" si="277"/>
        <v>0</v>
      </c>
      <c r="AC661" s="110">
        <f t="shared" si="277"/>
        <v>0</v>
      </c>
      <c r="AD661" s="110">
        <f t="shared" si="277"/>
        <v>0</v>
      </c>
      <c r="AE661" s="110">
        <f t="shared" si="277"/>
        <v>0</v>
      </c>
      <c r="AF661" s="230">
        <f t="shared" si="266"/>
        <v>1</v>
      </c>
      <c r="AG661" s="93" t="str">
        <f t="shared" si="267"/>
        <v>ok</v>
      </c>
    </row>
    <row r="662" spans="1:33" s="60" customFormat="1">
      <c r="A662" s="60" t="s">
        <v>835</v>
      </c>
      <c r="D662" s="60" t="s">
        <v>632</v>
      </c>
      <c r="F662" s="81">
        <v>1</v>
      </c>
      <c r="H662" s="110">
        <f>H415/$F$415</f>
        <v>1</v>
      </c>
      <c r="I662" s="110">
        <f t="shared" ref="I662:AE662" si="278">I415/$F$415</f>
        <v>0</v>
      </c>
      <c r="J662" s="110">
        <f t="shared" si="278"/>
        <v>0</v>
      </c>
      <c r="K662" s="110">
        <f t="shared" si="278"/>
        <v>0</v>
      </c>
      <c r="L662" s="110">
        <f t="shared" si="278"/>
        <v>0</v>
      </c>
      <c r="M662" s="110">
        <f t="shared" si="278"/>
        <v>0</v>
      </c>
      <c r="N662" s="110">
        <f t="shared" si="278"/>
        <v>0</v>
      </c>
      <c r="O662" s="110">
        <f t="shared" si="278"/>
        <v>0</v>
      </c>
      <c r="P662" s="110">
        <f t="shared" si="278"/>
        <v>0</v>
      </c>
      <c r="Q662" s="110">
        <f t="shared" si="278"/>
        <v>0</v>
      </c>
      <c r="R662" s="110">
        <f t="shared" si="278"/>
        <v>0</v>
      </c>
      <c r="S662" s="110">
        <f t="shared" si="278"/>
        <v>0</v>
      </c>
      <c r="T662" s="110">
        <f t="shared" si="278"/>
        <v>0</v>
      </c>
      <c r="U662" s="110">
        <f t="shared" si="278"/>
        <v>0</v>
      </c>
      <c r="V662" s="110">
        <f t="shared" si="278"/>
        <v>0</v>
      </c>
      <c r="W662" s="110">
        <f t="shared" si="278"/>
        <v>0</v>
      </c>
      <c r="X662" s="110">
        <f t="shared" si="278"/>
        <v>0</v>
      </c>
      <c r="Y662" s="110">
        <f t="shared" si="278"/>
        <v>0</v>
      </c>
      <c r="Z662" s="110">
        <f t="shared" si="278"/>
        <v>0</v>
      </c>
      <c r="AA662" s="110">
        <f t="shared" si="278"/>
        <v>0</v>
      </c>
      <c r="AB662" s="110">
        <f t="shared" si="278"/>
        <v>0</v>
      </c>
      <c r="AC662" s="110">
        <f t="shared" si="278"/>
        <v>0</v>
      </c>
      <c r="AD662" s="110">
        <f t="shared" si="278"/>
        <v>0</v>
      </c>
      <c r="AE662" s="110">
        <f t="shared" si="278"/>
        <v>0</v>
      </c>
      <c r="AF662" s="230">
        <f t="shared" si="266"/>
        <v>1</v>
      </c>
      <c r="AG662" s="93" t="str">
        <f t="shared" si="267"/>
        <v>ok</v>
      </c>
    </row>
    <row r="663" spans="1:33" s="60" customFormat="1">
      <c r="A663" s="60" t="s">
        <v>103</v>
      </c>
      <c r="D663" s="60" t="s">
        <v>644</v>
      </c>
      <c r="F663" s="81">
        <v>1</v>
      </c>
      <c r="H663" s="284">
        <f>H450/$F$450</f>
        <v>0</v>
      </c>
      <c r="I663" s="284">
        <f t="shared" ref="I663:AE663" si="279">I450/$F$450</f>
        <v>0</v>
      </c>
      <c r="J663" s="284">
        <f t="shared" si="279"/>
        <v>0</v>
      </c>
      <c r="K663" s="284">
        <f t="shared" si="279"/>
        <v>0</v>
      </c>
      <c r="L663" s="284">
        <f t="shared" si="279"/>
        <v>0</v>
      </c>
      <c r="M663" s="284">
        <f t="shared" si="279"/>
        <v>0</v>
      </c>
      <c r="N663" s="284">
        <f t="shared" si="279"/>
        <v>1</v>
      </c>
      <c r="O663" s="284">
        <f t="shared" si="279"/>
        <v>0</v>
      </c>
      <c r="P663" s="284">
        <f t="shared" si="279"/>
        <v>0</v>
      </c>
      <c r="Q663" s="284">
        <f t="shared" si="279"/>
        <v>0</v>
      </c>
      <c r="R663" s="284">
        <f t="shared" si="279"/>
        <v>0</v>
      </c>
      <c r="S663" s="284">
        <f t="shared" si="279"/>
        <v>0</v>
      </c>
      <c r="T663" s="284">
        <f t="shared" si="279"/>
        <v>0</v>
      </c>
      <c r="U663" s="284">
        <f t="shared" si="279"/>
        <v>0</v>
      </c>
      <c r="V663" s="284">
        <f t="shared" si="279"/>
        <v>0</v>
      </c>
      <c r="W663" s="284">
        <f t="shared" si="279"/>
        <v>0</v>
      </c>
      <c r="X663" s="284">
        <f t="shared" si="279"/>
        <v>0</v>
      </c>
      <c r="Y663" s="284">
        <f t="shared" si="279"/>
        <v>0</v>
      </c>
      <c r="Z663" s="284">
        <f t="shared" si="279"/>
        <v>0</v>
      </c>
      <c r="AA663" s="284">
        <f t="shared" si="279"/>
        <v>0</v>
      </c>
      <c r="AB663" s="284">
        <f t="shared" si="279"/>
        <v>0</v>
      </c>
      <c r="AC663" s="284">
        <f t="shared" si="279"/>
        <v>0</v>
      </c>
      <c r="AD663" s="284">
        <f t="shared" si="279"/>
        <v>0</v>
      </c>
      <c r="AE663" s="284">
        <f t="shared" si="279"/>
        <v>0</v>
      </c>
      <c r="AF663" s="230">
        <f t="shared" si="266"/>
        <v>1</v>
      </c>
      <c r="AG663" s="93" t="str">
        <f t="shared" si="267"/>
        <v>ok</v>
      </c>
    </row>
    <row r="664" spans="1:33" s="60" customFormat="1">
      <c r="A664" s="60" t="s">
        <v>106</v>
      </c>
      <c r="D664" s="60" t="s">
        <v>63</v>
      </c>
      <c r="F664" s="81">
        <v>1</v>
      </c>
      <c r="H664" s="110">
        <f>H465/$F$465</f>
        <v>0</v>
      </c>
      <c r="I664" s="110">
        <f t="shared" ref="I664:AE664" si="280">I465/$F$465</f>
        <v>0</v>
      </c>
      <c r="J664" s="110">
        <f t="shared" si="280"/>
        <v>0</v>
      </c>
      <c r="K664" s="110">
        <f t="shared" si="280"/>
        <v>0</v>
      </c>
      <c r="L664" s="110">
        <f t="shared" si="280"/>
        <v>0</v>
      </c>
      <c r="M664" s="110">
        <f t="shared" si="280"/>
        <v>0</v>
      </c>
      <c r="N664" s="110">
        <f t="shared" si="280"/>
        <v>0</v>
      </c>
      <c r="O664" s="110">
        <f t="shared" si="280"/>
        <v>0</v>
      </c>
      <c r="P664" s="110">
        <f t="shared" si="280"/>
        <v>0</v>
      </c>
      <c r="Q664" s="110">
        <f t="shared" si="280"/>
        <v>0</v>
      </c>
      <c r="R664" s="110">
        <f t="shared" si="280"/>
        <v>0.14832749711766455</v>
      </c>
      <c r="S664" s="110">
        <f t="shared" si="280"/>
        <v>0</v>
      </c>
      <c r="T664" s="110">
        <f t="shared" si="280"/>
        <v>0.11829802946635795</v>
      </c>
      <c r="U664" s="110">
        <f t="shared" si="280"/>
        <v>0.20067918081512398</v>
      </c>
      <c r="V664" s="110">
        <f t="shared" si="280"/>
        <v>4.0020936898805808E-2</v>
      </c>
      <c r="W664" s="110">
        <f t="shared" si="280"/>
        <v>6.9825550921952764E-2</v>
      </c>
      <c r="X664" s="110">
        <f t="shared" si="280"/>
        <v>1.1930099585443247E-2</v>
      </c>
      <c r="Y664" s="110">
        <f t="shared" si="280"/>
        <v>6.6499318287514386E-3</v>
      </c>
      <c r="Z664" s="110">
        <f t="shared" si="280"/>
        <v>4.2517733734187173E-3</v>
      </c>
      <c r="AA664" s="110">
        <f t="shared" si="280"/>
        <v>0.38599871230556126</v>
      </c>
      <c r="AB664" s="110">
        <f t="shared" si="280"/>
        <v>1.4018287686920266E-2</v>
      </c>
      <c r="AC664" s="110">
        <f t="shared" si="280"/>
        <v>0</v>
      </c>
      <c r="AD664" s="110">
        <f t="shared" si="280"/>
        <v>0</v>
      </c>
      <c r="AE664" s="110">
        <f t="shared" si="280"/>
        <v>0</v>
      </c>
      <c r="AF664" s="230">
        <f t="shared" si="266"/>
        <v>0.99999999999999989</v>
      </c>
      <c r="AG664" s="93" t="str">
        <f t="shared" si="267"/>
        <v>ok</v>
      </c>
    </row>
    <row r="665" spans="1:33" s="60" customFormat="1">
      <c r="A665" s="60" t="s">
        <v>108</v>
      </c>
      <c r="D665" s="60" t="s">
        <v>72</v>
      </c>
      <c r="F665" s="81">
        <v>1</v>
      </c>
      <c r="H665" s="110">
        <f>H484/$F$484</f>
        <v>0</v>
      </c>
      <c r="I665" s="110">
        <f t="shared" ref="I665:AE665" si="281">I484/$F$484</f>
        <v>0</v>
      </c>
      <c r="J665" s="110">
        <f t="shared" si="281"/>
        <v>0</v>
      </c>
      <c r="K665" s="110">
        <f t="shared" si="281"/>
        <v>0</v>
      </c>
      <c r="L665" s="110">
        <f t="shared" si="281"/>
        <v>0</v>
      </c>
      <c r="M665" s="110">
        <f t="shared" si="281"/>
        <v>0</v>
      </c>
      <c r="N665" s="110">
        <f t="shared" si="281"/>
        <v>0</v>
      </c>
      <c r="O665" s="110">
        <f t="shared" si="281"/>
        <v>0</v>
      </c>
      <c r="P665" s="110">
        <f t="shared" si="281"/>
        <v>0</v>
      </c>
      <c r="Q665" s="110">
        <f t="shared" si="281"/>
        <v>0</v>
      </c>
      <c r="R665" s="110">
        <f t="shared" si="281"/>
        <v>0.13798085579324521</v>
      </c>
      <c r="S665" s="110">
        <f t="shared" si="281"/>
        <v>0</v>
      </c>
      <c r="T665" s="110">
        <f t="shared" si="281"/>
        <v>0.23427653301587351</v>
      </c>
      <c r="U665" s="110">
        <f t="shared" si="281"/>
        <v>0.39326100205980835</v>
      </c>
      <c r="V665" s="110">
        <f t="shared" si="281"/>
        <v>7.5140490725314105E-2</v>
      </c>
      <c r="W665" s="110">
        <f t="shared" si="281"/>
        <v>0.13040278348855061</v>
      </c>
      <c r="X665" s="110">
        <f t="shared" si="281"/>
        <v>1.7168251027720762E-2</v>
      </c>
      <c r="Y665" s="110">
        <f t="shared" si="281"/>
        <v>9.5697188557033411E-3</v>
      </c>
      <c r="Z665" s="110">
        <f t="shared" si="281"/>
        <v>0</v>
      </c>
      <c r="AA665" s="110">
        <f t="shared" si="281"/>
        <v>0</v>
      </c>
      <c r="AB665" s="110">
        <f t="shared" si="281"/>
        <v>2.200365033784219E-3</v>
      </c>
      <c r="AC665" s="110">
        <f t="shared" si="281"/>
        <v>0</v>
      </c>
      <c r="AD665" s="110">
        <f t="shared" si="281"/>
        <v>0</v>
      </c>
      <c r="AE665" s="110">
        <f t="shared" si="281"/>
        <v>0</v>
      </c>
      <c r="AF665" s="230">
        <f t="shared" si="266"/>
        <v>1.0000000000000002</v>
      </c>
      <c r="AG665" s="93" t="str">
        <f t="shared" si="267"/>
        <v>ok</v>
      </c>
    </row>
    <row r="666" spans="1:33" s="60" customFormat="1">
      <c r="A666" s="60" t="s">
        <v>802</v>
      </c>
      <c r="D666" s="60" t="s">
        <v>642</v>
      </c>
      <c r="F666" s="81">
        <v>1</v>
      </c>
      <c r="H666" s="110">
        <f>H516/$F$516</f>
        <v>0.32564108229618471</v>
      </c>
      <c r="I666" s="110">
        <f t="shared" ref="I666:AE666" si="282">I516/$F$516</f>
        <v>0</v>
      </c>
      <c r="J666" s="110">
        <f t="shared" si="282"/>
        <v>0</v>
      </c>
      <c r="K666" s="110">
        <f t="shared" si="282"/>
        <v>0.27617829025162782</v>
      </c>
      <c r="L666" s="110">
        <f t="shared" si="282"/>
        <v>0</v>
      </c>
      <c r="M666" s="110">
        <f t="shared" si="282"/>
        <v>0</v>
      </c>
      <c r="N666" s="110">
        <f t="shared" si="282"/>
        <v>7.5047397605629312E-2</v>
      </c>
      <c r="O666" s="110">
        <f t="shared" si="282"/>
        <v>0</v>
      </c>
      <c r="P666" s="110">
        <f t="shared" si="282"/>
        <v>0</v>
      </c>
      <c r="Q666" s="110">
        <f t="shared" si="282"/>
        <v>0</v>
      </c>
      <c r="R666" s="110">
        <f t="shared" si="282"/>
        <v>3.1234496735323112E-2</v>
      </c>
      <c r="S666" s="110">
        <f t="shared" si="282"/>
        <v>0</v>
      </c>
      <c r="T666" s="110">
        <f t="shared" si="282"/>
        <v>3.0980013719228185E-2</v>
      </c>
      <c r="U666" s="110">
        <f t="shared" si="282"/>
        <v>5.2350723264247369E-2</v>
      </c>
      <c r="V666" s="110">
        <f t="shared" si="282"/>
        <v>1.0279612628179198E-2</v>
      </c>
      <c r="W666" s="110">
        <f t="shared" si="282"/>
        <v>1.7901064233599946E-2</v>
      </c>
      <c r="X666" s="110">
        <f t="shared" si="282"/>
        <v>2.8087714652053858E-3</v>
      </c>
      <c r="Y666" s="110">
        <f t="shared" si="282"/>
        <v>1.5656314209605271E-3</v>
      </c>
      <c r="Z666" s="110">
        <f t="shared" si="282"/>
        <v>7.0210577266451946E-4</v>
      </c>
      <c r="AA666" s="110">
        <f t="shared" si="282"/>
        <v>6.3740914754563574E-2</v>
      </c>
      <c r="AB666" s="110">
        <f t="shared" si="282"/>
        <v>2.4223692326181567E-3</v>
      </c>
      <c r="AC666" s="110">
        <f t="shared" si="282"/>
        <v>8.9622654966330664E-2</v>
      </c>
      <c r="AD666" s="110">
        <f t="shared" si="282"/>
        <v>1.9524871653637452E-2</v>
      </c>
      <c r="AE666" s="110">
        <f t="shared" si="282"/>
        <v>0</v>
      </c>
      <c r="AF666" s="230">
        <f t="shared" si="266"/>
        <v>1</v>
      </c>
      <c r="AG666" s="93" t="str">
        <f t="shared" si="267"/>
        <v>ok</v>
      </c>
    </row>
    <row r="667" spans="1:33" s="60" customFormat="1">
      <c r="A667" s="60" t="s">
        <v>881</v>
      </c>
      <c r="D667" s="60" t="s">
        <v>882</v>
      </c>
      <c r="F667" s="81">
        <v>1</v>
      </c>
      <c r="H667" s="110">
        <f>H60/$F$60</f>
        <v>0.61043730772305094</v>
      </c>
      <c r="I667" s="110">
        <f t="shared" ref="I667:AE667" si="283">I60/$F$60</f>
        <v>0</v>
      </c>
      <c r="J667" s="110">
        <f t="shared" si="283"/>
        <v>0</v>
      </c>
      <c r="K667" s="110">
        <f t="shared" si="283"/>
        <v>0</v>
      </c>
      <c r="L667" s="110">
        <f t="shared" si="283"/>
        <v>0</v>
      </c>
      <c r="M667" s="110">
        <f t="shared" si="283"/>
        <v>0</v>
      </c>
      <c r="N667" s="110">
        <f t="shared" si="283"/>
        <v>9.3756900804937926E-2</v>
      </c>
      <c r="O667" s="110">
        <f t="shared" si="283"/>
        <v>0</v>
      </c>
      <c r="P667" s="110">
        <f t="shared" si="283"/>
        <v>0</v>
      </c>
      <c r="Q667" s="110">
        <f t="shared" si="283"/>
        <v>0</v>
      </c>
      <c r="R667" s="110">
        <f t="shared" si="283"/>
        <v>3.6887483258388143E-2</v>
      </c>
      <c r="S667" s="110">
        <f t="shared" si="283"/>
        <v>0</v>
      </c>
      <c r="T667" s="110">
        <f t="shared" si="283"/>
        <v>5.6628877819627173E-2</v>
      </c>
      <c r="U667" s="110">
        <f t="shared" si="283"/>
        <v>9.2669128361980463E-2</v>
      </c>
      <c r="V667" s="110">
        <f t="shared" si="283"/>
        <v>1.5799973673452143E-2</v>
      </c>
      <c r="W667" s="110">
        <f t="shared" si="283"/>
        <v>2.6998287628026446E-2</v>
      </c>
      <c r="X667" s="110">
        <f t="shared" si="283"/>
        <v>1.9355857643162909E-2</v>
      </c>
      <c r="Y667" s="110">
        <f t="shared" si="283"/>
        <v>1.0789108078452689E-2</v>
      </c>
      <c r="Z667" s="110">
        <f t="shared" si="283"/>
        <v>6.8982425131890145E-3</v>
      </c>
      <c r="AA667" s="110">
        <f t="shared" si="283"/>
        <v>7.0350172471143795E-3</v>
      </c>
      <c r="AB667" s="110">
        <f t="shared" si="283"/>
        <v>2.2743815248617724E-2</v>
      </c>
      <c r="AC667" s="110">
        <f t="shared" si="283"/>
        <v>0</v>
      </c>
      <c r="AD667" s="110">
        <f t="shared" si="283"/>
        <v>0</v>
      </c>
      <c r="AE667" s="110">
        <f t="shared" si="283"/>
        <v>0</v>
      </c>
      <c r="AF667" s="230">
        <f t="shared" si="266"/>
        <v>1</v>
      </c>
      <c r="AG667" s="93" t="str">
        <f t="shared" si="267"/>
        <v>ok</v>
      </c>
    </row>
    <row r="668" spans="1:33" s="60" customFormat="1">
      <c r="A668" s="60" t="s">
        <v>190</v>
      </c>
      <c r="D668" s="60" t="s">
        <v>191</v>
      </c>
      <c r="F668" s="81">
        <v>1</v>
      </c>
      <c r="H668" s="110">
        <f>H29/$F$29</f>
        <v>1</v>
      </c>
      <c r="I668" s="110">
        <f t="shared" ref="I668:AE668" si="284">I29/$F$29</f>
        <v>0</v>
      </c>
      <c r="J668" s="110">
        <f t="shared" si="284"/>
        <v>0</v>
      </c>
      <c r="K668" s="110">
        <f t="shared" si="284"/>
        <v>0</v>
      </c>
      <c r="L668" s="110">
        <f t="shared" si="284"/>
        <v>0</v>
      </c>
      <c r="M668" s="110">
        <f t="shared" si="284"/>
        <v>0</v>
      </c>
      <c r="N668" s="110">
        <f t="shared" si="284"/>
        <v>0</v>
      </c>
      <c r="O668" s="110">
        <f t="shared" si="284"/>
        <v>0</v>
      </c>
      <c r="P668" s="110">
        <f t="shared" si="284"/>
        <v>0</v>
      </c>
      <c r="Q668" s="110">
        <f t="shared" si="284"/>
        <v>0</v>
      </c>
      <c r="R668" s="110">
        <f t="shared" si="284"/>
        <v>0</v>
      </c>
      <c r="S668" s="110">
        <f t="shared" si="284"/>
        <v>0</v>
      </c>
      <c r="T668" s="110">
        <f t="shared" si="284"/>
        <v>0</v>
      </c>
      <c r="U668" s="110">
        <f t="shared" si="284"/>
        <v>0</v>
      </c>
      <c r="V668" s="110">
        <f t="shared" si="284"/>
        <v>0</v>
      </c>
      <c r="W668" s="110">
        <f t="shared" si="284"/>
        <v>0</v>
      </c>
      <c r="X668" s="110">
        <f t="shared" si="284"/>
        <v>0</v>
      </c>
      <c r="Y668" s="110">
        <f t="shared" si="284"/>
        <v>0</v>
      </c>
      <c r="Z668" s="110">
        <f t="shared" si="284"/>
        <v>0</v>
      </c>
      <c r="AA668" s="110">
        <f t="shared" si="284"/>
        <v>0</v>
      </c>
      <c r="AB668" s="110">
        <f t="shared" si="284"/>
        <v>0</v>
      </c>
      <c r="AC668" s="110">
        <f t="shared" si="284"/>
        <v>0</v>
      </c>
      <c r="AD668" s="110">
        <f t="shared" si="284"/>
        <v>0</v>
      </c>
      <c r="AE668" s="110">
        <f t="shared" si="284"/>
        <v>0</v>
      </c>
      <c r="AF668" s="230">
        <f t="shared" si="266"/>
        <v>1</v>
      </c>
      <c r="AG668" s="93" t="str">
        <f t="shared" si="267"/>
        <v>ok</v>
      </c>
    </row>
    <row r="669" spans="1:33" s="60" customFormat="1">
      <c r="A669" s="60" t="s">
        <v>860</v>
      </c>
      <c r="D669" s="60" t="s">
        <v>861</v>
      </c>
      <c r="F669" s="81">
        <v>1</v>
      </c>
      <c r="H669" s="110">
        <f>H15/$F$15</f>
        <v>0.61043730772305094</v>
      </c>
      <c r="I669" s="110">
        <f t="shared" ref="I669:AE669" si="285">I15/$F$15</f>
        <v>0</v>
      </c>
      <c r="J669" s="110">
        <f t="shared" si="285"/>
        <v>0</v>
      </c>
      <c r="K669" s="110">
        <f t="shared" si="285"/>
        <v>0</v>
      </c>
      <c r="L669" s="110">
        <f t="shared" si="285"/>
        <v>0</v>
      </c>
      <c r="M669" s="110">
        <f t="shared" si="285"/>
        <v>0</v>
      </c>
      <c r="N669" s="110">
        <f t="shared" si="285"/>
        <v>9.3756900804937926E-2</v>
      </c>
      <c r="O669" s="110">
        <f t="shared" si="285"/>
        <v>0</v>
      </c>
      <c r="P669" s="110">
        <f t="shared" si="285"/>
        <v>0</v>
      </c>
      <c r="Q669" s="110">
        <f t="shared" si="285"/>
        <v>0</v>
      </c>
      <c r="R669" s="110">
        <f t="shared" si="285"/>
        <v>3.6887483258388143E-2</v>
      </c>
      <c r="S669" s="110">
        <f t="shared" si="285"/>
        <v>0</v>
      </c>
      <c r="T669" s="110">
        <f t="shared" si="285"/>
        <v>5.6628877819627173E-2</v>
      </c>
      <c r="U669" s="110">
        <f t="shared" si="285"/>
        <v>9.2669128361980463E-2</v>
      </c>
      <c r="V669" s="110">
        <f t="shared" si="285"/>
        <v>1.5799973673452143E-2</v>
      </c>
      <c r="W669" s="110">
        <f t="shared" si="285"/>
        <v>2.6998287628026446E-2</v>
      </c>
      <c r="X669" s="110">
        <f t="shared" si="285"/>
        <v>1.9355857643162909E-2</v>
      </c>
      <c r="Y669" s="110">
        <f t="shared" si="285"/>
        <v>1.0789108078452689E-2</v>
      </c>
      <c r="Z669" s="110">
        <f t="shared" si="285"/>
        <v>6.8982425131890145E-3</v>
      </c>
      <c r="AA669" s="110">
        <f t="shared" si="285"/>
        <v>7.0350172471143795E-3</v>
      </c>
      <c r="AB669" s="110">
        <f t="shared" si="285"/>
        <v>2.2743815248617724E-2</v>
      </c>
      <c r="AC669" s="110">
        <f t="shared" si="285"/>
        <v>0</v>
      </c>
      <c r="AD669" s="110">
        <f t="shared" si="285"/>
        <v>0</v>
      </c>
      <c r="AE669" s="110">
        <f t="shared" si="285"/>
        <v>0</v>
      </c>
      <c r="AF669" s="230">
        <f t="shared" si="266"/>
        <v>1</v>
      </c>
      <c r="AG669" s="93" t="str">
        <f t="shared" si="267"/>
        <v>ok</v>
      </c>
    </row>
    <row r="670" spans="1:33" s="60" customFormat="1">
      <c r="W670" s="77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June 30, 2022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64"/>
  <sheetViews>
    <sheetView view="pageBreakPreview" topLeftCell="D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1216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Proforma'!K176</f>
        <v>390090310.94908422</v>
      </c>
      <c r="E14" s="333">
        <f>'Allocation Proforma'!K125+'Allocation Proforma'!K126+'Allocation Proforma'!K127</f>
        <v>273795525.39964962</v>
      </c>
      <c r="F14" s="333">
        <f>'Allocation Proforma'!K128</f>
        <v>10496680.563933097</v>
      </c>
      <c r="G14" s="333">
        <f>'Allocation Proforma'!K137</f>
        <v>44599966.325857781</v>
      </c>
      <c r="H14" s="333">
        <f>'Allocation Proforma'!K147+'Allocation Proforma'!K149+'Allocation Proforma'!K154+'Allocation Proforma'!K143</f>
        <v>56907947.382733837</v>
      </c>
      <c r="I14" s="333">
        <f>'Allocation Proforma'!K148+'Allocation Proforma'!K150+'Allocation Proforma'!K155+'Allocation Proforma'!K159+'Allocation Proforma'!K162+'Allocation Proforma'!K165</f>
        <v>4157592.8819970265</v>
      </c>
      <c r="J14" s="333">
        <f>'Allocation Proforma'!K168+'Allocation Proforma'!K171</f>
        <v>132598.39491293303</v>
      </c>
      <c r="K14" s="269">
        <f>SUM(E14:J14)</f>
        <v>390090310.94908428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390090310.94908422</v>
      </c>
      <c r="E16" s="333">
        <f t="shared" ref="E16:K16" si="1">E14+E15</f>
        <v>273795525.39964962</v>
      </c>
      <c r="F16" s="333">
        <f t="shared" si="1"/>
        <v>10496680.563933097</v>
      </c>
      <c r="G16" s="333">
        <f t="shared" si="1"/>
        <v>44599966.325857781</v>
      </c>
      <c r="H16" s="333">
        <f t="shared" si="1"/>
        <v>56907947.382733837</v>
      </c>
      <c r="I16" s="333">
        <f t="shared" si="1"/>
        <v>4157592.8819970265</v>
      </c>
      <c r="J16" s="333">
        <f t="shared" si="1"/>
        <v>132598.39491293303</v>
      </c>
      <c r="K16" s="269">
        <f t="shared" si="1"/>
        <v>390090310.94908428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Proforma'!K946</f>
        <v>0.12370806514127083</v>
      </c>
      <c r="E18" s="335">
        <f t="shared" ref="E18:J18" si="2">D18</f>
        <v>0.12370806514127083</v>
      </c>
      <c r="F18" s="335">
        <f t="shared" si="2"/>
        <v>0.12370806514127083</v>
      </c>
      <c r="G18" s="335">
        <f t="shared" si="2"/>
        <v>0.12370806514127083</v>
      </c>
      <c r="H18" s="335">
        <f t="shared" si="2"/>
        <v>0.12370806514127083</v>
      </c>
      <c r="I18" s="335">
        <f t="shared" si="2"/>
        <v>0.12370806514127083</v>
      </c>
      <c r="J18" s="335">
        <f t="shared" si="2"/>
        <v>0.12370806514127083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48257317.597867906</v>
      </c>
      <c r="E20" s="352">
        <f t="shared" ref="E20:J20" si="3">E18*E16</f>
        <v>33870714.691528328</v>
      </c>
      <c r="F20" s="352">
        <f t="shared" si="3"/>
        <v>1298524.042970147</v>
      </c>
      <c r="G20" s="352">
        <f t="shared" si="3"/>
        <v>5517375.5395376999</v>
      </c>
      <c r="H20" s="352">
        <f t="shared" si="3"/>
        <v>7039972.0618792502</v>
      </c>
      <c r="I20" s="352">
        <f t="shared" si="3"/>
        <v>514327.77107697207</v>
      </c>
      <c r="J20" s="352">
        <f t="shared" si="3"/>
        <v>16403.490875517073</v>
      </c>
      <c r="K20" s="269">
        <f>SUM(E20:J20)</f>
        <v>48257317.597867906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Proforma'!K738</f>
        <v>8522330.5338261351</v>
      </c>
      <c r="E22" s="352">
        <f t="shared" ref="E22:J22" si="4">(E14/$D$14)*$D$22</f>
        <v>5981630.1524160709</v>
      </c>
      <c r="F22" s="352">
        <f t="shared" si="4"/>
        <v>229321.72054256036</v>
      </c>
      <c r="G22" s="352">
        <f t="shared" si="4"/>
        <v>974378.609665305</v>
      </c>
      <c r="H22" s="352">
        <f t="shared" si="4"/>
        <v>1243271.9398163822</v>
      </c>
      <c r="I22" s="352">
        <f t="shared" si="4"/>
        <v>90831.224900856876</v>
      </c>
      <c r="J22" s="352">
        <f t="shared" si="4"/>
        <v>2896.8864849614847</v>
      </c>
      <c r="K22" s="269">
        <f>SUM(E22:J22)</f>
        <v>8522330.533826137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39734987.064041771</v>
      </c>
      <c r="E24" s="352">
        <f t="shared" ref="E24:J24" si="5">E20-E22</f>
        <v>27889084.539112255</v>
      </c>
      <c r="F24" s="352">
        <f t="shared" si="5"/>
        <v>1069202.3224275867</v>
      </c>
      <c r="G24" s="352">
        <f t="shared" si="5"/>
        <v>4542996.9298723945</v>
      </c>
      <c r="H24" s="352">
        <f t="shared" si="5"/>
        <v>5796700.1220628675</v>
      </c>
      <c r="I24" s="352">
        <f t="shared" si="5"/>
        <v>423496.54617611517</v>
      </c>
      <c r="J24" s="352">
        <f t="shared" si="5"/>
        <v>13506.604390555589</v>
      </c>
      <c r="K24" s="269">
        <f>SUM(E24:J24)</f>
        <v>39734987.064041771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Proforma'!K767+'Allocation Proforma'!K937</f>
        <v>7211510.9809118472</v>
      </c>
      <c r="E26" s="352">
        <f t="shared" ref="E26:J26" si="6">$D$26*(E24/$K$24)</f>
        <v>5061595.6934183296</v>
      </c>
      <c r="F26" s="352">
        <f t="shared" si="6"/>
        <v>194049.74957147212</v>
      </c>
      <c r="G26" s="352">
        <f t="shared" si="6"/>
        <v>824509.44788834429</v>
      </c>
      <c r="H26" s="352">
        <f t="shared" si="6"/>
        <v>1052044.2982889269</v>
      </c>
      <c r="I26" s="352">
        <f t="shared" si="6"/>
        <v>76860.475333866721</v>
      </c>
      <c r="J26" s="352">
        <f t="shared" si="6"/>
        <v>2451.3164109085315</v>
      </c>
      <c r="K26" s="269">
        <f>SUM(E26:J26)</f>
        <v>7211510.9809118481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Proforma'!K758</f>
        <v>78033557.201062396</v>
      </c>
      <c r="E28" s="352">
        <f>'Allocation Proforma'!K182+'Allocation Proforma'!K183+'Allocation Proforma'!K184</f>
        <v>15261928.825871319</v>
      </c>
      <c r="F28" s="352">
        <f>'Allocation Proforma'!K185</f>
        <v>53242471.460308753</v>
      </c>
      <c r="G28" s="352">
        <f>'Allocation Proforma'!K194</f>
        <v>4431477.2516385308</v>
      </c>
      <c r="H28" s="352">
        <f>'Allocation Proforma'!K200+'Allocation Proforma'!K204+'Allocation Proforma'!K206+'Allocation Proforma'!K211</f>
        <v>3484438.9781151679</v>
      </c>
      <c r="I28" s="352">
        <f>'Allocation Proforma'!K205+'Allocation Proforma'!K207+'Allocation Proforma'!K212+'Allocation Proforma'!K216+'Allocation Proforma'!K219</f>
        <v>975563.03551976394</v>
      </c>
      <c r="J28" s="352">
        <f>'Allocation Proforma'!K225+'Allocation Proforma'!K228</f>
        <v>637677.6496088542</v>
      </c>
      <c r="K28" s="269">
        <f t="shared" ref="K28:K39" si="7">SUM(E28:J28)</f>
        <v>78033557.201062396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Proforma'!K759</f>
        <v>33860270.313709497</v>
      </c>
      <c r="E29" s="348">
        <f>'Allocation Proforma'!K302</f>
        <v>29006159.751298692</v>
      </c>
      <c r="F29" s="348">
        <v>0</v>
      </c>
      <c r="G29" s="348">
        <f>'Allocation Proforma'!K308</f>
        <v>1873830.827795747</v>
      </c>
      <c r="H29" s="348">
        <f>'Allocation Proforma'!K314+'Allocation Proforma'!K318+'Allocation Proforma'!K320+'Allocation Proforma'!K325</f>
        <v>2785330.7309474405</v>
      </c>
      <c r="I29" s="348">
        <f>'Allocation Proforma'!K319+'Allocation Proforma'!K321+'Allocation Proforma'!K326+'Allocation Proforma'!K330+'Allocation Proforma'!K333</f>
        <v>194949.00366761966</v>
      </c>
      <c r="J29" s="348">
        <v>0</v>
      </c>
      <c r="K29" s="269">
        <f t="shared" si="7"/>
        <v>33860270.313709505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Proforma'!K764+'Allocation Proforma'!K765</f>
        <v>4680824.5512837619</v>
      </c>
      <c r="E30" s="348">
        <f>'Allocation Proforma'!K417+'Allocation Proforma'!K474+'Allocation Proforma'!K359+'Allocation Proforma'!K531+'Allocation Proforma'!K589</f>
        <v>3434073.2401572177</v>
      </c>
      <c r="F30" s="348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348">
        <f>'Allocation Proforma'!K365+'Allocation Proforma'!K423+'Allocation Proforma'!K480+'Allocation Proforma'!K537+'Allocation Proforma'!K595</f>
        <v>512745.70422089717</v>
      </c>
      <c r="H30" s="348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685890.72499105579</v>
      </c>
      <c r="I30" s="348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48114.881914591504</v>
      </c>
      <c r="J30" s="348">
        <v>0</v>
      </c>
      <c r="K30" s="269">
        <f t="shared" si="7"/>
        <v>4680824.5512837619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Proforma'!K771</f>
        <v>-35384.345646431451</v>
      </c>
      <c r="E31" s="348">
        <f t="shared" ref="E31:J31" si="8">$D$31*(E14/$K$14)</f>
        <v>-24835.468185858172</v>
      </c>
      <c r="F31" s="348">
        <f t="shared" si="8"/>
        <v>-952.1338079654746</v>
      </c>
      <c r="G31" s="348">
        <f t="shared" si="8"/>
        <v>-4045.5776008734006</v>
      </c>
      <c r="H31" s="348">
        <f t="shared" si="8"/>
        <v>-5162.0110105283175</v>
      </c>
      <c r="I31" s="348">
        <f t="shared" si="8"/>
        <v>-377.12729453802706</v>
      </c>
      <c r="J31" s="348">
        <f t="shared" si="8"/>
        <v>-12.027746668062314</v>
      </c>
      <c r="K31" s="269">
        <f t="shared" si="7"/>
        <v>-35384.345646431451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Proforma'!K934+'Allocation Proforma'!K935</f>
        <v>68448.731497946748</v>
      </c>
      <c r="E36" s="348">
        <f t="shared" ref="E36:J36" si="10">(E14/($D$14)*$D$36)</f>
        <v>48042.609307120169</v>
      </c>
      <c r="F36" s="348">
        <f t="shared" si="10"/>
        <v>1841.8413617921199</v>
      </c>
      <c r="G36" s="348">
        <f t="shared" si="10"/>
        <v>7825.9086015970497</v>
      </c>
      <c r="H36" s="348">
        <f t="shared" si="10"/>
        <v>9985.5769322310935</v>
      </c>
      <c r="I36" s="348">
        <f t="shared" si="10"/>
        <v>729.52839604040707</v>
      </c>
      <c r="J36" s="348">
        <f t="shared" si="10"/>
        <v>23.266899165918307</v>
      </c>
      <c r="K36" s="269">
        <f t="shared" si="7"/>
        <v>68448.731497946748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 t="e">
        <f>'Allocation Proforma'!#REF!</f>
        <v>#REF!</v>
      </c>
      <c r="E37" s="348" t="e">
        <f>D37</f>
        <v>#REF!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 t="e">
        <f t="shared" ref="D39:J39" si="11">SUM(D32:D37)</f>
        <v>#REF!</v>
      </c>
      <c r="E39" s="333" t="e">
        <f t="shared" si="11"/>
        <v>#REF!</v>
      </c>
      <c r="F39" s="333">
        <f t="shared" si="11"/>
        <v>1841.8413617921199</v>
      </c>
      <c r="G39" s="333">
        <f t="shared" si="11"/>
        <v>7825.9086015970497</v>
      </c>
      <c r="H39" s="333">
        <f t="shared" si="11"/>
        <v>9985.5769322310935</v>
      </c>
      <c r="I39" s="333">
        <f t="shared" si="11"/>
        <v>729.52839604040707</v>
      </c>
      <c r="J39" s="333">
        <f t="shared" si="11"/>
        <v>23.266899165918307</v>
      </c>
      <c r="K39" s="269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 t="e">
        <f t="shared" ref="D41:J41" si="12">SUM(D28:D31)+D22+D26+D39+D24</f>
        <v>#REF!</v>
      </c>
      <c r="E41" s="352" t="e">
        <f t="shared" si="12"/>
        <v>#REF!</v>
      </c>
      <c r="F41" s="352">
        <f t="shared" si="12"/>
        <v>54735934.960404195</v>
      </c>
      <c r="G41" s="352">
        <f t="shared" si="12"/>
        <v>13163719.102081943</v>
      </c>
      <c r="H41" s="352">
        <f t="shared" si="12"/>
        <v>15052500.360143542</v>
      </c>
      <c r="I41" s="352">
        <f t="shared" si="12"/>
        <v>1810167.5686143162</v>
      </c>
      <c r="J41" s="352">
        <f t="shared" si="12"/>
        <v>656543.69604777766</v>
      </c>
      <c r="K41" s="269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Proforma'!K700</f>
        <v>-90786.210068454224</v>
      </c>
      <c r="E43" s="294">
        <f>D43</f>
        <v>-90786.210068454224</v>
      </c>
      <c r="F43" s="294"/>
      <c r="G43" s="294"/>
      <c r="H43" s="294"/>
      <c r="I43" s="294"/>
      <c r="J43" s="294"/>
      <c r="K43" s="269">
        <f>SUM(E43:J43)</f>
        <v>-90786.210068454224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Proforma'!K698</f>
        <v>-4608468.4725286756</v>
      </c>
      <c r="E44" s="348">
        <v>0</v>
      </c>
      <c r="F44" s="348">
        <f>D44</f>
        <v>-4608468.4725286756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-4608468.4725286756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Proforma'!K699</f>
        <v>-1555058.3478075226</v>
      </c>
      <c r="E45" s="348">
        <v>0</v>
      </c>
      <c r="F45" s="348">
        <v>0</v>
      </c>
      <c r="G45" s="348">
        <f>D45</f>
        <v>-1555058.3478075226</v>
      </c>
      <c r="H45" s="348">
        <v>0</v>
      </c>
      <c r="I45" s="348">
        <v>0</v>
      </c>
      <c r="J45" s="348">
        <v>0</v>
      </c>
      <c r="K45" s="269">
        <f>SUM(E45:J45)</f>
        <v>-1555058.3478075226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Proforma'!K702-'Allocation Proforma'!K703-'Allocation Proforma'!K704-'Allocation Proforma'!K705</f>
        <v>-791536.9759132131</v>
      </c>
      <c r="E46" s="348">
        <f>-(E14/($D$14)*('Allocation Proforma'!K702+'Allocation Proforma'!K703+'Allocation Proforma'!K704+'Allocation Proforma'!K705))</f>
        <v>-555561.81763687753</v>
      </c>
      <c r="F46" s="348">
        <f>(F14/($D$14)*-('Allocation Proforma'!K702+'Allocation Proforma'!K703+'Allocation Proforma'!K704+'Allocation Proforma'!K705))</f>
        <v>-21298.94170016198</v>
      </c>
      <c r="G46" s="348">
        <f>(G14/($D$14)*-('Allocation Proforma'!K702+'Allocation Proforma'!K703+'Allocation Proforma'!K704+'Allocation Proforma'!K705))</f>
        <v>-90498.332002940719</v>
      </c>
      <c r="H46" s="348">
        <f>(H14/($D$14)*-('Allocation Proforma'!K702+'Allocation Proforma'!K703+'Allocation Proforma'!K704+'Allocation Proforma'!K705))</f>
        <v>-115472.60547734232</v>
      </c>
      <c r="I46" s="348">
        <f>(I14/($D$14)*-('Allocation Proforma'!K702+'Allocation Proforma'!K703+'Allocation Proforma'!K704+'Allocation Proforma'!K705))</f>
        <v>-8436.2220863357034</v>
      </c>
      <c r="J46" s="348">
        <f>(J14/($D$14)*-('Allocation Proforma'!K702+'Allocation Proforma'!K703+'Allocation Proforma'!K704+'Allocation Proforma'!K705))</f>
        <v>-269.05700955497002</v>
      </c>
      <c r="K46" s="269">
        <f>SUM(E46:J46)</f>
        <v>-791536.97591321322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-7045850.0063178651</v>
      </c>
      <c r="E47" s="142">
        <f>SUM(E43:E46)</f>
        <v>-646348.0277053318</v>
      </c>
      <c r="F47" s="142">
        <f t="shared" ref="F47:I47" si="13">SUM(F43:F46)</f>
        <v>-4629767.4142288379</v>
      </c>
      <c r="G47" s="142">
        <f t="shared" si="13"/>
        <v>-1645556.6798104635</v>
      </c>
      <c r="H47" s="142">
        <f t="shared" si="13"/>
        <v>-115472.60547734232</v>
      </c>
      <c r="I47" s="142">
        <f t="shared" si="13"/>
        <v>-8436.2220863357034</v>
      </c>
      <c r="J47" s="142">
        <f>SUM(J43:J46)</f>
        <v>-269.05700955497002</v>
      </c>
      <c r="K47" s="269">
        <f>SUM(E47:J47)</f>
        <v>-7045850.006317867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 t="e">
        <f t="shared" ref="D49:J49" si="14">D41+D47</f>
        <v>#REF!</v>
      </c>
      <c r="E49" s="333" t="e">
        <f t="shared" si="14"/>
        <v>#REF!</v>
      </c>
      <c r="F49" s="333">
        <f t="shared" si="14"/>
        <v>50106167.546175361</v>
      </c>
      <c r="G49" s="333">
        <f t="shared" si="14"/>
        <v>11518162.422271479</v>
      </c>
      <c r="H49" s="333">
        <f t="shared" si="14"/>
        <v>14937027.7546662</v>
      </c>
      <c r="I49" s="333">
        <f t="shared" si="14"/>
        <v>1801731.3465279804</v>
      </c>
      <c r="J49" s="333">
        <f t="shared" si="14"/>
        <v>656274.63903822273</v>
      </c>
      <c r="K49" s="269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4306226</v>
      </c>
      <c r="F51" s="349">
        <f>'Allocation Proforma'!K964</f>
        <v>1508873858</v>
      </c>
      <c r="G51" s="349">
        <v>5354606</v>
      </c>
      <c r="H51" s="349">
        <f>G51</f>
        <v>5354606</v>
      </c>
      <c r="I51" s="349">
        <f>'Allocation Proforma'!$K$980*12</f>
        <v>33396</v>
      </c>
      <c r="J51" s="349">
        <f>'Allocation Proforma'!$K$980*12</f>
        <v>33396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 t="e">
        <f t="shared" ref="E53:J53" si="15">E49/E51</f>
        <v>#REF!</v>
      </c>
      <c r="F53" s="430">
        <f t="shared" si="15"/>
        <v>3.3207658334402236E-2</v>
      </c>
      <c r="G53" s="351">
        <f t="shared" si="15"/>
        <v>2.1510756201803605</v>
      </c>
      <c r="H53" s="351">
        <f t="shared" si="15"/>
        <v>2.7895661706325732</v>
      </c>
      <c r="I53" s="351">
        <f t="shared" si="15"/>
        <v>53.950513430589901</v>
      </c>
      <c r="J53" s="351">
        <f t="shared" si="15"/>
        <v>19.651294737041045</v>
      </c>
      <c r="K53" s="362">
        <f>I53+J53</f>
        <v>73.601808167630949</v>
      </c>
      <c r="L53" s="212"/>
    </row>
    <row r="55" spans="1:12">
      <c r="D55" s="246"/>
      <c r="F55" s="291"/>
      <c r="J55" s="345" t="s">
        <v>1224</v>
      </c>
      <c r="K55" s="214">
        <f>I53+J53</f>
        <v>73.601808167630949</v>
      </c>
      <c r="L55">
        <f>ROUND(K55/30.5,2)</f>
        <v>2.41</v>
      </c>
    </row>
    <row r="56" spans="1:12">
      <c r="D56" s="246"/>
      <c r="I56" s="19"/>
      <c r="J56" s="345" t="s">
        <v>1242</v>
      </c>
      <c r="K56" s="3" t="e">
        <f>E53+G53+H53</f>
        <v>#REF!</v>
      </c>
    </row>
    <row r="57" spans="1:12">
      <c r="J57" s="345" t="s">
        <v>1243</v>
      </c>
      <c r="K57" s="8">
        <f>F53</f>
        <v>3.3207658334402236E-2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4" spans="1:12">
      <c r="E64" s="264"/>
      <c r="F64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N65"/>
  <sheetViews>
    <sheetView view="pageBreakPreview" topLeftCell="B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1095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Proforma'!M176</f>
        <v>296063156.00640303</v>
      </c>
      <c r="E14" s="333">
        <f>'Allocation Proforma'!M125+'Allocation Proforma'!M126+'Allocation Proforma'!M127</f>
        <v>210269253.16116762</v>
      </c>
      <c r="F14" s="333">
        <f>'Allocation Proforma'!M128</f>
        <v>8961060.6950090025</v>
      </c>
      <c r="G14" s="333">
        <f>'Allocation Proforma'!M137</f>
        <v>35410528.99439095</v>
      </c>
      <c r="H14" s="333">
        <f>'Allocation Proforma'!M147+'Allocation Proforma'!M149+'Allocation Proforma'!M154+'Allocation Proforma'!M143</f>
        <v>40500758.146460183</v>
      </c>
      <c r="I14" s="333">
        <f>'Allocation Proforma'!M148+'Allocation Proforma'!M150+'Allocation Proforma'!M155+'Allocation Proforma'!M159+'Allocation Proforma'!M162+'Allocation Proforma'!M165</f>
        <v>805950.10073138378</v>
      </c>
      <c r="J14" s="333">
        <f>'Allocation Proforma'!M168+'Allocation Proforma'!M171</f>
        <v>115604.90864384332</v>
      </c>
      <c r="K14" s="269">
        <f>SUM(E14:J14)</f>
        <v>296063156.00640297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296063156.00640303</v>
      </c>
      <c r="E16" s="333">
        <f t="shared" ref="E16:K16" si="1">E14+E15</f>
        <v>210269253.16116762</v>
      </c>
      <c r="F16" s="333">
        <f t="shared" si="1"/>
        <v>8961060.6950090025</v>
      </c>
      <c r="G16" s="333">
        <f t="shared" si="1"/>
        <v>35410528.99439095</v>
      </c>
      <c r="H16" s="333">
        <f t="shared" si="1"/>
        <v>40500758.146460183</v>
      </c>
      <c r="I16" s="333">
        <f t="shared" si="1"/>
        <v>805950.10073138378</v>
      </c>
      <c r="J16" s="333">
        <f t="shared" si="1"/>
        <v>115604.90864384332</v>
      </c>
      <c r="K16" s="269">
        <f t="shared" si="1"/>
        <v>296063156.00640297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Proforma'!M946</f>
        <v>7.5409134365057126E-2</v>
      </c>
      <c r="E18" s="335">
        <f t="shared" ref="E18:J18" si="2">D18</f>
        <v>7.5409134365057126E-2</v>
      </c>
      <c r="F18" s="335">
        <f t="shared" si="2"/>
        <v>7.5409134365057126E-2</v>
      </c>
      <c r="G18" s="335">
        <f t="shared" si="2"/>
        <v>7.5409134365057126E-2</v>
      </c>
      <c r="H18" s="335">
        <f t="shared" si="2"/>
        <v>7.5409134365057126E-2</v>
      </c>
      <c r="I18" s="335">
        <f t="shared" si="2"/>
        <v>7.5409134365057126E-2</v>
      </c>
      <c r="J18" s="335">
        <f t="shared" si="2"/>
        <v>7.5409134365057126E-2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22325866.311829716</v>
      </c>
      <c r="E20" s="352">
        <f t="shared" ref="E20:J20" si="3">E18*E16</f>
        <v>15856222.364470702</v>
      </c>
      <c r="F20" s="352">
        <f t="shared" si="3"/>
        <v>675745.83000336611</v>
      </c>
      <c r="G20" s="352">
        <f t="shared" si="3"/>
        <v>2670277.3388757785</v>
      </c>
      <c r="H20" s="352">
        <f t="shared" si="3"/>
        <v>3054127.112953098</v>
      </c>
      <c r="I20" s="352">
        <f t="shared" si="3"/>
        <v>60775.999437584243</v>
      </c>
      <c r="J20" s="352">
        <f t="shared" si="3"/>
        <v>8717.6660891837346</v>
      </c>
      <c r="K20" s="269">
        <f>SUM(E20:J20)</f>
        <v>22325866.311829712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Proforma'!M738</f>
        <v>6448662.4865401536</v>
      </c>
      <c r="E22" s="352">
        <f t="shared" ref="E22:J22" si="4">(E14/$D$14)*$D$22</f>
        <v>4579953.3559789201</v>
      </c>
      <c r="F22" s="352">
        <f t="shared" si="4"/>
        <v>195184.21921525494</v>
      </c>
      <c r="G22" s="352">
        <f t="shared" si="4"/>
        <v>771289.99445555045</v>
      </c>
      <c r="H22" s="352">
        <f t="shared" si="4"/>
        <v>882162.18207801844</v>
      </c>
      <c r="I22" s="352">
        <f t="shared" si="4"/>
        <v>17554.700999327757</v>
      </c>
      <c r="J22" s="352">
        <f t="shared" si="4"/>
        <v>2518.0338130805135</v>
      </c>
      <c r="K22" s="269">
        <f>SUM(E22:J22)</f>
        <v>6448662.4865401536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15877203.825289562</v>
      </c>
      <c r="E24" s="352">
        <f t="shared" ref="E24:J24" si="5">E20-E22</f>
        <v>11276269.008491781</v>
      </c>
      <c r="F24" s="352">
        <f t="shared" si="5"/>
        <v>480561.61078811117</v>
      </c>
      <c r="G24" s="352">
        <f t="shared" si="5"/>
        <v>1898987.3444202282</v>
      </c>
      <c r="H24" s="352">
        <f t="shared" si="5"/>
        <v>2171964.9308750797</v>
      </c>
      <c r="I24" s="352">
        <f t="shared" si="5"/>
        <v>43221.29843825649</v>
      </c>
      <c r="J24" s="352">
        <f t="shared" si="5"/>
        <v>6199.6322761032206</v>
      </c>
      <c r="K24" s="269">
        <f>SUM(E24:J24)</f>
        <v>15877203.825289559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Proforma'!M767+'Allocation Proforma'!M937</f>
        <v>3757834.4811795517</v>
      </c>
      <c r="E26" s="352">
        <f t="shared" ref="E26:J26" si="6">$D$26*(E24/$K$24)</f>
        <v>2668880.0474849334</v>
      </c>
      <c r="F26" s="352">
        <f t="shared" si="6"/>
        <v>113739.86321661503</v>
      </c>
      <c r="G26" s="352">
        <f t="shared" si="6"/>
        <v>449454.46318572905</v>
      </c>
      <c r="H26" s="352">
        <f t="shared" si="6"/>
        <v>514063.10575636168</v>
      </c>
      <c r="I26" s="352">
        <f t="shared" si="6"/>
        <v>10229.66558720676</v>
      </c>
      <c r="J26" s="352">
        <f t="shared" si="6"/>
        <v>1467.3359487056575</v>
      </c>
      <c r="K26" s="269">
        <f>SUM(E26:J26)</f>
        <v>3757834.4811795512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Proforma'!M758</f>
        <v>63831084.879150748</v>
      </c>
      <c r="E28" s="352">
        <f>'Allocation Proforma'!M182+'Allocation Proforma'!M183+'Allocation Proforma'!M184</f>
        <v>11720843.031786686</v>
      </c>
      <c r="F28" s="352">
        <f>'Allocation Proforma'!M185</f>
        <v>45453323.591409646</v>
      </c>
      <c r="G28" s="352">
        <f>'Allocation Proforma'!M194</f>
        <v>3518409.6902815788</v>
      </c>
      <c r="H28" s="352">
        <f>'Allocation Proforma'!M200+'Allocation Proforma'!M204+'Allocation Proforma'!M206+'Allocation Proforma'!M211</f>
        <v>2391456.2936224728</v>
      </c>
      <c r="I28" s="352">
        <f>'Allocation Proforma'!M205+'Allocation Proforma'!M207+'Allocation Proforma'!M212+'Allocation Proforma'!M216+'Allocation Proforma'!M219</f>
        <v>190814.75958740016</v>
      </c>
      <c r="J28" s="352">
        <f>'Allocation Proforma'!M225+'Allocation Proforma'!M228</f>
        <v>556237.51246295532</v>
      </c>
      <c r="K28" s="269">
        <f t="shared" ref="K28:K39" si="7">SUM(E28:J28)</f>
        <v>63831084.879150741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Proforma'!M759</f>
        <v>25784438.975284874</v>
      </c>
      <c r="E29" s="348">
        <f>'Allocation Proforma'!M302</f>
        <v>22276125.729507271</v>
      </c>
      <c r="F29" s="348">
        <v>0</v>
      </c>
      <c r="G29" s="348">
        <f>'Allocation Proforma'!M308</f>
        <v>1487744.1918554797</v>
      </c>
      <c r="H29" s="348">
        <f>'Allocation Proforma'!M314+'Allocation Proforma'!M318+'Allocation Proforma'!M320+'Allocation Proforma'!M325</f>
        <v>1982794.7052059197</v>
      </c>
      <c r="I29" s="348">
        <f>'Allocation Proforma'!M319+'Allocation Proforma'!M321+'Allocation Proforma'!M326+'Allocation Proforma'!M330+'Allocation Proforma'!M333</f>
        <v>37774.348716205735</v>
      </c>
      <c r="J29" s="348">
        <v>0</v>
      </c>
      <c r="K29" s="269">
        <f t="shared" si="7"/>
        <v>25784438.975284878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Proforma'!M764+'Allocation Proforma'!M765</f>
        <v>3541984.2877388089</v>
      </c>
      <c r="E30" s="348">
        <f>'Allocation Proforma'!M417+'Allocation Proforma'!M474+'Allocation Proforma'!M359+'Allocation Proforma'!M531+'Allocation Proforma'!M589</f>
        <v>2637296.6265778616</v>
      </c>
      <c r="F30" s="348">
        <f>'Allocation Proforma'!M356+'Allocation Proforma'!M357+'Allocation Proforma'!M358+'Allocation Proforma'!M414+'Allocation Proforma'!M415+'Allocation Proforma'!M416+'Allocation Proforma'!M471+'Allocation Proforma'!M472+'Allocation Proforma'!M473+'Allocation Proforma'!M528+'Allocation Proforma'!M529+'Allocation Proforma'!M530+'Allocation Proforma'!M586+'Allocation Proforma'!M587+'Allocation Proforma'!M588</f>
        <v>0</v>
      </c>
      <c r="G30" s="348">
        <f>'Allocation Proforma'!M365+'Allocation Proforma'!M423+'Allocation Proforma'!M480+'Allocation Proforma'!M537+'Allocation Proforma'!M595</f>
        <v>407098.88642980455</v>
      </c>
      <c r="H30" s="348">
        <f>'Allocation Proforma'!M371+'Allocation Proforma'!M375+'Allocation Proforma'!M377+'Allocation Proforma'!M382+'Allocation Proforma'!M429+'Allocation Proforma'!M433+'Allocation Proforma'!M435+'Allocation Proforma'!M440+'Allocation Proforma'!M486+'Allocation Proforma'!M490+'Allocation Proforma'!M492+'Allocation Proforma'!M497+'Allocation Proforma'!M543+'Allocation Proforma'!M547+'Allocation Proforma'!M549+'Allocation Proforma'!M554+'Allocation Proforma'!M601+'Allocation Proforma'!M605+'Allocation Proforma'!M607+'Allocation Proforma'!M612</f>
        <v>488265.35490078502</v>
      </c>
      <c r="I30" s="348">
        <f>'Allocation Proforma'!M376+'Allocation Proforma'!M378+'Allocation Proforma'!M383+'Allocation Proforma'!M387+'Allocation Proforma'!M391+'Allocation Proforma'!M434+'Allocation Proforma'!M436+'Allocation Proforma'!M441+'Allocation Proforma'!M445+'Allocation Proforma'!M448+'Allocation Proforma'!M491+'Allocation Proforma'!M493+'Allocation Proforma'!M498+'Allocation Proforma'!M502+'Allocation Proforma'!M505+'Allocation Proforma'!M548+'Allocation Proforma'!M550+'Allocation Proforma'!M555+'Allocation Proforma'!M559+'Allocation Proforma'!M562+'Allocation Proforma'!M606+'Allocation Proforma'!M608+'Allocation Proforma'!M613+'Allocation Proforma'!M617+'Allocation Proforma'!M620</f>
        <v>9323.4198303575904</v>
      </c>
      <c r="J30" s="348">
        <v>0</v>
      </c>
      <c r="K30" s="269">
        <f t="shared" si="7"/>
        <v>3541984.2877388084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Proforma'!M771</f>
        <v>-30207.765879848757</v>
      </c>
      <c r="E31" s="348">
        <f t="shared" ref="E31:J31" si="8">$D$31*(E14/$K$14)</f>
        <v>-21454.085867698548</v>
      </c>
      <c r="F31" s="348">
        <f t="shared" si="8"/>
        <v>-914.31040309552213</v>
      </c>
      <c r="G31" s="348">
        <f t="shared" si="8"/>
        <v>-3612.9891472244667</v>
      </c>
      <c r="H31" s="348">
        <f t="shared" si="8"/>
        <v>-4132.3528281857107</v>
      </c>
      <c r="I31" s="348">
        <f t="shared" si="8"/>
        <v>-82.232292197843194</v>
      </c>
      <c r="J31" s="348">
        <f t="shared" si="8"/>
        <v>-11.795341446670918</v>
      </c>
      <c r="K31" s="269">
        <f t="shared" si="7"/>
        <v>-30207.765879848765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Proforma'!M934+'Allocation Proforma'!M935</f>
        <v>46669.263912082402</v>
      </c>
      <c r="E36" s="348">
        <f t="shared" ref="E36:J36" si="10">(E14/($D$14)*$D$36)</f>
        <v>33145.330883937371</v>
      </c>
      <c r="F36" s="348">
        <f t="shared" si="10"/>
        <v>1412.5570778503727</v>
      </c>
      <c r="G36" s="348">
        <f t="shared" si="10"/>
        <v>5581.8607934785923</v>
      </c>
      <c r="H36" s="348">
        <f t="shared" si="10"/>
        <v>6384.2478614113434</v>
      </c>
      <c r="I36" s="348">
        <f t="shared" si="10"/>
        <v>127.0441700965617</v>
      </c>
      <c r="J36" s="348">
        <f t="shared" si="10"/>
        <v>18.223125308152213</v>
      </c>
      <c r="K36" s="269">
        <f t="shared" si="7"/>
        <v>46669.263912082395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 t="e">
        <f>'Allocation Proforma'!#REF!</f>
        <v>#REF!</v>
      </c>
      <c r="E37" s="348" t="e">
        <f>D37</f>
        <v>#REF!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 t="e">
        <f t="shared" ref="D39:J39" si="11">SUM(D32:D37)</f>
        <v>#REF!</v>
      </c>
      <c r="E39" s="333" t="e">
        <f t="shared" si="11"/>
        <v>#REF!</v>
      </c>
      <c r="F39" s="333">
        <f t="shared" si="11"/>
        <v>1412.5570778503727</v>
      </c>
      <c r="G39" s="333">
        <f t="shared" si="11"/>
        <v>5581.8607934785923</v>
      </c>
      <c r="H39" s="333">
        <f t="shared" si="11"/>
        <v>6384.2478614113434</v>
      </c>
      <c r="I39" s="333">
        <f t="shared" si="11"/>
        <v>127.0441700965617</v>
      </c>
      <c r="J39" s="333">
        <f t="shared" si="11"/>
        <v>18.223125308152213</v>
      </c>
      <c r="K39" s="269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 t="e">
        <f t="shared" ref="D41:J41" si="12">SUM(D28:D31)+D22+D26+D39+D24</f>
        <v>#REF!</v>
      </c>
      <c r="E41" s="352" t="e">
        <f t="shared" si="12"/>
        <v>#REF!</v>
      </c>
      <c r="F41" s="352">
        <f t="shared" si="12"/>
        <v>46243307.531304382</v>
      </c>
      <c r="G41" s="352">
        <f t="shared" si="12"/>
        <v>8534953.4422746263</v>
      </c>
      <c r="H41" s="352">
        <f t="shared" si="12"/>
        <v>8432958.4674718641</v>
      </c>
      <c r="I41" s="352">
        <f t="shared" si="12"/>
        <v>308963.00503665325</v>
      </c>
      <c r="J41" s="352">
        <f t="shared" si="12"/>
        <v>566428.94228470628</v>
      </c>
      <c r="K41" s="269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Proforma'!M700</f>
        <v>-69721.915873396429</v>
      </c>
      <c r="E43" s="294">
        <f>D43</f>
        <v>-69721.915873396429</v>
      </c>
      <c r="F43" s="294"/>
      <c r="G43" s="294"/>
      <c r="H43" s="294"/>
      <c r="I43" s="294"/>
      <c r="J43" s="294"/>
      <c r="K43" s="269">
        <f>SUM(E43:J43)</f>
        <v>-69721.915873396429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Proforma'!M698</f>
        <v>-3934269.0712397015</v>
      </c>
      <c r="E44" s="348">
        <v>0</v>
      </c>
      <c r="F44" s="348">
        <f>D44</f>
        <v>-3934269.0712397015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-3934269.0712397015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Proforma'!M699</f>
        <v>-1234652.0244138078</v>
      </c>
      <c r="E45" s="348">
        <v>0</v>
      </c>
      <c r="F45" s="348">
        <v>0</v>
      </c>
      <c r="G45" s="348">
        <f>D45</f>
        <v>-1234652.0244138078</v>
      </c>
      <c r="H45" s="348">
        <v>0</v>
      </c>
      <c r="I45" s="348">
        <v>0</v>
      </c>
      <c r="J45" s="348">
        <v>0</v>
      </c>
      <c r="K45" s="269">
        <f>SUM(E45:J45)</f>
        <v>-1234652.0244138078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Proforma'!M702-'Allocation Proforma'!M703-'Allocation Proforma'!M704-'Allocation Proforma'!M705</f>
        <v>-434357.37245953374</v>
      </c>
      <c r="E46" s="348">
        <f>-(E14/($D$14)*('Allocation Proforma'!M702+'Allocation Proforma'!M703+'Allocation Proforma'!M704+'Allocation Proforma'!M705))</f>
        <v>-308488.23455134017</v>
      </c>
      <c r="F46" s="348">
        <f>(F14/($D$14)*-('Allocation Proforma'!M702+'Allocation Proforma'!M703+'Allocation Proforma'!M704+'Allocation Proforma'!M705))</f>
        <v>-13146.866467404454</v>
      </c>
      <c r="G46" s="348">
        <f>(G14/($D$14)*-('Allocation Proforma'!M702+'Allocation Proforma'!M703+'Allocation Proforma'!M704+'Allocation Proforma'!M705))</f>
        <v>-51951.159809541256</v>
      </c>
      <c r="H46" s="348">
        <f>(H14/($D$14)*-('Allocation Proforma'!M702+'Allocation Proforma'!M703+'Allocation Proforma'!M704+'Allocation Proforma'!M705))</f>
        <v>-59419.088576948896</v>
      </c>
      <c r="I46" s="348">
        <f>(I14/($D$14)*-('Allocation Proforma'!M702+'Allocation Proforma'!M703+'Allocation Proforma'!M704+'Allocation Proforma'!M705))</f>
        <v>-1182.417876000786</v>
      </c>
      <c r="J46" s="348">
        <f>(J14/($D$14)*-('Allocation Proforma'!M702+'Allocation Proforma'!M703+'Allocation Proforma'!M704+'Allocation Proforma'!M705))</f>
        <v>-169.60517829810016</v>
      </c>
      <c r="K46" s="269">
        <f>SUM(E46:J46)</f>
        <v>-434357.37245953368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-5673000.3839864386</v>
      </c>
      <c r="E47" s="142">
        <f>SUM(E43:E46)</f>
        <v>-378210.15042473661</v>
      </c>
      <c r="F47" s="142">
        <f t="shared" ref="F47:I47" si="13">SUM(F43:F46)</f>
        <v>-3947415.9377071061</v>
      </c>
      <c r="G47" s="142">
        <f t="shared" si="13"/>
        <v>-1286603.184223349</v>
      </c>
      <c r="H47" s="142">
        <f t="shared" si="13"/>
        <v>-59419.088576948896</v>
      </c>
      <c r="I47" s="142">
        <f t="shared" si="13"/>
        <v>-1182.417876000786</v>
      </c>
      <c r="J47" s="142">
        <f>SUM(J43:J46)</f>
        <v>-169.60517829810016</v>
      </c>
      <c r="K47" s="269">
        <f>SUM(E47:J47)</f>
        <v>-5673000.3839864405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 t="e">
        <f t="shared" ref="D49:J49" si="14">D41+D47</f>
        <v>#REF!</v>
      </c>
      <c r="E49" s="333" t="e">
        <f t="shared" si="14"/>
        <v>#REF!</v>
      </c>
      <c r="F49" s="333">
        <f t="shared" si="14"/>
        <v>42295891.593597278</v>
      </c>
      <c r="G49" s="333">
        <f t="shared" si="14"/>
        <v>7248350.2580512771</v>
      </c>
      <c r="H49" s="333">
        <f t="shared" si="14"/>
        <v>8373539.3788949149</v>
      </c>
      <c r="I49" s="333">
        <f t="shared" si="14"/>
        <v>307780.58716065245</v>
      </c>
      <c r="J49" s="333">
        <f t="shared" si="14"/>
        <v>566259.3371064082</v>
      </c>
      <c r="K49" s="269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2084830</v>
      </c>
      <c r="F51" s="349">
        <f>'Allocation Proforma'!M964</f>
        <v>1288132009</v>
      </c>
      <c r="G51" s="349">
        <v>2400000</v>
      </c>
      <c r="H51" s="349">
        <f>G51</f>
        <v>2400000</v>
      </c>
      <c r="I51" s="349">
        <f>'Allocation Proforma'!$M$980*12</f>
        <v>6060</v>
      </c>
      <c r="J51" s="349">
        <f>'Allocation Proforma'!$M$980*12</f>
        <v>6060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 t="e">
        <f t="shared" ref="E53:J53" si="15">E49/E51</f>
        <v>#REF!</v>
      </c>
      <c r="F53" s="430">
        <f t="shared" si="15"/>
        <v>3.2835059837098793E-2</v>
      </c>
      <c r="G53" s="351">
        <f t="shared" si="15"/>
        <v>3.0201459408546989</v>
      </c>
      <c r="H53" s="351">
        <f t="shared" si="15"/>
        <v>3.4889747412062144</v>
      </c>
      <c r="I53" s="351">
        <f t="shared" si="15"/>
        <v>50.788875769084562</v>
      </c>
      <c r="J53" s="351">
        <f t="shared" si="15"/>
        <v>93.442134836040964</v>
      </c>
      <c r="K53" s="362">
        <f>I53+J53</f>
        <v>144.23101060512553</v>
      </c>
      <c r="L53" s="212"/>
    </row>
    <row r="55" spans="1:12">
      <c r="D55" s="246"/>
      <c r="F55" s="291"/>
      <c r="J55" s="345" t="s">
        <v>1224</v>
      </c>
      <c r="K55" s="214">
        <f>I53+J53</f>
        <v>144.23101060512553</v>
      </c>
      <c r="L55" s="214">
        <f>ROUND(K55/30.5,2)</f>
        <v>4.7300000000000004</v>
      </c>
    </row>
    <row r="56" spans="1:12">
      <c r="D56" s="246"/>
      <c r="I56" s="19"/>
      <c r="J56" s="345" t="s">
        <v>1242</v>
      </c>
      <c r="K56" s="3" t="e">
        <f>E53+G53+H53</f>
        <v>#REF!</v>
      </c>
    </row>
    <row r="57" spans="1:12">
      <c r="J57" s="345" t="s">
        <v>1243</v>
      </c>
      <c r="K57" s="8">
        <f>F53</f>
        <v>3.2835059837098793E-2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6">
      <c r="E65" s="264"/>
      <c r="F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N65"/>
  <sheetViews>
    <sheetView view="pageBreakPreview" topLeftCell="A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572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Proforma'!N176</f>
        <v>145224286.58182222</v>
      </c>
      <c r="E14" s="333">
        <f>'Allocation Proforma'!N125+'Allocation Proforma'!N126+'Allocation Proforma'!N127</f>
        <v>119465139.07929438</v>
      </c>
      <c r="F14" s="333">
        <f>'Allocation Proforma'!N128</f>
        <v>7018768.0220372546</v>
      </c>
      <c r="G14" s="333">
        <f>'Allocation Proforma'!N137</f>
        <v>18465968.32186741</v>
      </c>
      <c r="H14" s="333">
        <f>'Allocation Proforma'!N147+'Allocation Proforma'!N149+'Allocation Proforma'!N154+'Allocation Proforma'!N143</f>
        <v>0</v>
      </c>
      <c r="I14" s="333">
        <f>'Allocation Proforma'!N148+'Allocation Proforma'!N150+'Allocation Proforma'!N155+'Allocation Proforma'!N159+'Allocation Proforma'!N162+'Allocation Proforma'!N165</f>
        <v>271435.19067788246</v>
      </c>
      <c r="J14" s="333">
        <f>'Allocation Proforma'!N168+'Allocation Proforma'!N171</f>
        <v>2975.967945287055</v>
      </c>
      <c r="K14" s="269">
        <f>SUM(E14:J14)</f>
        <v>145224286.58182222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145224286.58182222</v>
      </c>
      <c r="E16" s="333">
        <f t="shared" ref="E16:K16" si="1">E14+E15</f>
        <v>119465139.07929438</v>
      </c>
      <c r="F16" s="333">
        <f t="shared" si="1"/>
        <v>7018768.0220372546</v>
      </c>
      <c r="G16" s="333">
        <f t="shared" si="1"/>
        <v>18465968.32186741</v>
      </c>
      <c r="H16" s="333">
        <f t="shared" si="1"/>
        <v>0</v>
      </c>
      <c r="I16" s="333">
        <f t="shared" si="1"/>
        <v>271435.19067788246</v>
      </c>
      <c r="J16" s="333">
        <f t="shared" si="1"/>
        <v>2975.967945287055</v>
      </c>
      <c r="K16" s="269">
        <f t="shared" si="1"/>
        <v>145224286.58182222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Proforma'!N946</f>
        <v>9.7408033374595429E-2</v>
      </c>
      <c r="E18" s="335">
        <f t="shared" ref="E18:J18" si="2">D18</f>
        <v>9.7408033374595429E-2</v>
      </c>
      <c r="F18" s="335">
        <f t="shared" si="2"/>
        <v>9.7408033374595429E-2</v>
      </c>
      <c r="G18" s="335">
        <f t="shared" si="2"/>
        <v>9.7408033374595429E-2</v>
      </c>
      <c r="H18" s="335">
        <f t="shared" si="2"/>
        <v>9.7408033374595429E-2</v>
      </c>
      <c r="I18" s="335">
        <f t="shared" si="2"/>
        <v>9.7408033374595429E-2</v>
      </c>
      <c r="J18" s="335">
        <f t="shared" si="2"/>
        <v>9.7408033374595429E-2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14146012.154163949</v>
      </c>
      <c r="E20" s="352">
        <f t="shared" ref="E20:J20" si="3">E18*E16</f>
        <v>11636864.254536591</v>
      </c>
      <c r="F20" s="352">
        <f t="shared" si="3"/>
        <v>683684.38973914809</v>
      </c>
      <c r="G20" s="352">
        <f t="shared" si="3"/>
        <v>1798733.6585906825</v>
      </c>
      <c r="H20" s="352">
        <f t="shared" si="3"/>
        <v>0</v>
      </c>
      <c r="I20" s="352">
        <f t="shared" si="3"/>
        <v>26439.96811259085</v>
      </c>
      <c r="J20" s="352">
        <f t="shared" si="3"/>
        <v>289.88318493624763</v>
      </c>
      <c r="K20" s="269">
        <f>SUM(E20:J20)</f>
        <v>14146012.154163949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Proforma'!N738</f>
        <v>3119533.5414673835</v>
      </c>
      <c r="E22" s="352">
        <f t="shared" ref="E22:J22" si="4">(E14/$D$14)*$D$22</f>
        <v>2566206.5014445917</v>
      </c>
      <c r="F22" s="352">
        <f t="shared" si="4"/>
        <v>150768.73696458247</v>
      </c>
      <c r="G22" s="352">
        <f t="shared" si="4"/>
        <v>396663.73243488895</v>
      </c>
      <c r="H22" s="352">
        <f t="shared" si="4"/>
        <v>0</v>
      </c>
      <c r="I22" s="352">
        <f t="shared" si="4"/>
        <v>5830.6444575107134</v>
      </c>
      <c r="J22" s="352">
        <f t="shared" si="4"/>
        <v>63.926165809905065</v>
      </c>
      <c r="K22" s="269">
        <f>SUM(E22:J22)</f>
        <v>3119533.5414673835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11026478.612696566</v>
      </c>
      <c r="E24" s="352">
        <f t="shared" ref="E24:J24" si="5">E20-E22</f>
        <v>9070657.7530920003</v>
      </c>
      <c r="F24" s="352">
        <f t="shared" si="5"/>
        <v>532915.65277456562</v>
      </c>
      <c r="G24" s="352">
        <f t="shared" si="5"/>
        <v>1402069.9261557935</v>
      </c>
      <c r="H24" s="352">
        <f t="shared" si="5"/>
        <v>0</v>
      </c>
      <c r="I24" s="352">
        <f t="shared" si="5"/>
        <v>20609.323655080138</v>
      </c>
      <c r="J24" s="352">
        <f t="shared" si="5"/>
        <v>225.95701912634257</v>
      </c>
      <c r="K24" s="269">
        <f>SUM(E24:J24)</f>
        <v>11026478.612696564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Proforma'!N767+'Allocation Proforma'!N937</f>
        <v>2229396.7294028602</v>
      </c>
      <c r="E26" s="352">
        <f t="shared" ref="E26:J26" si="6">$D$26*(E24/$K$24)</f>
        <v>1833957.6431038501</v>
      </c>
      <c r="F26" s="352">
        <f t="shared" si="6"/>
        <v>107747.94520302958</v>
      </c>
      <c r="G26" s="352">
        <f t="shared" si="6"/>
        <v>283478.54447081883</v>
      </c>
      <c r="H26" s="352">
        <f t="shared" si="6"/>
        <v>0</v>
      </c>
      <c r="I26" s="352">
        <f t="shared" si="6"/>
        <v>4166.9113382159194</v>
      </c>
      <c r="J26" s="352">
        <f t="shared" si="6"/>
        <v>45.685286946082812</v>
      </c>
      <c r="K26" s="269">
        <f>SUM(E26:J26)</f>
        <v>2229396.7294028602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Proforma'!N758</f>
        <v>44246128.238391086</v>
      </c>
      <c r="E28" s="352">
        <f>'Allocation Proforma'!N182+'Allocation Proforma'!N183+'Allocation Proforma'!N184</f>
        <v>6659233.9196911594</v>
      </c>
      <c r="F28" s="352">
        <f>'Allocation Proforma'!N185</f>
        <v>35601403.112511456</v>
      </c>
      <c r="G28" s="352">
        <f>'Allocation Proforma'!N194</f>
        <v>1834788.7966989246</v>
      </c>
      <c r="H28" s="352">
        <f>'Allocation Proforma'!N200+'Allocation Proforma'!N204+'Allocation Proforma'!N206+'Allocation Proforma'!N211</f>
        <v>0</v>
      </c>
      <c r="I28" s="352">
        <f>'Allocation Proforma'!N205+'Allocation Proforma'!N207+'Allocation Proforma'!N212+'Allocation Proforma'!N216+'Allocation Proforma'!N219</f>
        <v>136383.57938523268</v>
      </c>
      <c r="J28" s="352">
        <f>'Allocation Proforma'!N225+'Allocation Proforma'!N228</f>
        <v>14318.83010430769</v>
      </c>
      <c r="K28" s="269">
        <f t="shared" ref="K28:K39" si="7">SUM(E28:J28)</f>
        <v>44246128.238391086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Proforma'!N759</f>
        <v>13443513.007543452</v>
      </c>
      <c r="E29" s="348">
        <f>'Allocation Proforma'!N302</f>
        <v>12656251.061032001</v>
      </c>
      <c r="F29" s="348">
        <v>0</v>
      </c>
      <c r="G29" s="348">
        <f>'Allocation Proforma'!N308</f>
        <v>775832.44018176629</v>
      </c>
      <c r="H29" s="348">
        <f>'Allocation Proforma'!N314+'Allocation Proforma'!N318+'Allocation Proforma'!N320+'Allocation Proforma'!N325</f>
        <v>0</v>
      </c>
      <c r="I29" s="348">
        <f>'Allocation Proforma'!N319+'Allocation Proforma'!N321+'Allocation Proforma'!N326+'Allocation Proforma'!N330+'Allocation Proforma'!N333</f>
        <v>11429.506329685308</v>
      </c>
      <c r="J29" s="348">
        <v>0</v>
      </c>
      <c r="K29" s="269">
        <f t="shared" si="7"/>
        <v>13443513.007543452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Proforma'!N764+'Allocation Proforma'!N765</f>
        <v>1713515.730620208</v>
      </c>
      <c r="E30" s="348">
        <f>'Allocation Proforma'!N417+'Allocation Proforma'!N474+'Allocation Proforma'!N359+'Allocation Proforma'!N531+'Allocation Proforma'!N589</f>
        <v>1498388.392743215</v>
      </c>
      <c r="F30" s="348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348">
        <f>'Allocation Proforma'!N365+'Allocation Proforma'!N423+'Allocation Proforma'!N480+'Allocation Proforma'!N537+'Allocation Proforma'!N595</f>
        <v>212294.91211133962</v>
      </c>
      <c r="H30" s="348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0</v>
      </c>
      <c r="I30" s="348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2832.4257656533341</v>
      </c>
      <c r="J30" s="348">
        <v>0</v>
      </c>
      <c r="K30" s="269">
        <f t="shared" si="7"/>
        <v>1713515.730620208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Proforma'!N771</f>
        <v>-23660.290716785235</v>
      </c>
      <c r="E31" s="348">
        <f t="shared" ref="E31:J31" si="8">$D$31*(E14/$K$14)</f>
        <v>-19463.548333871382</v>
      </c>
      <c r="F31" s="348">
        <f t="shared" si="8"/>
        <v>-1143.5145992713292</v>
      </c>
      <c r="G31" s="348">
        <f t="shared" si="8"/>
        <v>-3008.5200564312358</v>
      </c>
      <c r="H31" s="348">
        <f t="shared" si="8"/>
        <v>0</v>
      </c>
      <c r="I31" s="348">
        <f t="shared" si="8"/>
        <v>-44.22287534245396</v>
      </c>
      <c r="J31" s="348">
        <f t="shared" si="8"/>
        <v>-0.48485186883430881</v>
      </c>
      <c r="K31" s="269">
        <f t="shared" si="7"/>
        <v>-23660.290716785235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Proforma'!N934+'Allocation Proforma'!N935</f>
        <v>29378.051279049618</v>
      </c>
      <c r="E36" s="348">
        <f t="shared" ref="E36:J36" si="10">(E14/($D$14)*$D$36)</f>
        <v>24167.121523113128</v>
      </c>
      <c r="F36" s="348">
        <f t="shared" si="10"/>
        <v>1419.8570481596978</v>
      </c>
      <c r="G36" s="348">
        <f t="shared" si="10"/>
        <v>3735.5608834165264</v>
      </c>
      <c r="H36" s="348">
        <f t="shared" si="10"/>
        <v>0</v>
      </c>
      <c r="I36" s="348">
        <f t="shared" si="10"/>
        <v>54.909802887415808</v>
      </c>
      <c r="J36" s="348">
        <f t="shared" si="10"/>
        <v>0.602021472849118</v>
      </c>
      <c r="K36" s="269">
        <f t="shared" si="7"/>
        <v>29378.051279049614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29378.051279049618</v>
      </c>
      <c r="E39" s="333">
        <f t="shared" si="11"/>
        <v>24167.121523113128</v>
      </c>
      <c r="F39" s="333">
        <f t="shared" si="11"/>
        <v>1419.8570481596978</v>
      </c>
      <c r="G39" s="333">
        <f t="shared" si="11"/>
        <v>3735.5608834165264</v>
      </c>
      <c r="H39" s="333">
        <f t="shared" si="11"/>
        <v>0</v>
      </c>
      <c r="I39" s="333">
        <f t="shared" si="11"/>
        <v>54.909802887415808</v>
      </c>
      <c r="J39" s="333">
        <f t="shared" si="11"/>
        <v>0.602021472849118</v>
      </c>
      <c r="K39" s="269">
        <f t="shared" si="7"/>
        <v>29378.051279049614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75784283.620683819</v>
      </c>
      <c r="E41" s="352">
        <f t="shared" si="12"/>
        <v>34289398.844296061</v>
      </c>
      <c r="F41" s="352">
        <f t="shared" si="12"/>
        <v>36393111.789902523</v>
      </c>
      <c r="G41" s="352">
        <f t="shared" si="12"/>
        <v>4905855.3928805161</v>
      </c>
      <c r="H41" s="352">
        <f t="shared" si="12"/>
        <v>0</v>
      </c>
      <c r="I41" s="352">
        <f t="shared" si="12"/>
        <v>181263.07785892306</v>
      </c>
      <c r="J41" s="352">
        <f t="shared" si="12"/>
        <v>14654.515745794037</v>
      </c>
      <c r="K41" s="269">
        <f>SUM(E41:J41)</f>
        <v>75784283.620683804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Proforma'!N700</f>
        <v>-39612.726309090365</v>
      </c>
      <c r="E43" s="294">
        <f>D43</f>
        <v>-39612.726309090365</v>
      </c>
      <c r="F43" s="294"/>
      <c r="G43" s="294"/>
      <c r="H43" s="294"/>
      <c r="I43" s="294"/>
      <c r="J43" s="294"/>
      <c r="K43" s="269">
        <f>SUM(E43:J43)</f>
        <v>-39612.726309090365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Proforma'!N698</f>
        <v>-3081523.8158901553</v>
      </c>
      <c r="E44" s="348">
        <v>0</v>
      </c>
      <c r="F44" s="348">
        <f>D44</f>
        <v>-3081523.8158901553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-3081523.8158901553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Proforma'!N699</f>
        <v>-643849.32444715034</v>
      </c>
      <c r="E45" s="348">
        <v>0</v>
      </c>
      <c r="F45" s="348">
        <v>0</v>
      </c>
      <c r="G45" s="348">
        <f>D45</f>
        <v>-643849.32444715034</v>
      </c>
      <c r="H45" s="348">
        <v>0</v>
      </c>
      <c r="I45" s="348">
        <v>0</v>
      </c>
      <c r="J45" s="348">
        <v>0</v>
      </c>
      <c r="K45" s="269">
        <f>SUM(E45:J45)</f>
        <v>-643849.32444715034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Proforma'!N702-'Allocation Proforma'!N703-'Allocation Proforma'!N704-'Allocation Proforma'!N705</f>
        <v>-188753.7153836191</v>
      </c>
      <c r="E46" s="348">
        <f>-(E14/($D$14)*('Allocation Proforma'!N702+'Allocation Proforma'!N703+'Allocation Proforma'!N704+'Allocation Proforma'!N705))</f>
        <v>-155273.53854365661</v>
      </c>
      <c r="F46" s="348">
        <f>(F14/($D$14)*-('Allocation Proforma'!N702+'Allocation Proforma'!N703+'Allocation Proforma'!N704+'Allocation Proforma'!N705))</f>
        <v>-9122.5687710907659</v>
      </c>
      <c r="G46" s="348">
        <f>(G14/($D$14)*-('Allocation Proforma'!N702+'Allocation Proforma'!N703+'Allocation Proforma'!N704+'Allocation Proforma'!N705))</f>
        <v>-24000.945096362218</v>
      </c>
      <c r="H46" s="348">
        <f>(H14/($D$14)*-('Allocation Proforma'!N702+'Allocation Proforma'!N703+'Allocation Proforma'!N704+'Allocation Proforma'!N705))</f>
        <v>0</v>
      </c>
      <c r="I46" s="348">
        <f>(I14/($D$14)*-('Allocation Proforma'!N702+'Allocation Proforma'!N703+'Allocation Proforma'!N704+'Allocation Proforma'!N705))</f>
        <v>-352.79498995813583</v>
      </c>
      <c r="J46" s="348">
        <f>(J14/($D$14)*-('Allocation Proforma'!N702+'Allocation Proforma'!N703+'Allocation Proforma'!N704+'Allocation Proforma'!N705))</f>
        <v>-3.8679825513826818</v>
      </c>
      <c r="K46" s="269">
        <f>SUM(E46:J46)</f>
        <v>-188753.7153836191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-3953739.5820300151</v>
      </c>
      <c r="E47" s="142">
        <f>SUM(E43:E46)</f>
        <v>-194886.26485274697</v>
      </c>
      <c r="F47" s="142">
        <f t="shared" ref="F47:I47" si="13">SUM(F43:F46)</f>
        <v>-3090646.3846612461</v>
      </c>
      <c r="G47" s="142">
        <f t="shared" si="13"/>
        <v>-667850.26954351261</v>
      </c>
      <c r="H47" s="142">
        <f t="shared" si="13"/>
        <v>0</v>
      </c>
      <c r="I47" s="142">
        <f t="shared" si="13"/>
        <v>-352.79498995813583</v>
      </c>
      <c r="J47" s="142">
        <f>SUM(J43:J46)</f>
        <v>-3.8679825513826818</v>
      </c>
      <c r="K47" s="269">
        <f>SUM(E47:J47)</f>
        <v>-3953739.5820300151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59">
        <f t="shared" ref="D49:J49" si="14">D41+D47</f>
        <v>71830544.038653806</v>
      </c>
      <c r="E49" s="333">
        <f t="shared" si="14"/>
        <v>34094512.579443313</v>
      </c>
      <c r="F49" s="333">
        <f t="shared" si="14"/>
        <v>33302465.405241277</v>
      </c>
      <c r="G49" s="333">
        <f t="shared" si="14"/>
        <v>4238005.1233370034</v>
      </c>
      <c r="H49" s="333">
        <f t="shared" si="14"/>
        <v>0</v>
      </c>
      <c r="I49" s="333">
        <f t="shared" si="14"/>
        <v>180910.28286896492</v>
      </c>
      <c r="J49" s="333">
        <f t="shared" si="14"/>
        <v>14650.647763242654</v>
      </c>
      <c r="K49" s="269">
        <f>SUM(E49:J49)</f>
        <v>71830544.038653791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112370.54515797552</v>
      </c>
      <c r="F51" s="349">
        <f>'Allocation Proforma'!N964</f>
        <v>1050890542</v>
      </c>
      <c r="G51" s="349">
        <f>E51</f>
        <v>112370.54515797552</v>
      </c>
      <c r="H51" s="349">
        <f>E51</f>
        <v>112370.54515797552</v>
      </c>
      <c r="I51" s="349">
        <f>'Allocation Proforma'!$N$980*12</f>
        <v>156</v>
      </c>
      <c r="J51" s="349">
        <f>'Allocation Proforma'!$N$980*12</f>
        <v>156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303.41147256615807</v>
      </c>
      <c r="F53" s="430">
        <f t="shared" si="15"/>
        <v>3.1689756520086064E-2</v>
      </c>
      <c r="G53" s="351">
        <f t="shared" si="15"/>
        <v>37.714555156593988</v>
      </c>
      <c r="H53" s="351">
        <f t="shared" si="15"/>
        <v>0</v>
      </c>
      <c r="I53" s="351">
        <f t="shared" si="15"/>
        <v>1159.6813004420828</v>
      </c>
      <c r="J53" s="351">
        <f t="shared" si="15"/>
        <v>93.914408738734963</v>
      </c>
      <c r="K53" s="362">
        <f>I53+J53</f>
        <v>1253.5957091808177</v>
      </c>
      <c r="L53" s="212"/>
    </row>
    <row r="55" spans="1:12">
      <c r="D55" s="246"/>
      <c r="F55" s="291"/>
      <c r="J55" s="345" t="s">
        <v>1224</v>
      </c>
      <c r="K55" s="214">
        <f>I53+J53</f>
        <v>1253.5957091808177</v>
      </c>
      <c r="L55">
        <f>ROUND(K55/30.5,2)</f>
        <v>41.1</v>
      </c>
    </row>
    <row r="56" spans="1:12">
      <c r="D56" s="246"/>
      <c r="I56" s="19"/>
      <c r="J56" s="345" t="s">
        <v>1242</v>
      </c>
      <c r="K56" s="3">
        <f>E53+G53+H53</f>
        <v>341.12602772275204</v>
      </c>
    </row>
    <row r="57" spans="1:12">
      <c r="J57" s="345" t="s">
        <v>1243</v>
      </c>
      <c r="K57" s="8">
        <f>F53</f>
        <v>3.1689756520086064E-2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5">
      <c r="E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90"/>
  <sheetViews>
    <sheetView topLeftCell="A7" zoomScale="75" zoomScaleNormal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3.15625" bestFit="1" customWidth="1"/>
    <col min="4" max="4" width="13.15625" customWidth="1"/>
    <col min="5" max="6" width="13.68359375" style="91" bestFit="1" customWidth="1"/>
    <col min="7" max="7" width="16.15625" style="91" bestFit="1" customWidth="1"/>
    <col min="8" max="8" width="14.83984375" style="91" customWidth="1"/>
    <col min="9" max="13" width="9.15625" style="91"/>
    <col min="14" max="14" width="17.26171875" style="91" customWidth="1"/>
    <col min="15" max="15" width="13" style="91" customWidth="1"/>
    <col min="16" max="16384" width="9.15625" style="91"/>
  </cols>
  <sheetData>
    <row r="1" spans="1:22">
      <c r="A1" s="90" t="s">
        <v>597</v>
      </c>
    </row>
    <row r="2" spans="1:22">
      <c r="A2" s="91" t="s">
        <v>665</v>
      </c>
    </row>
    <row r="5" spans="1:22" ht="12.6">
      <c r="C5" s="92" t="s">
        <v>1305</v>
      </c>
      <c r="D5" s="92" t="s">
        <v>1306</v>
      </c>
      <c r="E5" s="92" t="s">
        <v>1307</v>
      </c>
      <c r="F5" s="92" t="s">
        <v>1308</v>
      </c>
    </row>
    <row r="6" spans="1:22" ht="12.6">
      <c r="C6" s="92" t="s">
        <v>143</v>
      </c>
      <c r="D6" s="92" t="s">
        <v>143</v>
      </c>
      <c r="E6" s="92" t="s">
        <v>1195</v>
      </c>
      <c r="F6" s="92" t="s">
        <v>1195</v>
      </c>
      <c r="G6" s="104" t="s">
        <v>846</v>
      </c>
      <c r="H6" s="90"/>
    </row>
    <row r="7" spans="1:22" ht="12.6">
      <c r="C7" s="105" t="s">
        <v>1179</v>
      </c>
      <c r="D7" s="105" t="s">
        <v>1179</v>
      </c>
      <c r="E7" s="105" t="s">
        <v>806</v>
      </c>
      <c r="F7" s="105" t="s">
        <v>806</v>
      </c>
      <c r="G7" s="104" t="s">
        <v>143</v>
      </c>
      <c r="H7" s="104" t="s">
        <v>848</v>
      </c>
    </row>
    <row r="8" spans="1:22" ht="12.9" thickBot="1">
      <c r="C8" s="96" t="s">
        <v>144</v>
      </c>
      <c r="D8" s="96" t="s">
        <v>144</v>
      </c>
      <c r="E8" s="96" t="s">
        <v>142</v>
      </c>
      <c r="F8" s="96" t="s">
        <v>142</v>
      </c>
      <c r="G8" s="106" t="s">
        <v>144</v>
      </c>
      <c r="H8" s="106" t="s">
        <v>656</v>
      </c>
    </row>
    <row r="9" spans="1:22">
      <c r="E9" s="89"/>
      <c r="F9" s="89"/>
      <c r="H9" s="97"/>
    </row>
    <row r="10" spans="1:22">
      <c r="A10" s="31" t="s">
        <v>1165</v>
      </c>
      <c r="C10" s="237">
        <v>69.784971799999994</v>
      </c>
      <c r="D10" s="237">
        <v>148.78497179999999</v>
      </c>
      <c r="E10" s="376">
        <f>'Billing Det'!B8-F10</f>
        <v>376669.05273972603</v>
      </c>
      <c r="F10" s="376">
        <v>0</v>
      </c>
      <c r="G10" s="385">
        <f>(C10*E10)+(D10*F10)</f>
        <v>26285839.22337449</v>
      </c>
      <c r="H10" s="98">
        <f>G10/$G$42</f>
        <v>0.68186317292471232</v>
      </c>
    </row>
    <row r="11" spans="1:22">
      <c r="C11" s="238"/>
      <c r="D11" s="238"/>
      <c r="E11" s="376"/>
      <c r="F11" s="376"/>
      <c r="G11" s="385"/>
      <c r="H11" s="98"/>
      <c r="Q11" s="90"/>
      <c r="R11" s="90"/>
      <c r="S11" s="90"/>
      <c r="T11" s="90"/>
      <c r="U11" s="90"/>
      <c r="V11" s="90"/>
    </row>
    <row r="12" spans="1:22">
      <c r="A12" s="31" t="s">
        <v>1403</v>
      </c>
      <c r="C12" s="455">
        <f>C10</f>
        <v>69.784971799999994</v>
      </c>
      <c r="D12" s="455">
        <f>D10</f>
        <v>148.78497179999999</v>
      </c>
      <c r="E12" s="376">
        <f>'Billing Det'!B10-F12</f>
        <v>929.75</v>
      </c>
      <c r="F12" s="376"/>
      <c r="G12" s="385">
        <f>(C12*E12)+(D12*F12)</f>
        <v>64882.577531049996</v>
      </c>
      <c r="H12" s="98">
        <f>G12/$G$42</f>
        <v>1.6830750506726976E-3</v>
      </c>
      <c r="Q12" s="90"/>
      <c r="R12" s="90"/>
      <c r="S12" s="90"/>
      <c r="T12" s="90"/>
      <c r="U12" s="90"/>
      <c r="V12" s="90"/>
    </row>
    <row r="13" spans="1:22">
      <c r="C13" s="238"/>
      <c r="D13" s="238"/>
      <c r="E13" s="376"/>
      <c r="F13" s="376"/>
      <c r="G13" s="385"/>
      <c r="H13" s="98"/>
      <c r="Q13" s="90"/>
      <c r="R13" s="90"/>
      <c r="S13" s="90"/>
      <c r="T13" s="90"/>
      <c r="U13" s="90"/>
      <c r="V13" s="90"/>
    </row>
    <row r="14" spans="1:22">
      <c r="A14" s="179" t="s">
        <v>1218</v>
      </c>
      <c r="C14" s="237">
        <f>(28784/(28784+16576))*88.95+(16576/(28784+16576))*339.47</f>
        <v>180.49804938271606</v>
      </c>
      <c r="D14" s="237">
        <f>(28784/(28784+16576))*165.42+(16576/(28784+16576))*386.49</f>
        <v>246.20607407407408</v>
      </c>
      <c r="E14" s="376">
        <f>'Billing Det'!B12-F14</f>
        <v>45359.323287671228</v>
      </c>
      <c r="F14" s="376">
        <v>0</v>
      </c>
      <c r="G14" s="385">
        <f>(C14*E14)+(D14*F14)</f>
        <v>8187269.3747446639</v>
      </c>
      <c r="H14" s="98">
        <f>G14/$G$42</f>
        <v>0.21238041616295206</v>
      </c>
      <c r="Q14" s="90"/>
      <c r="R14" s="90"/>
      <c r="S14" s="90"/>
      <c r="T14" s="90"/>
      <c r="U14" s="90"/>
      <c r="V14" s="90"/>
    </row>
    <row r="15" spans="1:22">
      <c r="C15" s="238"/>
      <c r="D15" s="238"/>
      <c r="E15" s="376"/>
      <c r="F15" s="376"/>
      <c r="G15" s="385"/>
      <c r="H15" s="98"/>
      <c r="I15" s="90"/>
      <c r="J15" s="90"/>
      <c r="K15" s="90"/>
      <c r="L15" s="90"/>
    </row>
    <row r="16" spans="1:22">
      <c r="A16" s="215" t="s">
        <v>1097</v>
      </c>
      <c r="C16" s="237">
        <v>3823.0146610129336</v>
      </c>
      <c r="D16" s="237">
        <v>3869.704801858004</v>
      </c>
      <c r="E16" s="376">
        <f>'Billing Det'!B14-F16</f>
        <v>70</v>
      </c>
      <c r="F16" s="376">
        <v>0</v>
      </c>
      <c r="G16" s="385">
        <f>(C16*E16)+(D16*F16)</f>
        <v>267611.02627090533</v>
      </c>
      <c r="H16" s="98">
        <f>G16/$G$42</f>
        <v>6.9419165936484275E-3</v>
      </c>
    </row>
    <row r="17" spans="1:8">
      <c r="C17" s="238"/>
      <c r="D17" s="238"/>
      <c r="E17" s="376"/>
      <c r="F17" s="376"/>
      <c r="G17" s="385"/>
      <c r="H17" s="98"/>
    </row>
    <row r="18" spans="1:8">
      <c r="A18" s="215" t="s">
        <v>1098</v>
      </c>
      <c r="C18" s="237">
        <v>822.86947344050952</v>
      </c>
      <c r="D18" s="237">
        <v>869.75028434578735</v>
      </c>
      <c r="E18" s="376">
        <f>'Billing Det'!B16-F18</f>
        <v>2782.3972602739727</v>
      </c>
      <c r="F18" s="376">
        <v>0</v>
      </c>
      <c r="G18" s="385">
        <f>(C18*E18)+(D18*F18)</f>
        <v>2289549.7684639604</v>
      </c>
      <c r="H18" s="98">
        <f>G18/$G$42</f>
        <v>5.9391661663426243E-2</v>
      </c>
    </row>
    <row r="19" spans="1:8">
      <c r="C19" s="238"/>
      <c r="D19" s="238"/>
      <c r="E19" s="376"/>
      <c r="F19" s="376"/>
      <c r="G19" s="385"/>
      <c r="H19" s="98"/>
    </row>
    <row r="20" spans="1:8">
      <c r="A20" s="215" t="s">
        <v>1219</v>
      </c>
      <c r="C20" s="237">
        <v>4061.9125422969328</v>
      </c>
      <c r="D20" s="237">
        <v>0</v>
      </c>
      <c r="E20" s="376">
        <f>'Billing Det'!B18-F20</f>
        <v>131.59452054794519</v>
      </c>
      <c r="F20" s="376">
        <v>0</v>
      </c>
      <c r="G20" s="385">
        <f>(C20*E20)+(D20*F20)</f>
        <v>534525.43351125007</v>
      </c>
      <c r="H20" s="98">
        <f>G20/$G$42</f>
        <v>1.3865762664287819E-2</v>
      </c>
    </row>
    <row r="21" spans="1:8">
      <c r="C21" s="237"/>
      <c r="D21" s="237"/>
      <c r="E21" s="376"/>
      <c r="F21" s="376"/>
      <c r="G21" s="385"/>
      <c r="H21" s="98"/>
    </row>
    <row r="22" spans="1:8">
      <c r="A22" s="215" t="s">
        <v>1196</v>
      </c>
      <c r="C22" s="237">
        <v>896.28693240468874</v>
      </c>
      <c r="D22" s="237">
        <v>0</v>
      </c>
      <c r="E22" s="376">
        <f>'Billing Det'!B20-F22</f>
        <v>505.00547945205477</v>
      </c>
      <c r="F22" s="376">
        <v>0</v>
      </c>
      <c r="G22" s="385">
        <f>(C22*E22)+(D22*F22)</f>
        <v>452629.81202564127</v>
      </c>
      <c r="H22" s="98">
        <f>G22/$G$42</f>
        <v>1.1741363749713249E-2</v>
      </c>
    </row>
    <row r="23" spans="1:8">
      <c r="C23" s="238"/>
      <c r="D23" s="238"/>
      <c r="E23" s="376"/>
      <c r="F23" s="376"/>
      <c r="G23" s="385"/>
      <c r="H23" s="98"/>
    </row>
    <row r="24" spans="1:8">
      <c r="A24" s="215" t="s">
        <v>1099</v>
      </c>
      <c r="C24" s="237">
        <v>29057.394848745451</v>
      </c>
      <c r="D24" s="237">
        <v>0</v>
      </c>
      <c r="E24" s="376">
        <f>'Billing Det'!B22-F24</f>
        <v>13</v>
      </c>
      <c r="F24" s="380">
        <v>0</v>
      </c>
      <c r="G24" s="385">
        <f>(C24*E24)+(D24*F24)</f>
        <v>377746.13303369086</v>
      </c>
      <c r="H24" s="98">
        <f>G24/$G$42</f>
        <v>9.7988568917879437E-3</v>
      </c>
    </row>
    <row r="25" spans="1:8">
      <c r="C25" s="238"/>
      <c r="D25" s="238"/>
      <c r="E25" s="376"/>
      <c r="F25" s="376"/>
      <c r="G25" s="385"/>
      <c r="H25" s="98"/>
    </row>
    <row r="26" spans="1:8">
      <c r="A26" s="215" t="s">
        <v>572</v>
      </c>
      <c r="C26" s="237">
        <f>C20</f>
        <v>4061.9125422969328</v>
      </c>
      <c r="D26" s="237">
        <f>D20</f>
        <v>0</v>
      </c>
      <c r="E26" s="376">
        <f>'Billing Det'!B24-F26</f>
        <v>2</v>
      </c>
      <c r="F26" s="376">
        <v>0</v>
      </c>
      <c r="G26" s="385">
        <f>(C26*E26)+(D26*F26)</f>
        <v>8123.8250845938655</v>
      </c>
      <c r="H26" s="98">
        <f>G26/$G$42</f>
        <v>2.1073465075220914E-4</v>
      </c>
    </row>
    <row r="27" spans="1:8">
      <c r="C27" s="238"/>
      <c r="D27" s="238"/>
      <c r="E27" s="376"/>
      <c r="F27" s="376"/>
      <c r="G27" s="385"/>
      <c r="H27" s="98"/>
    </row>
    <row r="28" spans="1:8">
      <c r="A28" s="179" t="s">
        <v>1178</v>
      </c>
      <c r="C28" s="237">
        <v>0</v>
      </c>
      <c r="D28" s="237">
        <v>0</v>
      </c>
      <c r="E28" s="376">
        <f>'Billing Det'!B26-F28</f>
        <v>91009</v>
      </c>
      <c r="F28" s="376">
        <v>0</v>
      </c>
      <c r="G28" s="385">
        <f>(C28*E28)+(D28*F28)</f>
        <v>0</v>
      </c>
      <c r="H28" s="98">
        <f>G28/$G$42</f>
        <v>0</v>
      </c>
    </row>
    <row r="29" spans="1:8">
      <c r="C29" s="238"/>
      <c r="D29" s="238"/>
      <c r="E29" s="376"/>
      <c r="F29" s="376"/>
      <c r="G29" s="385"/>
      <c r="H29" s="98"/>
    </row>
    <row r="30" spans="1:8">
      <c r="A30" s="179" t="s">
        <v>1197</v>
      </c>
      <c r="C30" s="237">
        <f>C10</f>
        <v>69.784971799999994</v>
      </c>
      <c r="D30" s="237">
        <f>D10</f>
        <v>148.78497179999999</v>
      </c>
      <c r="E30" s="376">
        <f>'Billing Det'!B28-F30</f>
        <v>161</v>
      </c>
      <c r="F30" s="376">
        <v>0</v>
      </c>
      <c r="G30" s="385">
        <f>(C30*E30)+(D30*F30)</f>
        <v>11235.380459799999</v>
      </c>
      <c r="H30" s="98">
        <f>G30/$G$42</f>
        <v>2.9144940377338457E-4</v>
      </c>
    </row>
    <row r="31" spans="1:8">
      <c r="A31" s="179"/>
      <c r="C31" s="238"/>
      <c r="D31" s="238"/>
      <c r="E31" s="376"/>
      <c r="F31" s="376"/>
      <c r="G31" s="385"/>
      <c r="H31" s="98"/>
    </row>
    <row r="32" spans="1:8">
      <c r="A32" s="179" t="s">
        <v>1258</v>
      </c>
      <c r="C32" s="237">
        <f>C10</f>
        <v>69.784971799999994</v>
      </c>
      <c r="D32" s="237">
        <f>D10</f>
        <v>148.78497179999999</v>
      </c>
      <c r="E32" s="376">
        <f>'Billing Det'!B30-F32</f>
        <v>1000</v>
      </c>
      <c r="F32" s="376">
        <v>0</v>
      </c>
      <c r="G32" s="385">
        <f>(C32*E32)+(D32*F32)</f>
        <v>69784.971799999999</v>
      </c>
      <c r="H32" s="98">
        <f>G32/$G$42</f>
        <v>1.8102447439340657E-3</v>
      </c>
    </row>
    <row r="33" spans="1:15">
      <c r="C33" s="237"/>
      <c r="D33" s="237"/>
      <c r="E33" s="376"/>
      <c r="F33" s="376"/>
      <c r="G33" s="385"/>
      <c r="H33" s="98"/>
    </row>
    <row r="34" spans="1:15">
      <c r="A34" s="179" t="s">
        <v>1254</v>
      </c>
      <c r="C34" s="237">
        <f>C18</f>
        <v>822.86947344050952</v>
      </c>
      <c r="D34" s="237">
        <f>D18</f>
        <v>869.75028434578735</v>
      </c>
      <c r="E34" s="376">
        <f>'Billing Det'!B32-F34</f>
        <v>1</v>
      </c>
      <c r="F34" s="376">
        <v>0</v>
      </c>
      <c r="G34" s="385">
        <f>(C34*E34)+(D34*F34)</f>
        <v>822.86947344050952</v>
      </c>
      <c r="H34" s="98">
        <f>G34/$G$42</f>
        <v>2.1345500339364968E-5</v>
      </c>
    </row>
    <row r="35" spans="1:15">
      <c r="A35" s="179"/>
      <c r="C35" s="237"/>
      <c r="D35" s="237"/>
      <c r="E35" s="376"/>
      <c r="F35" s="376"/>
      <c r="G35" s="385"/>
      <c r="H35" s="98"/>
    </row>
    <row r="36" spans="1:15">
      <c r="A36" s="179" t="s">
        <v>1249</v>
      </c>
      <c r="C36" s="237">
        <v>0</v>
      </c>
      <c r="D36" s="237">
        <v>0</v>
      </c>
      <c r="E36" s="376">
        <f>'Billing Det'!B34-F36</f>
        <v>10</v>
      </c>
      <c r="F36" s="376">
        <v>0</v>
      </c>
      <c r="G36" s="385">
        <f>(C36*E36)+(D36*F36)</f>
        <v>0</v>
      </c>
      <c r="H36" s="98">
        <f>G36/$G$42</f>
        <v>0</v>
      </c>
    </row>
    <row r="37" spans="1:15">
      <c r="A37" s="179"/>
      <c r="C37" s="237"/>
      <c r="D37" s="237"/>
      <c r="E37" s="376"/>
      <c r="F37" s="376"/>
      <c r="G37" s="385"/>
      <c r="H37" s="98"/>
    </row>
    <row r="38" spans="1:15">
      <c r="A38" s="179" t="s">
        <v>1251</v>
      </c>
      <c r="C38" s="237">
        <v>0</v>
      </c>
      <c r="D38" s="237">
        <v>0</v>
      </c>
      <c r="E38" s="376">
        <f>'Billing Det'!B36-F38</f>
        <v>0</v>
      </c>
      <c r="F38" s="376"/>
      <c r="G38" s="385">
        <f>(C38*E38)+(D38*F38)</f>
        <v>0</v>
      </c>
      <c r="H38" s="98">
        <f>G38/$G$42</f>
        <v>0</v>
      </c>
    </row>
    <row r="39" spans="1:15">
      <c r="A39" s="179"/>
      <c r="C39" s="237"/>
      <c r="D39" s="237"/>
      <c r="E39" s="376"/>
      <c r="F39" s="376"/>
      <c r="G39" s="385"/>
      <c r="H39" s="98"/>
    </row>
    <row r="40" spans="1:15">
      <c r="A40" s="179" t="s">
        <v>1252</v>
      </c>
      <c r="C40" s="237">
        <v>0</v>
      </c>
      <c r="D40" s="237">
        <v>0</v>
      </c>
      <c r="E40" s="376">
        <f>'Billing Det'!B38-F40</f>
        <v>0</v>
      </c>
      <c r="F40" s="376"/>
      <c r="G40" s="385">
        <f>(C40*E40)+(D40*F40)</f>
        <v>0</v>
      </c>
      <c r="H40" s="98">
        <f>G40/$G$42</f>
        <v>0</v>
      </c>
    </row>
    <row r="41" spans="1:15">
      <c r="A41" s="100"/>
      <c r="B41" s="101"/>
      <c r="C41" s="101"/>
      <c r="D41" s="101"/>
      <c r="E41" s="379"/>
      <c r="F41" s="379"/>
      <c r="G41" s="382"/>
      <c r="H41" s="103"/>
    </row>
    <row r="42" spans="1:15">
      <c r="C42" s="91"/>
      <c r="D42" s="91"/>
      <c r="E42" s="376">
        <f>SUM(E10:E41)</f>
        <v>518643.12328767125</v>
      </c>
      <c r="F42" s="376">
        <f>SUM(F10:F41)</f>
        <v>0</v>
      </c>
      <c r="G42" s="393">
        <f>SUM(G10:G41)</f>
        <v>38550020.395773493</v>
      </c>
      <c r="H42" s="98">
        <f>SUM(H10:H41)</f>
        <v>0.99999999999999967</v>
      </c>
    </row>
    <row r="43" spans="1:15" ht="12.6">
      <c r="C43" s="91"/>
      <c r="D43" s="91"/>
      <c r="N43" s="89"/>
      <c r="O43" s="89"/>
    </row>
    <row r="44" spans="1:15" ht="12.6">
      <c r="C44" s="91"/>
      <c r="D44" s="91"/>
      <c r="N44" s="89"/>
      <c r="O44" s="89"/>
    </row>
    <row r="45" spans="1:15" ht="12.6">
      <c r="B45" s="91" t="s">
        <v>608</v>
      </c>
      <c r="C45" s="91"/>
      <c r="D45" s="91"/>
      <c r="G45" s="95">
        <f>'Functional Assignment'!F43</f>
        <v>42308484.608643189</v>
      </c>
    </row>
    <row r="46" spans="1:15" ht="12.6">
      <c r="C46" s="442"/>
      <c r="D46" s="91"/>
    </row>
    <row r="47" spans="1:15" ht="12.6">
      <c r="C47" s="91"/>
      <c r="D47" s="91"/>
    </row>
    <row r="48" spans="1:15">
      <c r="A48" s="378"/>
      <c r="B48" s="377"/>
      <c r="C48" s="36"/>
      <c r="D48" s="20"/>
      <c r="E48" s="377"/>
      <c r="F48" s="377"/>
      <c r="G48" s="377"/>
      <c r="H48" s="377"/>
    </row>
    <row r="49" spans="1:8">
      <c r="A49" s="377"/>
      <c r="B49" s="377"/>
      <c r="C49" s="20"/>
      <c r="D49" s="20"/>
      <c r="E49" s="377"/>
      <c r="F49" s="377"/>
      <c r="G49" s="377"/>
      <c r="H49" s="377"/>
    </row>
    <row r="50" spans="1:8">
      <c r="A50" s="377"/>
      <c r="B50" s="377"/>
      <c r="C50" s="20"/>
      <c r="D50" s="20"/>
      <c r="E50" s="377"/>
      <c r="F50" s="377"/>
      <c r="G50" s="377"/>
      <c r="H50" s="377"/>
    </row>
    <row r="51" spans="1:8">
      <c r="A51" s="377"/>
      <c r="B51" s="377"/>
      <c r="C51" s="20"/>
      <c r="D51" s="20"/>
      <c r="E51" s="377"/>
      <c r="F51" s="377"/>
      <c r="G51" s="377"/>
      <c r="H51" s="377"/>
    </row>
    <row r="52" spans="1:8">
      <c r="A52" s="377"/>
      <c r="B52" s="377"/>
      <c r="C52" s="20"/>
      <c r="D52" s="20"/>
      <c r="E52" s="377"/>
      <c r="F52" s="377"/>
      <c r="G52" s="377"/>
      <c r="H52" s="377"/>
    </row>
    <row r="53" spans="1:8" ht="12.6">
      <c r="A53" s="377"/>
      <c r="B53" s="377"/>
      <c r="C53" s="105"/>
      <c r="D53" s="105"/>
      <c r="E53" s="105"/>
      <c r="F53" s="105"/>
      <c r="G53" s="392"/>
      <c r="H53" s="378"/>
    </row>
    <row r="54" spans="1:8" ht="12.6">
      <c r="A54" s="377"/>
      <c r="B54" s="377"/>
      <c r="C54" s="105"/>
      <c r="D54" s="105"/>
      <c r="E54" s="105"/>
      <c r="F54" s="105"/>
      <c r="G54" s="392"/>
      <c r="H54" s="392"/>
    </row>
    <row r="55" spans="1:8" ht="12.6">
      <c r="A55" s="377"/>
      <c r="B55" s="377"/>
      <c r="C55" s="105"/>
      <c r="D55" s="105"/>
      <c r="E55" s="105"/>
      <c r="F55" s="105"/>
      <c r="G55" s="392"/>
      <c r="H55" s="392"/>
    </row>
    <row r="56" spans="1:8">
      <c r="A56" s="377"/>
      <c r="B56" s="377"/>
      <c r="C56" s="20"/>
      <c r="D56" s="20"/>
      <c r="E56" s="390"/>
      <c r="F56" s="390"/>
      <c r="G56" s="377"/>
      <c r="H56" s="388"/>
    </row>
    <row r="57" spans="1:8">
      <c r="A57" s="179"/>
      <c r="B57" s="377"/>
      <c r="C57" s="386"/>
      <c r="D57" s="386"/>
      <c r="E57" s="383"/>
      <c r="F57" s="383"/>
      <c r="G57" s="381"/>
      <c r="H57" s="394"/>
    </row>
    <row r="58" spans="1:8">
      <c r="A58" s="377"/>
      <c r="B58" s="377"/>
      <c r="C58" s="391"/>
      <c r="D58" s="391"/>
      <c r="E58" s="383"/>
      <c r="F58" s="383"/>
      <c r="G58" s="381"/>
      <c r="H58" s="394"/>
    </row>
    <row r="59" spans="1:8">
      <c r="A59" s="179"/>
      <c r="B59" s="377"/>
      <c r="C59" s="386"/>
      <c r="D59" s="386"/>
      <c r="E59" s="383"/>
      <c r="F59" s="383"/>
      <c r="G59" s="381"/>
      <c r="H59" s="394"/>
    </row>
    <row r="60" spans="1:8">
      <c r="A60" s="377"/>
      <c r="B60" s="377"/>
      <c r="C60" s="391"/>
      <c r="D60" s="391"/>
      <c r="E60" s="383"/>
      <c r="F60" s="383"/>
      <c r="G60" s="381"/>
      <c r="H60" s="394"/>
    </row>
    <row r="61" spans="1:8">
      <c r="A61" s="215"/>
      <c r="B61" s="377"/>
      <c r="C61" s="386"/>
      <c r="D61" s="386"/>
      <c r="E61" s="383"/>
      <c r="F61" s="383"/>
      <c r="G61" s="381"/>
      <c r="H61" s="394"/>
    </row>
    <row r="62" spans="1:8">
      <c r="A62" s="377"/>
      <c r="B62" s="377"/>
      <c r="C62" s="391"/>
      <c r="D62" s="391"/>
      <c r="E62" s="383"/>
      <c r="F62" s="383"/>
      <c r="G62" s="381"/>
      <c r="H62" s="394"/>
    </row>
    <row r="63" spans="1:8">
      <c r="A63" s="215"/>
      <c r="B63" s="377"/>
      <c r="C63" s="386"/>
      <c r="D63" s="386"/>
      <c r="E63" s="383"/>
      <c r="F63" s="383"/>
      <c r="G63" s="381"/>
      <c r="H63" s="394"/>
    </row>
    <row r="64" spans="1:8">
      <c r="A64" s="377"/>
      <c r="B64" s="377"/>
      <c r="C64" s="391"/>
      <c r="D64" s="391"/>
      <c r="E64" s="383"/>
      <c r="F64" s="383"/>
      <c r="G64" s="381"/>
      <c r="H64" s="394"/>
    </row>
    <row r="65" spans="1:8">
      <c r="A65" s="215"/>
      <c r="B65" s="377"/>
      <c r="C65" s="386"/>
      <c r="D65" s="386"/>
      <c r="E65" s="383"/>
      <c r="F65" s="383"/>
      <c r="G65" s="381"/>
      <c r="H65" s="394"/>
    </row>
    <row r="66" spans="1:8">
      <c r="A66" s="377"/>
      <c r="B66" s="377"/>
      <c r="C66" s="386"/>
      <c r="D66" s="386"/>
      <c r="E66" s="383"/>
      <c r="F66" s="383"/>
      <c r="G66" s="381"/>
      <c r="H66" s="394"/>
    </row>
    <row r="67" spans="1:8">
      <c r="A67" s="215"/>
      <c r="B67" s="377"/>
      <c r="C67" s="386"/>
      <c r="D67" s="386"/>
      <c r="E67" s="383"/>
      <c r="F67" s="383"/>
      <c r="G67" s="381"/>
      <c r="H67" s="394"/>
    </row>
    <row r="68" spans="1:8">
      <c r="A68" s="377"/>
      <c r="B68" s="377"/>
      <c r="C68" s="391"/>
      <c r="D68" s="391"/>
      <c r="E68" s="383"/>
      <c r="F68" s="383"/>
      <c r="G68" s="381"/>
      <c r="H68" s="394"/>
    </row>
    <row r="69" spans="1:8">
      <c r="A69" s="215"/>
      <c r="B69" s="377"/>
      <c r="C69" s="386"/>
      <c r="D69" s="386"/>
      <c r="E69" s="389"/>
      <c r="F69" s="389"/>
      <c r="G69" s="381"/>
      <c r="H69" s="394"/>
    </row>
    <row r="70" spans="1:8">
      <c r="A70" s="377"/>
      <c r="B70" s="377"/>
      <c r="C70" s="391"/>
      <c r="D70" s="391"/>
      <c r="E70" s="383"/>
      <c r="F70" s="383"/>
      <c r="G70" s="381"/>
      <c r="H70" s="394"/>
    </row>
    <row r="71" spans="1:8">
      <c r="A71" s="215"/>
      <c r="B71" s="377"/>
      <c r="C71" s="386"/>
      <c r="D71" s="386"/>
      <c r="E71" s="383"/>
      <c r="F71" s="383"/>
      <c r="G71" s="381"/>
      <c r="H71" s="394"/>
    </row>
    <row r="72" spans="1:8">
      <c r="A72" s="377"/>
      <c r="B72" s="377"/>
      <c r="C72" s="391"/>
      <c r="D72" s="391"/>
      <c r="E72" s="383"/>
      <c r="F72" s="383"/>
      <c r="G72" s="381"/>
      <c r="H72" s="394"/>
    </row>
    <row r="73" spans="1:8">
      <c r="A73" s="179"/>
      <c r="B73" s="377"/>
      <c r="C73" s="386"/>
      <c r="D73" s="386"/>
      <c r="E73" s="383"/>
      <c r="F73" s="383"/>
      <c r="G73" s="381"/>
      <c r="H73" s="394"/>
    </row>
    <row r="74" spans="1:8">
      <c r="A74" s="377"/>
      <c r="B74" s="377"/>
      <c r="C74" s="391"/>
      <c r="D74" s="391"/>
      <c r="E74" s="383"/>
      <c r="F74" s="383"/>
      <c r="G74" s="381"/>
      <c r="H74" s="394"/>
    </row>
    <row r="75" spans="1:8">
      <c r="A75" s="215"/>
      <c r="B75" s="377"/>
      <c r="C75" s="386"/>
      <c r="D75" s="386"/>
      <c r="E75" s="383"/>
      <c r="F75" s="383"/>
      <c r="G75" s="381"/>
      <c r="H75" s="394"/>
    </row>
    <row r="76" spans="1:8">
      <c r="A76" s="377"/>
      <c r="B76" s="377"/>
      <c r="C76" s="391"/>
      <c r="D76" s="391"/>
      <c r="E76" s="383"/>
      <c r="F76" s="383"/>
      <c r="G76" s="381"/>
      <c r="H76" s="394"/>
    </row>
    <row r="77" spans="1:8">
      <c r="A77" s="179"/>
      <c r="B77" s="377"/>
      <c r="C77" s="386"/>
      <c r="D77" s="386"/>
      <c r="E77" s="383"/>
      <c r="F77" s="383"/>
      <c r="G77" s="381"/>
      <c r="H77" s="394"/>
    </row>
    <row r="78" spans="1:8">
      <c r="A78" s="377"/>
      <c r="B78" s="377"/>
      <c r="C78" s="386"/>
      <c r="D78" s="386"/>
      <c r="E78" s="383"/>
      <c r="F78" s="383"/>
      <c r="G78" s="381"/>
      <c r="H78" s="394"/>
    </row>
    <row r="79" spans="1:8">
      <c r="A79" s="179"/>
      <c r="B79" s="377"/>
      <c r="C79" s="386"/>
      <c r="D79" s="386"/>
      <c r="E79" s="383"/>
      <c r="F79" s="383"/>
      <c r="G79" s="381"/>
      <c r="H79" s="394"/>
    </row>
    <row r="80" spans="1:8">
      <c r="A80" s="179"/>
      <c r="B80" s="377"/>
      <c r="C80" s="386"/>
      <c r="D80" s="386"/>
      <c r="E80" s="383"/>
      <c r="F80" s="383"/>
      <c r="G80" s="381"/>
      <c r="H80" s="394"/>
    </row>
    <row r="81" spans="1:8">
      <c r="A81" s="179"/>
      <c r="B81" s="377"/>
      <c r="C81" s="386"/>
      <c r="D81" s="386"/>
      <c r="E81" s="383"/>
      <c r="F81" s="383"/>
      <c r="G81" s="381"/>
      <c r="H81" s="394"/>
    </row>
    <row r="82" spans="1:8">
      <c r="A82" s="179"/>
      <c r="B82" s="377"/>
      <c r="C82" s="386"/>
      <c r="D82" s="386"/>
      <c r="E82" s="383"/>
      <c r="F82" s="383"/>
      <c r="G82" s="381"/>
      <c r="H82" s="394"/>
    </row>
    <row r="83" spans="1:8">
      <c r="A83" s="179"/>
      <c r="B83" s="377"/>
      <c r="C83" s="386"/>
      <c r="D83" s="386"/>
      <c r="E83" s="383"/>
      <c r="F83" s="383"/>
      <c r="G83" s="381"/>
      <c r="H83" s="394"/>
    </row>
    <row r="84" spans="1:8">
      <c r="A84" s="179"/>
      <c r="B84" s="377"/>
      <c r="C84" s="386"/>
      <c r="D84" s="386"/>
      <c r="E84" s="383"/>
      <c r="F84" s="383"/>
      <c r="G84" s="381"/>
      <c r="H84" s="394"/>
    </row>
    <row r="85" spans="1:8">
      <c r="A85" s="179"/>
      <c r="B85" s="377"/>
      <c r="C85" s="386"/>
      <c r="D85" s="386"/>
      <c r="E85" s="383"/>
      <c r="F85" s="383"/>
      <c r="G85" s="381"/>
      <c r="H85" s="394"/>
    </row>
    <row r="86" spans="1:8" ht="12.6">
      <c r="A86" s="378"/>
      <c r="B86" s="377"/>
      <c r="C86" s="377"/>
      <c r="D86" s="377"/>
      <c r="E86" s="383"/>
      <c r="F86" s="383"/>
      <c r="G86" s="381"/>
      <c r="H86" s="394"/>
    </row>
    <row r="87" spans="1:8" ht="12.6">
      <c r="A87" s="377"/>
      <c r="B87" s="377"/>
      <c r="C87" s="377"/>
      <c r="D87" s="377"/>
      <c r="E87" s="383"/>
      <c r="F87" s="383"/>
      <c r="G87" s="387"/>
      <c r="H87" s="394"/>
    </row>
    <row r="88" spans="1:8" ht="12.6">
      <c r="C88" s="91"/>
      <c r="D88" s="91"/>
    </row>
    <row r="89" spans="1:8" ht="12.6">
      <c r="C89" s="91"/>
      <c r="D89" s="91"/>
    </row>
    <row r="90" spans="1:8" ht="12.6">
      <c r="C90" s="91"/>
      <c r="D90" s="91"/>
      <c r="G90" s="95"/>
    </row>
  </sheetData>
  <phoneticPr fontId="0" type="noConversion"/>
  <pageMargins left="0.75" right="0.75" top="1" bottom="1" header="0.5" footer="0.5"/>
  <pageSetup scale="6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6"/>
  <sheetViews>
    <sheetView zoomScale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2" bestFit="1" customWidth="1"/>
    <col min="4" max="4" width="13.68359375" style="91" bestFit="1" customWidth="1"/>
    <col min="5" max="5" width="16.15625" style="91" bestFit="1" customWidth="1"/>
    <col min="6" max="6" width="14.83984375" style="91" customWidth="1"/>
    <col min="7" max="11" width="9.15625" style="91"/>
    <col min="12" max="12" width="17.26171875" style="91" customWidth="1"/>
    <col min="13" max="13" width="13" style="91" customWidth="1"/>
    <col min="14" max="16384" width="9.15625" style="91"/>
  </cols>
  <sheetData>
    <row r="1" spans="1:20">
      <c r="A1" s="90" t="s">
        <v>597</v>
      </c>
    </row>
    <row r="2" spans="1:20">
      <c r="A2" s="91" t="s">
        <v>667</v>
      </c>
    </row>
    <row r="6" spans="1:20" ht="12.6">
      <c r="C6" s="92" t="s">
        <v>178</v>
      </c>
      <c r="D6" s="92" t="s">
        <v>1195</v>
      </c>
      <c r="E6" s="104" t="s">
        <v>846</v>
      </c>
      <c r="F6" s="90"/>
    </row>
    <row r="7" spans="1:20" ht="12.6">
      <c r="C7" s="105" t="s">
        <v>1179</v>
      </c>
      <c r="D7" s="105" t="s">
        <v>806</v>
      </c>
      <c r="E7" s="104" t="s">
        <v>178</v>
      </c>
      <c r="F7" s="104" t="s">
        <v>1009</v>
      </c>
    </row>
    <row r="8" spans="1:20" ht="12.9" thickBot="1">
      <c r="C8" s="96" t="s">
        <v>144</v>
      </c>
      <c r="D8" s="96" t="s">
        <v>142</v>
      </c>
      <c r="E8" s="106" t="s">
        <v>144</v>
      </c>
      <c r="F8" s="106" t="s">
        <v>656</v>
      </c>
    </row>
    <row r="9" spans="1:20">
      <c r="D9" s="89"/>
      <c r="F9" s="97"/>
    </row>
    <row r="10" spans="1:20">
      <c r="A10" s="31" t="s">
        <v>1165</v>
      </c>
      <c r="C10" s="237">
        <v>933.06</v>
      </c>
      <c r="D10" s="107">
        <f>'Billing Det'!B8</f>
        <v>376669.05273972603</v>
      </c>
      <c r="E10" s="99">
        <f>C10*D10</f>
        <v>351454826.34932876</v>
      </c>
      <c r="F10" s="98">
        <f>E10/$E$42</f>
        <v>0.85920091333043136</v>
      </c>
    </row>
    <row r="11" spans="1:20">
      <c r="C11" s="238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31" t="s">
        <v>1403</v>
      </c>
      <c r="C12" s="455">
        <f>C10</f>
        <v>933.06</v>
      </c>
      <c r="D12" s="107">
        <f>'Billing Det'!B10</f>
        <v>929.75</v>
      </c>
      <c r="E12" s="99">
        <f>C12*D12</f>
        <v>867512.53499999992</v>
      </c>
      <c r="F12" s="98">
        <f>E12/$E$42</f>
        <v>2.1208061648774717E-3</v>
      </c>
      <c r="O12" s="90"/>
      <c r="P12" s="90"/>
      <c r="Q12" s="90"/>
      <c r="R12" s="90"/>
      <c r="S12" s="90"/>
      <c r="T12" s="90"/>
    </row>
    <row r="13" spans="1:20">
      <c r="C13" s="238"/>
      <c r="D13" s="107"/>
      <c r="E13" s="99"/>
      <c r="F13" s="98"/>
      <c r="O13" s="90"/>
      <c r="P13" s="90"/>
      <c r="Q13" s="90"/>
      <c r="R13" s="90"/>
      <c r="S13" s="90"/>
      <c r="T13" s="90"/>
    </row>
    <row r="14" spans="1:20">
      <c r="A14" s="179" t="s">
        <v>1218</v>
      </c>
      <c r="C14" s="237">
        <v>1106.26</v>
      </c>
      <c r="D14" s="107">
        <f>'Billing Det'!B12</f>
        <v>45359.323287671228</v>
      </c>
      <c r="E14" s="99">
        <f>C14*D14</f>
        <v>50179204.98021917</v>
      </c>
      <c r="F14" s="98">
        <f>E14/$E$42</f>
        <v>0.12267300237995889</v>
      </c>
      <c r="O14" s="90"/>
      <c r="P14" s="90"/>
      <c r="Q14" s="90"/>
      <c r="R14" s="90"/>
      <c r="S14" s="90"/>
      <c r="T14" s="90"/>
    </row>
    <row r="15" spans="1:20">
      <c r="C15" s="238"/>
      <c r="D15" s="107"/>
      <c r="E15" s="99"/>
      <c r="F15" s="98"/>
      <c r="G15" s="90"/>
      <c r="H15" s="90"/>
      <c r="I15" s="90"/>
      <c r="J15" s="90"/>
    </row>
    <row r="16" spans="1:20">
      <c r="A16" s="215" t="s">
        <v>1097</v>
      </c>
      <c r="C16" s="237">
        <v>0</v>
      </c>
      <c r="D16" s="107">
        <f>'Billing Det'!B14</f>
        <v>70</v>
      </c>
      <c r="E16" s="99">
        <f>C16*D16</f>
        <v>0</v>
      </c>
      <c r="F16" s="98">
        <f>E16/$E$42</f>
        <v>0</v>
      </c>
    </row>
    <row r="17" spans="1:6">
      <c r="C17" s="238"/>
      <c r="D17" s="107"/>
      <c r="E17" s="99"/>
      <c r="F17" s="98"/>
    </row>
    <row r="18" spans="1:6">
      <c r="A18" s="215" t="s">
        <v>1098</v>
      </c>
      <c r="C18" s="237">
        <v>1855.01</v>
      </c>
      <c r="D18" s="107">
        <f>'Billing Det'!B16</f>
        <v>2782.3972602739727</v>
      </c>
      <c r="E18" s="99">
        <f>C18*D18</f>
        <v>5161374.7417808222</v>
      </c>
      <c r="F18" s="98">
        <f>E18/$E$42</f>
        <v>1.2618002541728851E-2</v>
      </c>
    </row>
    <row r="19" spans="1:6">
      <c r="C19" s="238"/>
      <c r="D19" s="107"/>
      <c r="E19" s="99"/>
      <c r="F19" s="98"/>
    </row>
    <row r="20" spans="1:6">
      <c r="A20" s="215" t="s">
        <v>1219</v>
      </c>
      <c r="C20" s="237">
        <v>0</v>
      </c>
      <c r="D20" s="107">
        <f>'Billing Det'!B18</f>
        <v>131.59452054794519</v>
      </c>
      <c r="E20" s="99">
        <f>C20*D20</f>
        <v>0</v>
      </c>
      <c r="F20" s="98">
        <f>E20/$E$42</f>
        <v>0</v>
      </c>
    </row>
    <row r="21" spans="1:6">
      <c r="C21" s="237"/>
      <c r="D21" s="107"/>
      <c r="E21" s="99"/>
      <c r="F21" s="98"/>
    </row>
    <row r="22" spans="1:6">
      <c r="A22" s="215" t="s">
        <v>1196</v>
      </c>
      <c r="C22" s="237">
        <v>2739.98</v>
      </c>
      <c r="D22" s="107">
        <f>'Billing Det'!B20</f>
        <v>505.00547945205477</v>
      </c>
      <c r="E22" s="99">
        <f>C22*D22</f>
        <v>1383704.913589041</v>
      </c>
      <c r="F22" s="98">
        <f>E22/$E$42</f>
        <v>3.3827406437543727E-3</v>
      </c>
    </row>
    <row r="23" spans="1:6">
      <c r="C23" s="238"/>
      <c r="D23" s="107"/>
      <c r="E23" s="99"/>
      <c r="F23" s="98"/>
    </row>
    <row r="24" spans="1:6">
      <c r="A24" s="215" t="s">
        <v>1099</v>
      </c>
      <c r="C24" s="237">
        <v>0</v>
      </c>
      <c r="D24" s="107">
        <f>'Billing Det'!B22</f>
        <v>13</v>
      </c>
      <c r="E24" s="99">
        <f>C24*D24</f>
        <v>0</v>
      </c>
      <c r="F24" s="98">
        <f>E24/$E$42</f>
        <v>0</v>
      </c>
    </row>
    <row r="25" spans="1:6">
      <c r="C25" s="238"/>
      <c r="D25" s="107"/>
      <c r="E25" s="99"/>
      <c r="F25" s="98"/>
    </row>
    <row r="26" spans="1:6">
      <c r="A26" s="215" t="s">
        <v>572</v>
      </c>
      <c r="C26" s="237">
        <v>0</v>
      </c>
      <c r="D26" s="107">
        <f>'Billing Det'!B24</f>
        <v>2</v>
      </c>
      <c r="E26" s="99">
        <f>C26*D26</f>
        <v>0</v>
      </c>
      <c r="F26" s="98">
        <f>E26/$E$42</f>
        <v>0</v>
      </c>
    </row>
    <row r="27" spans="1:6">
      <c r="C27" s="237"/>
      <c r="D27" s="107"/>
      <c r="E27" s="99"/>
      <c r="F27" s="98"/>
    </row>
    <row r="28" spans="1:6">
      <c r="A28" s="179" t="s">
        <v>1178</v>
      </c>
      <c r="C28" s="237">
        <v>0</v>
      </c>
      <c r="D28" s="107">
        <f>'Billing Det'!B26</f>
        <v>91009</v>
      </c>
      <c r="E28" s="99">
        <f>C28*D28</f>
        <v>0</v>
      </c>
      <c r="F28" s="98">
        <f>E28/$E$42</f>
        <v>0</v>
      </c>
    </row>
    <row r="29" spans="1:6">
      <c r="C29" s="237"/>
      <c r="D29" s="107"/>
      <c r="E29" s="99"/>
      <c r="F29" s="98"/>
    </row>
    <row r="30" spans="1:6">
      <c r="A30" s="179" t="s">
        <v>1197</v>
      </c>
      <c r="C30" s="237">
        <v>0</v>
      </c>
      <c r="D30" s="107">
        <f>'Billing Det'!B28</f>
        <v>161</v>
      </c>
      <c r="E30" s="99">
        <f>C30*D30</f>
        <v>0</v>
      </c>
      <c r="F30" s="98">
        <f>E30/$E$42</f>
        <v>0</v>
      </c>
    </row>
    <row r="31" spans="1:6">
      <c r="A31" s="179"/>
      <c r="C31" s="237"/>
      <c r="D31" s="107"/>
      <c r="E31" s="99"/>
      <c r="F31" s="98"/>
    </row>
    <row r="32" spans="1:6">
      <c r="A32" s="179" t="s">
        <v>1258</v>
      </c>
      <c r="C32" s="237">
        <v>0</v>
      </c>
      <c r="D32" s="107">
        <f>'Billing Det'!B30</f>
        <v>1000</v>
      </c>
      <c r="E32" s="99">
        <f>C32*D32</f>
        <v>0</v>
      </c>
      <c r="F32" s="98">
        <f>E32/$E$42</f>
        <v>0</v>
      </c>
    </row>
    <row r="33" spans="1:13">
      <c r="C33" s="237"/>
      <c r="D33" s="107"/>
      <c r="E33" s="99"/>
      <c r="F33" s="98"/>
    </row>
    <row r="34" spans="1:13">
      <c r="A34" s="179" t="s">
        <v>1254</v>
      </c>
      <c r="C34" s="237">
        <f>C18</f>
        <v>1855.01</v>
      </c>
      <c r="D34" s="107">
        <f>'Billing Det'!B32</f>
        <v>1</v>
      </c>
      <c r="E34" s="99">
        <f>C34*D34</f>
        <v>1855.01</v>
      </c>
      <c r="F34" s="98">
        <f>E34/$E$42</f>
        <v>4.534939248928961E-6</v>
      </c>
    </row>
    <row r="35" spans="1:13">
      <c r="A35" s="179"/>
      <c r="C35" s="237"/>
      <c r="D35" s="107"/>
      <c r="E35" s="99"/>
      <c r="F35" s="98"/>
    </row>
    <row r="36" spans="1:13">
      <c r="A36" s="179" t="s">
        <v>1249</v>
      </c>
      <c r="C36" s="237">
        <v>0</v>
      </c>
      <c r="D36" s="107">
        <f>'Billing Det'!B34</f>
        <v>10</v>
      </c>
      <c r="E36" s="99">
        <f>C36*D36</f>
        <v>0</v>
      </c>
      <c r="F36" s="98">
        <f>E36/$E$42</f>
        <v>0</v>
      </c>
    </row>
    <row r="37" spans="1:13">
      <c r="A37" s="179"/>
      <c r="C37" s="237"/>
      <c r="D37" s="107"/>
      <c r="E37" s="99"/>
      <c r="F37" s="98"/>
    </row>
    <row r="38" spans="1:13">
      <c r="A38" s="179" t="s">
        <v>1251</v>
      </c>
      <c r="C38" s="237">
        <v>0</v>
      </c>
      <c r="D38" s="107">
        <f>'Billing Det'!B36</f>
        <v>0</v>
      </c>
      <c r="E38" s="99">
        <f>C38*D38</f>
        <v>0</v>
      </c>
      <c r="F38" s="98">
        <f>E38/$E$42</f>
        <v>0</v>
      </c>
    </row>
    <row r="39" spans="1:13">
      <c r="A39" s="179"/>
      <c r="C39" s="237"/>
      <c r="D39" s="107"/>
      <c r="E39" s="99"/>
      <c r="F39" s="98"/>
    </row>
    <row r="40" spans="1:13">
      <c r="A40" s="179" t="s">
        <v>1252</v>
      </c>
      <c r="C40" s="237">
        <v>0</v>
      </c>
      <c r="D40" s="107">
        <f>'Billing Det'!B38</f>
        <v>0</v>
      </c>
      <c r="E40" s="99">
        <f>C40*D40</f>
        <v>0</v>
      </c>
      <c r="F40" s="98">
        <f>E40/$E$42</f>
        <v>0</v>
      </c>
    </row>
    <row r="41" spans="1:13">
      <c r="A41" s="100"/>
      <c r="B41" s="101"/>
      <c r="C41" s="384"/>
      <c r="D41" s="108"/>
      <c r="E41" s="102"/>
      <c r="F41" s="103"/>
    </row>
    <row r="42" spans="1:13" ht="12.6">
      <c r="C42" s="91"/>
      <c r="D42" s="107">
        <f>SUM(D10:D41)</f>
        <v>518643.12328767125</v>
      </c>
      <c r="E42" s="95">
        <f>SUM(E10:E41)</f>
        <v>409048478.52991784</v>
      </c>
      <c r="F42" s="98">
        <f>SUM(F10:F41)</f>
        <v>0.99999999999999978</v>
      </c>
    </row>
    <row r="43" spans="1:13" ht="12.6">
      <c r="C43" s="91"/>
      <c r="L43" s="89"/>
      <c r="M43" s="89"/>
    </row>
    <row r="44" spans="1:13" ht="12.6">
      <c r="C44" s="91"/>
      <c r="L44" s="89"/>
      <c r="M44" s="89"/>
    </row>
    <row r="45" spans="1:13" ht="12.6">
      <c r="B45" s="91" t="s">
        <v>608</v>
      </c>
      <c r="C45" s="91"/>
      <c r="E45" s="95">
        <f>'Functional Assignment'!F42</f>
        <v>41665745.640769236</v>
      </c>
    </row>
    <row r="46" spans="1:13" ht="12.6">
      <c r="C46" s="91"/>
    </row>
    <row r="47" spans="1:13" ht="12.6">
      <c r="C47" s="91"/>
    </row>
    <row r="48" spans="1:13" ht="12.6">
      <c r="C48" s="91"/>
    </row>
    <row r="49" spans="3:5" ht="12.6">
      <c r="C49" s="91"/>
    </row>
    <row r="50" spans="3:5" ht="12.6">
      <c r="C50" s="91"/>
    </row>
    <row r="51" spans="3:5" ht="12.6">
      <c r="C51" s="91"/>
      <c r="E51" s="109"/>
    </row>
    <row r="52" spans="3:5" ht="12.6">
      <c r="C52" s="91"/>
    </row>
    <row r="53" spans="3:5" ht="12.6">
      <c r="C53" s="91"/>
    </row>
    <row r="54" spans="3:5" ht="12.6">
      <c r="C54" s="91"/>
    </row>
    <row r="55" spans="3:5" ht="12.6">
      <c r="C55" s="91"/>
    </row>
    <row r="56" spans="3:5" ht="12.6">
      <c r="C56" s="91"/>
    </row>
    <row r="57" spans="3:5" ht="12.6">
      <c r="C57" s="91"/>
    </row>
    <row r="58" spans="3:5" ht="12.6">
      <c r="C58" s="91"/>
    </row>
    <row r="59" spans="3:5" ht="12.6">
      <c r="C59" s="91"/>
    </row>
    <row r="60" spans="3:5" ht="12.6">
      <c r="C60" s="91"/>
    </row>
    <row r="64" spans="3:5" ht="12.6">
      <c r="C64" s="91"/>
    </row>
    <row r="65" spans="3:3" ht="12.6">
      <c r="C65" s="91"/>
    </row>
    <row r="66" spans="3:3" ht="12.6">
      <c r="C66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3"/>
  <sheetViews>
    <sheetView view="pageBreakPreview" zoomScale="90" zoomScaleNormal="8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5625" defaultRowHeight="13.8"/>
  <cols>
    <col min="1" max="1" width="7.68359375" style="60" customWidth="1"/>
    <col min="2" max="2" width="33" style="60" customWidth="1"/>
    <col min="3" max="3" width="12.578125" style="60" customWidth="1"/>
    <col min="4" max="4" width="14.26171875" style="60" bestFit="1" customWidth="1"/>
    <col min="5" max="5" width="17.26171875" style="60" bestFit="1" customWidth="1"/>
    <col min="6" max="6" width="18.26171875" style="60" bestFit="1" customWidth="1"/>
    <col min="7" max="7" width="18.26171875" style="60" customWidth="1"/>
    <col min="8" max="8" width="22" style="60" customWidth="1"/>
    <col min="9" max="14" width="18.26171875" style="60" customWidth="1"/>
    <col min="15" max="15" width="19" style="60" customWidth="1"/>
    <col min="16" max="16" width="19" style="60" bestFit="1" customWidth="1"/>
    <col min="17" max="17" width="23.26171875" style="60" customWidth="1"/>
    <col min="18" max="18" width="23.15625" style="60" bestFit="1" customWidth="1"/>
    <col min="19" max="20" width="20.26171875" style="60" bestFit="1" customWidth="1"/>
    <col min="21" max="22" width="18.26171875" style="60" customWidth="1"/>
    <col min="23" max="23" width="18.26171875" style="60" hidden="1" customWidth="1"/>
    <col min="24" max="24" width="15" style="44" hidden="1" customWidth="1"/>
    <col min="25" max="25" width="15.26171875" style="44" hidden="1" customWidth="1"/>
    <col min="26" max="26" width="15.68359375" style="44" hidden="1" customWidth="1"/>
    <col min="27" max="27" width="22.68359375" style="44" customWidth="1"/>
    <col min="28" max="28" width="10.68359375" style="44" customWidth="1"/>
    <col min="29" max="29" width="15.41796875" style="44" bestFit="1" customWidth="1"/>
    <col min="30" max="32" width="9.15625" style="44"/>
    <col min="33" max="33" width="7.41796875" style="44" customWidth="1"/>
    <col min="34" max="36" width="20.68359375" style="44" customWidth="1"/>
    <col min="37" max="16384" width="9.15625" style="44"/>
  </cols>
  <sheetData>
    <row r="2" spans="1:28" s="93" customFormat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5" t="s">
        <v>1013</v>
      </c>
      <c r="F3" s="136" t="s">
        <v>846</v>
      </c>
      <c r="G3" s="71" t="s">
        <v>194</v>
      </c>
      <c r="H3" s="71" t="s">
        <v>1404</v>
      </c>
      <c r="I3" s="71" t="s">
        <v>1213</v>
      </c>
      <c r="J3" s="72" t="s">
        <v>1094</v>
      </c>
      <c r="K3" s="72" t="s">
        <v>1094</v>
      </c>
      <c r="L3" s="71" t="s">
        <v>1198</v>
      </c>
      <c r="M3" s="72" t="s">
        <v>1198</v>
      </c>
      <c r="N3" s="72" t="s">
        <v>1095</v>
      </c>
      <c r="O3" s="71" t="s">
        <v>572</v>
      </c>
      <c r="P3" s="71" t="s">
        <v>1010</v>
      </c>
      <c r="Q3" s="72" t="s">
        <v>1010</v>
      </c>
      <c r="R3" s="71" t="s">
        <v>844</v>
      </c>
      <c r="S3" s="71" t="s">
        <v>1350</v>
      </c>
      <c r="T3" s="71" t="s">
        <v>1249</v>
      </c>
      <c r="U3" s="71" t="s">
        <v>1251</v>
      </c>
      <c r="V3" s="72" t="s">
        <v>1252</v>
      </c>
      <c r="W3" s="71" t="s">
        <v>181</v>
      </c>
      <c r="X3" s="72" t="s">
        <v>181</v>
      </c>
      <c r="Y3" s="72" t="s">
        <v>181</v>
      </c>
      <c r="Z3" s="72" t="s">
        <v>181</v>
      </c>
      <c r="AA3" s="137"/>
      <c r="AB3" s="65"/>
    </row>
    <row r="4" spans="1:28" s="60" customFormat="1" ht="14.4" thickBot="1">
      <c r="A4" s="138" t="s">
        <v>849</v>
      </c>
      <c r="B4" s="138"/>
      <c r="C4" s="139" t="s">
        <v>333</v>
      </c>
      <c r="D4" s="140" t="s">
        <v>850</v>
      </c>
      <c r="E4" s="140" t="s">
        <v>851</v>
      </c>
      <c r="F4" s="73" t="s">
        <v>852</v>
      </c>
      <c r="G4" s="73" t="s">
        <v>1102</v>
      </c>
      <c r="H4" s="73" t="s">
        <v>1405</v>
      </c>
      <c r="I4" s="73" t="s">
        <v>569</v>
      </c>
      <c r="J4" s="73" t="s">
        <v>570</v>
      </c>
      <c r="K4" s="73" t="s">
        <v>571</v>
      </c>
      <c r="L4" s="73" t="s">
        <v>570</v>
      </c>
      <c r="M4" s="73" t="s">
        <v>571</v>
      </c>
      <c r="N4" s="73" t="s">
        <v>1054</v>
      </c>
      <c r="O4" s="73" t="s">
        <v>855</v>
      </c>
      <c r="P4" s="73" t="s">
        <v>1383</v>
      </c>
      <c r="Q4" s="73" t="s">
        <v>1096</v>
      </c>
      <c r="R4" s="73" t="s">
        <v>573</v>
      </c>
      <c r="S4" s="73" t="s">
        <v>1255</v>
      </c>
      <c r="T4" s="73" t="s">
        <v>1250</v>
      </c>
      <c r="U4" s="73" t="s">
        <v>1257</v>
      </c>
      <c r="V4" s="73" t="s">
        <v>1253</v>
      </c>
      <c r="W4" s="73"/>
      <c r="X4" s="73"/>
      <c r="Y4" s="73"/>
      <c r="Z4" s="73"/>
      <c r="AA4" s="73" t="s">
        <v>856</v>
      </c>
      <c r="AB4" s="73" t="s">
        <v>857</v>
      </c>
    </row>
    <row r="6" spans="1:28" ht="14.1">
      <c r="A6" s="45" t="s">
        <v>858</v>
      </c>
    </row>
    <row r="7" spans="1:28">
      <c r="A7" s="44"/>
    </row>
    <row r="8" spans="1:28" ht="14.1">
      <c r="A8" s="45" t="s">
        <v>352</v>
      </c>
    </row>
    <row r="9" spans="1:28">
      <c r="A9" s="458" t="s">
        <v>1441</v>
      </c>
      <c r="C9" s="60" t="s">
        <v>892</v>
      </c>
      <c r="D9" s="44" t="s">
        <v>1411</v>
      </c>
      <c r="E9" s="44" t="s">
        <v>1412</v>
      </c>
      <c r="F9" s="76">
        <f>VLOOKUP(C9,'Functional Assignment'!$C$2:$AP$780,'Functional Assignment'!$H$2,)</f>
        <v>3865573604.4296021</v>
      </c>
      <c r="G9" s="76">
        <f t="shared" ref="G9:P14" si="1">IF(VLOOKUP($E9,$D$6:$AN$1150,3,)=0,0,(VLOOKUP($E9,$D$6:$AN$1150,G$2,)/VLOOKUP($E9,$D$6:$AN$1150,3,))*$F9)</f>
        <v>1689116414.1110063</v>
      </c>
      <c r="H9" s="76">
        <f t="shared" si="1"/>
        <v>3166834.6624310534</v>
      </c>
      <c r="I9" s="76">
        <f t="shared" si="1"/>
        <v>472629604.59087694</v>
      </c>
      <c r="J9" s="76">
        <f t="shared" si="1"/>
        <v>32027384.066624563</v>
      </c>
      <c r="K9" s="76">
        <f t="shared" si="1"/>
        <v>526916319.50753546</v>
      </c>
      <c r="L9" s="76">
        <f t="shared" si="1"/>
        <v>475631343.05330837</v>
      </c>
      <c r="M9" s="76">
        <f t="shared" si="1"/>
        <v>404660743.88746178</v>
      </c>
      <c r="N9" s="76">
        <f t="shared" si="1"/>
        <v>229909277.3749114</v>
      </c>
      <c r="O9" s="76">
        <f t="shared" si="1"/>
        <v>13647668.736787571</v>
      </c>
      <c r="P9" s="76">
        <f t="shared" si="1"/>
        <v>13987445.163690427</v>
      </c>
      <c r="Q9" s="76">
        <f t="shared" ref="Q9:Z14" si="2">IF(VLOOKUP($E9,$D$6:$AN$1150,3,)=0,0,(VLOOKUP($E9,$D$6:$AN$1150,Q$2,)/VLOOKUP($E9,$D$6:$AN$1150,3,))*$F9)</f>
        <v>487183.00040750887</v>
      </c>
      <c r="R9" s="76">
        <f t="shared" si="2"/>
        <v>670918.99765766412</v>
      </c>
      <c r="S9" s="76">
        <f t="shared" si="2"/>
        <v>660.94575908800709</v>
      </c>
      <c r="T9" s="76">
        <f t="shared" si="2"/>
        <v>6092.2211439900866</v>
      </c>
      <c r="U9" s="76">
        <f t="shared" si="2"/>
        <v>2630742.58</v>
      </c>
      <c r="V9" s="76">
        <f t="shared" si="2"/>
        <v>84971.530000000013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3865573604.4296031</v>
      </c>
      <c r="AB9" s="58" t="str">
        <f t="shared" ref="AB9:AB15" si="4">IF(ABS(F9-AA9)&lt;0.01,"ok","err")</f>
        <v>ok</v>
      </c>
    </row>
    <row r="10" spans="1:28" hidden="1">
      <c r="A10" s="458" t="s">
        <v>1256</v>
      </c>
      <c r="C10" s="60" t="s">
        <v>892</v>
      </c>
      <c r="D10" s="44" t="s">
        <v>353</v>
      </c>
      <c r="E10" s="44" t="s">
        <v>1412</v>
      </c>
      <c r="F10" s="79">
        <f>VLOOKUP(C10,'Functional Assignment'!$C$2:$AP$780,'Functional Assignment'!$I$2,)</f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f t="shared" si="1"/>
        <v>0</v>
      </c>
      <c r="L10" s="79">
        <f t="shared" si="1"/>
        <v>0</v>
      </c>
      <c r="M10" s="79">
        <f t="shared" si="1"/>
        <v>0</v>
      </c>
      <c r="N10" s="79">
        <f t="shared" si="1"/>
        <v>0</v>
      </c>
      <c r="O10" s="79">
        <f t="shared" si="1"/>
        <v>0</v>
      </c>
      <c r="P10" s="79">
        <f t="shared" si="1"/>
        <v>0</v>
      </c>
      <c r="Q10" s="79">
        <f t="shared" si="2"/>
        <v>0</v>
      </c>
      <c r="R10" s="79">
        <f t="shared" si="2"/>
        <v>0</v>
      </c>
      <c r="S10" s="79">
        <f t="shared" si="2"/>
        <v>0</v>
      </c>
      <c r="T10" s="79">
        <f t="shared" si="2"/>
        <v>0</v>
      </c>
      <c r="U10" s="79">
        <f t="shared" si="2"/>
        <v>0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0</v>
      </c>
      <c r="AB10" s="58" t="str">
        <f t="shared" si="4"/>
        <v>ok</v>
      </c>
    </row>
    <row r="11" spans="1:28" hidden="1">
      <c r="A11" s="458" t="s">
        <v>1256</v>
      </c>
      <c r="C11" s="60" t="s">
        <v>892</v>
      </c>
      <c r="D11" s="44" t="s">
        <v>354</v>
      </c>
      <c r="E11" s="44" t="s">
        <v>1412</v>
      </c>
      <c r="F11" s="79">
        <f>VLOOKUP(C11,'Functional Assignment'!$C$2:$AP$780,'Functional Assignment'!$J$2,)</f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0</v>
      </c>
      <c r="N11" s="79">
        <f t="shared" si="1"/>
        <v>0</v>
      </c>
      <c r="O11" s="79">
        <f t="shared" si="1"/>
        <v>0</v>
      </c>
      <c r="P11" s="79">
        <f t="shared" si="1"/>
        <v>0</v>
      </c>
      <c r="Q11" s="79">
        <f t="shared" si="2"/>
        <v>0</v>
      </c>
      <c r="R11" s="79">
        <f t="shared" si="2"/>
        <v>0</v>
      </c>
      <c r="S11" s="79">
        <f t="shared" si="2"/>
        <v>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0</v>
      </c>
      <c r="AB11" s="58" t="str">
        <f t="shared" si="4"/>
        <v>ok</v>
      </c>
    </row>
    <row r="12" spans="1:28">
      <c r="A12" s="458" t="s">
        <v>1160</v>
      </c>
      <c r="C12" s="60" t="s">
        <v>892</v>
      </c>
      <c r="D12" s="44" t="s">
        <v>355</v>
      </c>
      <c r="E12" s="44" t="s">
        <v>1015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458" t="s">
        <v>1161</v>
      </c>
      <c r="C13" s="60" t="s">
        <v>884</v>
      </c>
      <c r="D13" s="44" t="s">
        <v>356</v>
      </c>
      <c r="E13" s="44" t="s">
        <v>1015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458" t="s">
        <v>1161</v>
      </c>
      <c r="C14" s="60" t="s">
        <v>884</v>
      </c>
      <c r="D14" s="44" t="s">
        <v>357</v>
      </c>
      <c r="E14" s="44" t="s">
        <v>1015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44" t="s">
        <v>374</v>
      </c>
      <c r="D15" s="44" t="s">
        <v>1016</v>
      </c>
      <c r="E15" s="44"/>
      <c r="F15" s="76">
        <f>SUM(F9:F14)</f>
        <v>3865573604.4296021</v>
      </c>
      <c r="G15" s="76">
        <f t="shared" ref="G15:P15" si="5">SUM(G9:G14)</f>
        <v>1689116414.1110063</v>
      </c>
      <c r="H15" s="76">
        <f t="shared" si="5"/>
        <v>3166834.6624310534</v>
      </c>
      <c r="I15" s="76">
        <f t="shared" si="5"/>
        <v>472629604.59087694</v>
      </c>
      <c r="J15" s="76">
        <f t="shared" si="5"/>
        <v>32027384.066624563</v>
      </c>
      <c r="K15" s="76">
        <f t="shared" si="5"/>
        <v>526916319.50753546</v>
      </c>
      <c r="L15" s="76">
        <f t="shared" si="5"/>
        <v>475631343.05330837</v>
      </c>
      <c r="M15" s="76">
        <f t="shared" si="5"/>
        <v>404660743.88746178</v>
      </c>
      <c r="N15" s="76">
        <f t="shared" si="5"/>
        <v>229909277.3749114</v>
      </c>
      <c r="O15" s="76">
        <f>SUM(O9:O14)</f>
        <v>13647668.736787571</v>
      </c>
      <c r="P15" s="76">
        <f t="shared" si="5"/>
        <v>13987445.163690427</v>
      </c>
      <c r="Q15" s="76">
        <f t="shared" ref="Q15:Z15" si="6">SUM(Q9:Q14)</f>
        <v>487183.00040750887</v>
      </c>
      <c r="R15" s="76">
        <f t="shared" si="6"/>
        <v>670918.99765766412</v>
      </c>
      <c r="S15" s="76">
        <f t="shared" si="6"/>
        <v>660.94575908800709</v>
      </c>
      <c r="T15" s="76">
        <f t="shared" si="6"/>
        <v>6092.2211439900866</v>
      </c>
      <c r="U15" s="76">
        <f t="shared" si="6"/>
        <v>2630742.58</v>
      </c>
      <c r="V15" s="76">
        <f t="shared" si="6"/>
        <v>84971.530000000013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3865573604.4296031</v>
      </c>
      <c r="AB15" s="58" t="str">
        <f t="shared" si="4"/>
        <v>ok</v>
      </c>
    </row>
    <row r="16" spans="1:28">
      <c r="A16" s="44"/>
      <c r="F16" s="7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28" ht="14.1">
      <c r="A17" s="45" t="s">
        <v>1055</v>
      </c>
      <c r="F17" s="79"/>
      <c r="G17" s="79"/>
    </row>
    <row r="18" spans="1:28">
      <c r="A18" s="458" t="s">
        <v>1225</v>
      </c>
      <c r="C18" s="60" t="s">
        <v>892</v>
      </c>
      <c r="D18" s="60" t="s">
        <v>348</v>
      </c>
      <c r="E18" s="60" t="s">
        <v>1229</v>
      </c>
      <c r="F18" s="76">
        <f>VLOOKUP(C18,'Functional Assignment'!$C$2:$AP$780,'Functional Assignment'!$N$2,)</f>
        <v>612587887.1790638</v>
      </c>
      <c r="G18" s="76">
        <f t="shared" ref="G18:P20" si="7">IF(VLOOKUP($E18,$D$6:$AN$1150,3,)=0,0,(VLOOKUP($E18,$D$6:$AN$1150,G$2,)/VLOOKUP($E18,$D$6:$AN$1150,3,))*$F18)</f>
        <v>288982009.22262526</v>
      </c>
      <c r="H18" s="76">
        <f t="shared" si="7"/>
        <v>886149.39550854778</v>
      </c>
      <c r="I18" s="76">
        <f t="shared" si="7"/>
        <v>70786641.030563384</v>
      </c>
      <c r="J18" s="76">
        <f t="shared" si="7"/>
        <v>4646657.2676914055</v>
      </c>
      <c r="K18" s="76">
        <f t="shared" si="7"/>
        <v>78763704.206399828</v>
      </c>
      <c r="L18" s="76">
        <f t="shared" si="7"/>
        <v>66053142.603205666</v>
      </c>
      <c r="M18" s="76">
        <f t="shared" si="7"/>
        <v>62535124.155224621</v>
      </c>
      <c r="N18" s="76">
        <f t="shared" si="7"/>
        <v>32610967.823647588</v>
      </c>
      <c r="O18" s="76">
        <f t="shared" si="7"/>
        <v>2095603.561980461</v>
      </c>
      <c r="P18" s="76">
        <f t="shared" si="7"/>
        <v>4966015.8186928434</v>
      </c>
      <c r="Q18" s="76">
        <f t="shared" ref="Q18:Z20" si="8">IF(VLOOKUP($E18,$D$6:$AN$1150,3,)=0,0,(VLOOKUP($E18,$D$6:$AN$1150,Q$2,)/VLOOKUP($E18,$D$6:$AN$1150,3,))*$F18)</f>
        <v>172966.43227615775</v>
      </c>
      <c r="R18" s="76">
        <f t="shared" si="8"/>
        <v>79399.640569063267</v>
      </c>
      <c r="S18" s="76">
        <f t="shared" si="8"/>
        <v>8640.842908085091</v>
      </c>
      <c r="T18" s="76">
        <f t="shared" si="8"/>
        <v>865.17777100754222</v>
      </c>
      <c r="U18" s="76">
        <f t="shared" si="8"/>
        <v>0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612587887.17906392</v>
      </c>
      <c r="AB18" s="58" t="str">
        <f>IF(ABS(F18-AA18)&lt;0.01,"ok","err")</f>
        <v>ok</v>
      </c>
    </row>
    <row r="19" spans="1:28" hidden="1">
      <c r="A19" s="458" t="s">
        <v>1226</v>
      </c>
      <c r="C19" s="60" t="s">
        <v>892</v>
      </c>
      <c r="D19" s="60" t="s">
        <v>349</v>
      </c>
      <c r="E19" s="60" t="s">
        <v>1229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458" t="s">
        <v>1226</v>
      </c>
      <c r="C20" s="60" t="s">
        <v>892</v>
      </c>
      <c r="D20" s="60" t="s">
        <v>350</v>
      </c>
      <c r="E20" s="60" t="s">
        <v>1229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44" t="s">
        <v>1057</v>
      </c>
      <c r="C21" s="60" t="s">
        <v>892</v>
      </c>
      <c r="D21" s="60" t="s">
        <v>351</v>
      </c>
      <c r="F21" s="76">
        <f t="shared" ref="F21:Y21" si="9">SUM(F18:F20)</f>
        <v>612587887.1790638</v>
      </c>
      <c r="G21" s="76">
        <f t="shared" si="9"/>
        <v>288982009.22262526</v>
      </c>
      <c r="H21" s="76">
        <f t="shared" si="9"/>
        <v>886149.39550854778</v>
      </c>
      <c r="I21" s="76">
        <f t="shared" si="9"/>
        <v>70786641.030563384</v>
      </c>
      <c r="J21" s="76">
        <f t="shared" si="9"/>
        <v>4646657.2676914055</v>
      </c>
      <c r="K21" s="76">
        <f t="shared" si="9"/>
        <v>78763704.206399828</v>
      </c>
      <c r="L21" s="76">
        <f t="shared" si="9"/>
        <v>66053142.603205666</v>
      </c>
      <c r="M21" s="76">
        <f t="shared" si="9"/>
        <v>62535124.155224621</v>
      </c>
      <c r="N21" s="76">
        <f t="shared" si="9"/>
        <v>32610967.823647588</v>
      </c>
      <c r="O21" s="76">
        <f>SUM(O18:O20)</f>
        <v>2095603.561980461</v>
      </c>
      <c r="P21" s="76">
        <f t="shared" si="9"/>
        <v>4966015.8186928434</v>
      </c>
      <c r="Q21" s="76">
        <f t="shared" si="9"/>
        <v>172966.43227615775</v>
      </c>
      <c r="R21" s="76">
        <f t="shared" si="9"/>
        <v>79399.640569063267</v>
      </c>
      <c r="S21" s="76">
        <f t="shared" si="9"/>
        <v>8640.842908085091</v>
      </c>
      <c r="T21" s="76">
        <f t="shared" si="9"/>
        <v>865.17777100754222</v>
      </c>
      <c r="U21" s="76">
        <f t="shared" si="9"/>
        <v>0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612587887.17906392</v>
      </c>
      <c r="AB21" s="58" t="str">
        <f>IF(ABS(F21-AA21)&lt;0.01,"ok","err")</f>
        <v>ok</v>
      </c>
    </row>
    <row r="22" spans="1:28">
      <c r="A22" s="44"/>
      <c r="F22" s="79"/>
      <c r="G22" s="79"/>
    </row>
    <row r="23" spans="1:28" ht="14.1">
      <c r="A23" s="45" t="s">
        <v>337</v>
      </c>
      <c r="F23" s="79"/>
      <c r="G23" s="79"/>
    </row>
    <row r="24" spans="1:28">
      <c r="A24" s="458" t="s">
        <v>359</v>
      </c>
      <c r="C24" s="60" t="s">
        <v>892</v>
      </c>
      <c r="D24" s="60" t="s">
        <v>362</v>
      </c>
      <c r="E24" s="60" t="s">
        <v>1230</v>
      </c>
      <c r="F24" s="76">
        <f>VLOOKUP(C24,'Functional Assignment'!$C$2:$AP$780,'Functional Assignment'!$Q$2,)</f>
        <v>0</v>
      </c>
      <c r="G24" s="76">
        <f t="shared" ref="G24:Z24" si="10">IF(VLOOKUP($E24,$D$6:$AN$1150,3,)=0,0,(VLOOKUP($E24,$D$6:$AN$1150,G$2,)/VLOOKUP($E24,$D$6:$AN$1150,3,))*$F24)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A25" s="44"/>
      <c r="F25" s="79"/>
    </row>
    <row r="26" spans="1:28" ht="14.1">
      <c r="A26" s="45" t="s">
        <v>338</v>
      </c>
      <c r="F26" s="79"/>
      <c r="G26" s="79"/>
    </row>
    <row r="27" spans="1:28">
      <c r="A27" s="458" t="s">
        <v>361</v>
      </c>
      <c r="C27" s="60" t="s">
        <v>892</v>
      </c>
      <c r="D27" s="60" t="s">
        <v>363</v>
      </c>
      <c r="E27" s="60" t="s">
        <v>1230</v>
      </c>
      <c r="F27" s="76">
        <f>VLOOKUP(C27,'Functional Assignment'!$C$2:$AP$780,'Functional Assignment'!$R$2,)</f>
        <v>234986651.87457144</v>
      </c>
      <c r="G27" s="76">
        <f t="shared" ref="G27:Z27" si="11">IF(VLOOKUP($E27,$D$6:$AN$1150,3,)=0,0,(VLOOKUP($E27,$D$6:$AN$1150,G$2,)/VLOOKUP($E27,$D$6:$AN$1150,3,))*$F27)</f>
        <v>117085546.91225071</v>
      </c>
      <c r="H27" s="76">
        <f t="shared" si="11"/>
        <v>359037.18331180938</v>
      </c>
      <c r="I27" s="76">
        <f t="shared" si="11"/>
        <v>28680306.436514948</v>
      </c>
      <c r="J27" s="76">
        <f t="shared" si="11"/>
        <v>1882665.3221941711</v>
      </c>
      <c r="K27" s="76">
        <f t="shared" si="11"/>
        <v>31912337.410376903</v>
      </c>
      <c r="L27" s="76">
        <f t="shared" si="11"/>
        <v>26762456.070444249</v>
      </c>
      <c r="M27" s="76">
        <f t="shared" si="11"/>
        <v>25337076.285947274</v>
      </c>
      <c r="N27" s="76">
        <f t="shared" si="11"/>
        <v>0</v>
      </c>
      <c r="O27" s="76">
        <f t="shared" si="11"/>
        <v>849066.31324830803</v>
      </c>
      <c r="P27" s="76">
        <f t="shared" si="11"/>
        <v>2012058.3965440046</v>
      </c>
      <c r="Q27" s="76">
        <f t="shared" si="11"/>
        <v>70080.034999386829</v>
      </c>
      <c r="R27" s="76">
        <f t="shared" si="11"/>
        <v>32169.996899367703</v>
      </c>
      <c r="S27" s="76">
        <f t="shared" si="11"/>
        <v>3500.9716362535951</v>
      </c>
      <c r="T27" s="76">
        <f t="shared" si="11"/>
        <v>350.54020410212109</v>
      </c>
      <c r="U27" s="76">
        <f t="shared" si="11"/>
        <v>0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234986651.8745715</v>
      </c>
      <c r="AB27" s="58" t="str">
        <f>IF(ABS(F27-AA27)&lt;0.01,"ok","err")</f>
        <v>ok</v>
      </c>
    </row>
    <row r="28" spans="1:28">
      <c r="A28" s="44"/>
      <c r="F28" s="79"/>
    </row>
    <row r="29" spans="1:28" ht="14.1">
      <c r="A29" s="45" t="s">
        <v>360</v>
      </c>
      <c r="F29" s="79"/>
    </row>
    <row r="30" spans="1:28">
      <c r="A30" s="458" t="s">
        <v>603</v>
      </c>
      <c r="C30" s="60" t="s">
        <v>892</v>
      </c>
      <c r="D30" s="60" t="s">
        <v>366</v>
      </c>
      <c r="E30" s="60" t="s">
        <v>1230</v>
      </c>
      <c r="F30" s="76">
        <f>VLOOKUP(C30,'Functional Assignment'!$C$2:$AP$780,'Functional Assignment'!$S$2,)</f>
        <v>0</v>
      </c>
      <c r="G30" s="76">
        <f t="shared" ref="G30:P34" si="12">IF(VLOOKUP($E30,$D$6:$AN$1150,3,)=0,0,(VLOOKUP($E30,$D$6:$AN$1150,G$2,)/VLOOKUP($E30,$D$6:$AN$1150,3,))*$F30)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IF(VLOOKUP($E30,$D$6:$AN$1150,3,)=0,0,(VLOOKUP($E30,$D$6:$AN$1150,Q$2,)/VLOOKUP($E30,$D$6:$AN$1150,3,))*$F30)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458" t="s">
        <v>604</v>
      </c>
      <c r="C31" s="60" t="s">
        <v>892</v>
      </c>
      <c r="D31" s="60" t="s">
        <v>367</v>
      </c>
      <c r="E31" s="60" t="s">
        <v>1230</v>
      </c>
      <c r="F31" s="79">
        <f>VLOOKUP(C31,'Functional Assignment'!$C$2:$AP$780,'Functional Assignment'!$T$2,)</f>
        <v>360746497.80348939</v>
      </c>
      <c r="G31" s="79">
        <f t="shared" si="12"/>
        <v>179747235.23677438</v>
      </c>
      <c r="H31" s="79">
        <f t="shared" si="12"/>
        <v>551186.22878247208</v>
      </c>
      <c r="I31" s="79">
        <f t="shared" si="12"/>
        <v>44029394.948042348</v>
      </c>
      <c r="J31" s="79">
        <f t="shared" si="12"/>
        <v>2890227.6622935259</v>
      </c>
      <c r="K31" s="79">
        <f t="shared" si="12"/>
        <v>48991139.988928527</v>
      </c>
      <c r="L31" s="79">
        <f t="shared" si="12"/>
        <v>41085151.956570491</v>
      </c>
      <c r="M31" s="79">
        <f t="shared" si="12"/>
        <v>38896939.301957071</v>
      </c>
      <c r="N31" s="79">
        <f t="shared" si="12"/>
        <v>0</v>
      </c>
      <c r="O31" s="79">
        <f t="shared" si="12"/>
        <v>1303468.5011416723</v>
      </c>
      <c r="P31" s="79">
        <f t="shared" si="12"/>
        <v>3088869.1512434781</v>
      </c>
      <c r="Q31" s="79">
        <f t="shared" si="13"/>
        <v>107585.37555345501</v>
      </c>
      <c r="R31" s="79">
        <f t="shared" si="13"/>
        <v>49386.693342864906</v>
      </c>
      <c r="S31" s="79">
        <f t="shared" si="13"/>
        <v>5374.6170117014417</v>
      </c>
      <c r="T31" s="79">
        <f t="shared" si="13"/>
        <v>538.14184746399519</v>
      </c>
      <c r="U31" s="79">
        <f t="shared" si="13"/>
        <v>0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360746497.80348951</v>
      </c>
      <c r="AB31" s="58" t="str">
        <f t="shared" si="15"/>
        <v>ok</v>
      </c>
    </row>
    <row r="32" spans="1:28">
      <c r="A32" s="458" t="s">
        <v>605</v>
      </c>
      <c r="C32" s="60" t="s">
        <v>892</v>
      </c>
      <c r="D32" s="60" t="s">
        <v>368</v>
      </c>
      <c r="E32" s="60" t="s">
        <v>1368</v>
      </c>
      <c r="F32" s="79">
        <f>VLOOKUP(C32,'Functional Assignment'!$C$2:$AP$780,'Functional Assignment'!$U$2,)</f>
        <v>590335969.88389969</v>
      </c>
      <c r="G32" s="79">
        <f t="shared" si="12"/>
        <v>510388852.98138285</v>
      </c>
      <c r="H32" s="79">
        <f t="shared" si="12"/>
        <v>1259956.7239477248</v>
      </c>
      <c r="I32" s="79">
        <f t="shared" si="12"/>
        <v>61431952.901315689</v>
      </c>
      <c r="J32" s="79">
        <f t="shared" si="12"/>
        <v>94860.952596225572</v>
      </c>
      <c r="K32" s="79">
        <f t="shared" si="12"/>
        <v>3771400.4439327968</v>
      </c>
      <c r="L32" s="79">
        <f t="shared" si="12"/>
        <v>178880.65346716822</v>
      </c>
      <c r="M32" s="79">
        <f t="shared" si="12"/>
        <v>684354.01515848457</v>
      </c>
      <c r="N32" s="79">
        <f t="shared" si="12"/>
        <v>17617.03405358475</v>
      </c>
      <c r="O32" s="79">
        <f t="shared" si="12"/>
        <v>2710.312931320731</v>
      </c>
      <c r="P32" s="79">
        <f t="shared" si="12"/>
        <v>12333143.478328418</v>
      </c>
      <c r="Q32" s="79">
        <f t="shared" si="13"/>
        <v>21818.019097131888</v>
      </c>
      <c r="R32" s="79">
        <f t="shared" si="13"/>
        <v>135515.64656603654</v>
      </c>
      <c r="S32" s="79">
        <f t="shared" si="13"/>
        <v>1355.1564656603655</v>
      </c>
      <c r="T32" s="79">
        <f t="shared" si="13"/>
        <v>13551.564656603652</v>
      </c>
      <c r="U32" s="79">
        <f t="shared" si="13"/>
        <v>0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590335969.88389969</v>
      </c>
      <c r="AB32" s="58" t="str">
        <f t="shared" si="15"/>
        <v>ok</v>
      </c>
    </row>
    <row r="33" spans="1:28">
      <c r="A33" s="458" t="s">
        <v>606</v>
      </c>
      <c r="C33" s="60" t="s">
        <v>892</v>
      </c>
      <c r="D33" s="60" t="s">
        <v>369</v>
      </c>
      <c r="E33" s="60" t="s">
        <v>646</v>
      </c>
      <c r="F33" s="79">
        <f>VLOOKUP(C33,'Functional Assignment'!$C$2:$AP$780,'Functional Assignment'!$V$2,)</f>
        <v>100651564.84717923</v>
      </c>
      <c r="G33" s="79">
        <f t="shared" si="12"/>
        <v>76070446.770689517</v>
      </c>
      <c r="H33" s="79">
        <f t="shared" si="12"/>
        <v>227044.42087797308</v>
      </c>
      <c r="I33" s="79">
        <f t="shared" si="12"/>
        <v>12191477.482407274</v>
      </c>
      <c r="J33" s="79">
        <f t="shared" si="12"/>
        <v>0</v>
      </c>
      <c r="K33" s="79">
        <f t="shared" si="12"/>
        <v>11547029.63924792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584731.95990725397</v>
      </c>
      <c r="Q33" s="79">
        <f t="shared" si="13"/>
        <v>20366.226092615405</v>
      </c>
      <c r="R33" s="79">
        <f t="shared" si="13"/>
        <v>9349.0454200970617</v>
      </c>
      <c r="S33" s="79">
        <f t="shared" si="13"/>
        <v>1017.4307117340662</v>
      </c>
      <c r="T33" s="79">
        <f t="shared" si="13"/>
        <v>101.87182485507911</v>
      </c>
      <c r="U33" s="79">
        <f t="shared" si="13"/>
        <v>0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100651564.84717925</v>
      </c>
      <c r="AB33" s="58" t="str">
        <f t="shared" si="15"/>
        <v>ok</v>
      </c>
    </row>
    <row r="34" spans="1:28">
      <c r="A34" s="458" t="s">
        <v>607</v>
      </c>
      <c r="C34" s="60" t="s">
        <v>892</v>
      </c>
      <c r="D34" s="60" t="s">
        <v>370</v>
      </c>
      <c r="E34" s="60" t="s">
        <v>1367</v>
      </c>
      <c r="F34" s="79">
        <f>VLOOKUP(C34,'Functional Assignment'!$C$2:$AP$780,'Functional Assignment'!$W$2,)</f>
        <v>171988887.71068254</v>
      </c>
      <c r="G34" s="79">
        <f t="shared" si="12"/>
        <v>149833460.11277154</v>
      </c>
      <c r="H34" s="79">
        <f t="shared" si="12"/>
        <v>369882.05059471756</v>
      </c>
      <c r="I34" s="79">
        <f t="shared" si="12"/>
        <v>18034410.451798584</v>
      </c>
      <c r="J34" s="79">
        <f t="shared" si="12"/>
        <v>27848.070493821164</v>
      </c>
      <c r="K34" s="79">
        <f t="shared" si="12"/>
        <v>0</v>
      </c>
      <c r="L34" s="79">
        <f t="shared" si="12"/>
        <v>52513.504359777049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3620607.2108173859</v>
      </c>
      <c r="Q34" s="79">
        <f t="shared" si="13"/>
        <v>6405.0562135788678</v>
      </c>
      <c r="R34" s="79">
        <f t="shared" si="13"/>
        <v>39782.957848315949</v>
      </c>
      <c r="S34" s="79">
        <f t="shared" si="13"/>
        <v>0</v>
      </c>
      <c r="T34" s="79">
        <f t="shared" si="13"/>
        <v>3978.295784831595</v>
      </c>
      <c r="U34" s="79">
        <f t="shared" si="13"/>
        <v>0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171988887.71068257</v>
      </c>
      <c r="AB34" s="58" t="str">
        <f t="shared" si="15"/>
        <v>ok</v>
      </c>
    </row>
    <row r="35" spans="1:28">
      <c r="A35" s="44" t="s">
        <v>365</v>
      </c>
      <c r="D35" s="60" t="s">
        <v>371</v>
      </c>
      <c r="F35" s="76">
        <f>SUM(F30:F34)</f>
        <v>1223722920.2452509</v>
      </c>
      <c r="G35" s="76">
        <f t="shared" ref="G35:Z35" si="16">SUM(G30:G34)</f>
        <v>916039995.10161829</v>
      </c>
      <c r="H35" s="76">
        <f t="shared" si="16"/>
        <v>2408069.4242028878</v>
      </c>
      <c r="I35" s="76">
        <f t="shared" si="16"/>
        <v>135687235.78356388</v>
      </c>
      <c r="J35" s="76">
        <f t="shared" si="16"/>
        <v>3012936.6853835727</v>
      </c>
      <c r="K35" s="76">
        <f t="shared" si="16"/>
        <v>64309570.072109237</v>
      </c>
      <c r="L35" s="76">
        <f t="shared" si="16"/>
        <v>41316546.114397436</v>
      </c>
      <c r="M35" s="76">
        <f t="shared" si="16"/>
        <v>39581293.317115553</v>
      </c>
      <c r="N35" s="76">
        <f t="shared" si="16"/>
        <v>17617.03405358475</v>
      </c>
      <c r="O35" s="76">
        <f>SUM(O30:O34)</f>
        <v>1306178.8140729929</v>
      </c>
      <c r="P35" s="76">
        <f t="shared" si="16"/>
        <v>19627351.800296538</v>
      </c>
      <c r="Q35" s="76">
        <f t="shared" si="16"/>
        <v>156174.67695678119</v>
      </c>
      <c r="R35" s="76">
        <f t="shared" si="16"/>
        <v>234034.34317731444</v>
      </c>
      <c r="S35" s="76">
        <f t="shared" si="16"/>
        <v>7747.2041890958726</v>
      </c>
      <c r="T35" s="76">
        <f t="shared" si="16"/>
        <v>18169.874113754322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1223722920.2452512</v>
      </c>
      <c r="AB35" s="58" t="str">
        <f t="shared" si="15"/>
        <v>ok</v>
      </c>
    </row>
    <row r="36" spans="1:28">
      <c r="A36" s="44"/>
      <c r="F36" s="79"/>
    </row>
    <row r="37" spans="1:28" ht="14.1">
      <c r="A37" s="45" t="s">
        <v>613</v>
      </c>
      <c r="F37" s="79"/>
    </row>
    <row r="38" spans="1:28">
      <c r="A38" s="458" t="s">
        <v>1014</v>
      </c>
      <c r="C38" s="60" t="s">
        <v>892</v>
      </c>
      <c r="D38" s="60" t="s">
        <v>372</v>
      </c>
      <c r="E38" s="60" t="s">
        <v>1207</v>
      </c>
      <c r="F38" s="76">
        <f>VLOOKUP(C38,'Functional Assignment'!$C$2:$AP$780,'Functional Assignment'!$X$2,)</f>
        <v>123303835.88024795</v>
      </c>
      <c r="G38" s="76">
        <f t="shared" ref="G38:P39" si="17">IF(VLOOKUP($E38,$D$6:$AN$1150,3,)=0,0,(VLOOKUP($E38,$D$6:$AN$1150,G$2,)/VLOOKUP($E38,$D$6:$AN$1150,3,))*$F38)</f>
        <v>85051418.241250426</v>
      </c>
      <c r="H38" s="76">
        <f t="shared" si="17"/>
        <v>253849.56733125739</v>
      </c>
      <c r="I38" s="76">
        <f t="shared" si="17"/>
        <v>13630818.463058295</v>
      </c>
      <c r="J38" s="76">
        <f t="shared" si="17"/>
        <v>0</v>
      </c>
      <c r="K38" s="76">
        <f t="shared" si="17"/>
        <v>12910286.306747401</v>
      </c>
      <c r="L38" s="76">
        <f t="shared" si="17"/>
        <v>0</v>
      </c>
      <c r="M38" s="76">
        <f t="shared" si="17"/>
        <v>10769222.218004737</v>
      </c>
      <c r="N38" s="76">
        <f t="shared" si="17"/>
        <v>0</v>
      </c>
      <c r="O38" s="76">
        <f t="shared" si="17"/>
        <v>0</v>
      </c>
      <c r="P38" s="76">
        <f t="shared" si="17"/>
        <v>653766.14167934854</v>
      </c>
      <c r="Q38" s="76">
        <f t="shared" ref="Q38:Z39" si="18">IF(VLOOKUP($E38,$D$6:$AN$1150,3,)=0,0,(VLOOKUP($E38,$D$6:$AN$1150,Q$2,)/VLOOKUP($E38,$D$6:$AN$1150,3,))*$F38)</f>
        <v>22770.688052095418</v>
      </c>
      <c r="R38" s="76">
        <f t="shared" si="18"/>
        <v>10452.805339477758</v>
      </c>
      <c r="S38" s="76">
        <f t="shared" si="18"/>
        <v>1137.5498458164611</v>
      </c>
      <c r="T38" s="76">
        <f t="shared" si="18"/>
        <v>113.89893908296563</v>
      </c>
      <c r="U38" s="76">
        <f t="shared" si="18"/>
        <v>0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123303835.88024792</v>
      </c>
      <c r="AB38" s="58" t="str">
        <f>IF(ABS(F38-AA38)&lt;0.01,"ok","err")</f>
        <v>ok</v>
      </c>
    </row>
    <row r="39" spans="1:28">
      <c r="A39" s="458" t="s">
        <v>1017</v>
      </c>
      <c r="C39" s="60" t="s">
        <v>892</v>
      </c>
      <c r="D39" s="60" t="s">
        <v>373</v>
      </c>
      <c r="E39" s="60" t="s">
        <v>1369</v>
      </c>
      <c r="F39" s="79">
        <f>VLOOKUP(C39,'Functional Assignment'!$C$2:$AP$780,'Functional Assignment'!$Y$2,)</f>
        <v>68730532.964510858</v>
      </c>
      <c r="G39" s="79">
        <f t="shared" si="17"/>
        <v>59452214.135557733</v>
      </c>
      <c r="H39" s="79">
        <f t="shared" si="17"/>
        <v>146764.99401605912</v>
      </c>
      <c r="I39" s="79">
        <f t="shared" si="17"/>
        <v>7155849.108616286</v>
      </c>
      <c r="J39" s="79">
        <f t="shared" si="17"/>
        <v>0</v>
      </c>
      <c r="K39" s="79">
        <f t="shared" si="17"/>
        <v>439308.39295153803</v>
      </c>
      <c r="L39" s="79">
        <f t="shared" si="17"/>
        <v>0</v>
      </c>
      <c r="M39" s="79">
        <f t="shared" si="17"/>
        <v>79717.263963278179</v>
      </c>
      <c r="N39" s="79">
        <f t="shared" si="17"/>
        <v>0</v>
      </c>
      <c r="O39" s="79">
        <f t="shared" si="17"/>
        <v>0</v>
      </c>
      <c r="P39" s="79">
        <f t="shared" si="17"/>
        <v>1436615.7935367059</v>
      </c>
      <c r="Q39" s="79">
        <f t="shared" si="18"/>
        <v>2541.4535129427827</v>
      </c>
      <c r="R39" s="79">
        <f t="shared" si="18"/>
        <v>15785.42554622846</v>
      </c>
      <c r="S39" s="79">
        <f t="shared" si="18"/>
        <v>157.85425546228461</v>
      </c>
      <c r="T39" s="79">
        <f t="shared" si="18"/>
        <v>1578.542554622846</v>
      </c>
      <c r="U39" s="79">
        <f t="shared" si="18"/>
        <v>0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68730532.964510858</v>
      </c>
      <c r="AB39" s="58" t="str">
        <f>IF(ABS(F39-AA39)&lt;0.01,"ok","err")</f>
        <v>ok</v>
      </c>
    </row>
    <row r="40" spans="1:28">
      <c r="A40" s="44" t="s">
        <v>672</v>
      </c>
      <c r="D40" s="60" t="s">
        <v>376</v>
      </c>
      <c r="F40" s="76">
        <f t="shared" ref="F40:Q40" si="19">F38+F39</f>
        <v>192034368.84475881</v>
      </c>
      <c r="G40" s="76">
        <f t="shared" si="19"/>
        <v>144503632.37680817</v>
      </c>
      <c r="H40" s="76">
        <f t="shared" si="19"/>
        <v>400614.56134731648</v>
      </c>
      <c r="I40" s="76">
        <f t="shared" si="19"/>
        <v>20786667.571674582</v>
      </c>
      <c r="J40" s="76">
        <f t="shared" si="19"/>
        <v>0</v>
      </c>
      <c r="K40" s="76">
        <f t="shared" si="19"/>
        <v>13349594.69969894</v>
      </c>
      <c r="L40" s="76">
        <f t="shared" si="19"/>
        <v>0</v>
      </c>
      <c r="M40" s="76">
        <f t="shared" si="19"/>
        <v>10848939.481968015</v>
      </c>
      <c r="N40" s="76">
        <f t="shared" si="19"/>
        <v>0</v>
      </c>
      <c r="O40" s="76">
        <f>O38+O39</f>
        <v>0</v>
      </c>
      <c r="P40" s="76">
        <f t="shared" si="19"/>
        <v>2090381.9352160543</v>
      </c>
      <c r="Q40" s="76">
        <f t="shared" si="19"/>
        <v>25312.1415650382</v>
      </c>
      <c r="R40" s="76">
        <f t="shared" ref="R40:Z40" si="20">R38+R39</f>
        <v>26238.230885706216</v>
      </c>
      <c r="S40" s="76">
        <f t="shared" si="20"/>
        <v>1295.4041012787457</v>
      </c>
      <c r="T40" s="76">
        <f t="shared" si="20"/>
        <v>1692.4414937058116</v>
      </c>
      <c r="U40" s="76">
        <f t="shared" si="20"/>
        <v>0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192034368.84475878</v>
      </c>
      <c r="AB40" s="58" t="str">
        <f>IF(ABS(F40-AA40)&lt;0.01,"ok","err")</f>
        <v>ok</v>
      </c>
    </row>
    <row r="41" spans="1:28">
      <c r="A41" s="44"/>
      <c r="F41" s="79"/>
    </row>
    <row r="42" spans="1:28" ht="14.1">
      <c r="A42" s="45" t="s">
        <v>343</v>
      </c>
      <c r="F42" s="79"/>
    </row>
    <row r="43" spans="1:28">
      <c r="A43" s="458" t="s">
        <v>1017</v>
      </c>
      <c r="C43" s="60" t="s">
        <v>892</v>
      </c>
      <c r="D43" s="60" t="s">
        <v>364</v>
      </c>
      <c r="E43" s="60" t="s">
        <v>1019</v>
      </c>
      <c r="F43" s="76">
        <f>VLOOKUP(C43,'Functional Assignment'!$C$2:$AP$780,'Functional Assignment'!$Z$2,)</f>
        <v>43944307.629729785</v>
      </c>
      <c r="G43" s="76">
        <f t="shared" ref="G43:Z43" si="21">IF(VLOOKUP($E43,$D$6:$AN$1150,3,)=0,0,(VLOOKUP($E43,$D$6:$AN$1150,G$2,)/VLOOKUP($E43,$D$6:$AN$1150,3,))*$F43)</f>
        <v>37756989.251137272</v>
      </c>
      <c r="H43" s="76">
        <f t="shared" si="21"/>
        <v>93197.358532403043</v>
      </c>
      <c r="I43" s="76">
        <f t="shared" si="21"/>
        <v>5390780.1544474876</v>
      </c>
      <c r="J43" s="76">
        <f t="shared" si="21"/>
        <v>0</v>
      </c>
      <c r="K43" s="76">
        <f t="shared" si="21"/>
        <v>554489.38536644494</v>
      </c>
      <c r="L43" s="76">
        <f t="shared" si="21"/>
        <v>0</v>
      </c>
      <c r="M43" s="76">
        <f t="shared" si="21"/>
        <v>148652.19548073233</v>
      </c>
      <c r="N43" s="76">
        <f t="shared" si="21"/>
        <v>0</v>
      </c>
      <c r="O43" s="76">
        <f t="shared" si="21"/>
        <v>0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199.28476543707001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43944307.629729785</v>
      </c>
      <c r="AB43" s="58" t="str">
        <f>IF(ABS(F43-AA43)&lt;0.01,"ok","err")</f>
        <v>ok</v>
      </c>
    </row>
    <row r="44" spans="1:28">
      <c r="A44" s="44"/>
      <c r="F44" s="79"/>
    </row>
    <row r="45" spans="1:28" ht="14.1">
      <c r="A45" s="45" t="s">
        <v>342</v>
      </c>
      <c r="F45" s="79"/>
    </row>
    <row r="46" spans="1:28">
      <c r="A46" s="458" t="s">
        <v>1017</v>
      </c>
      <c r="C46" s="60" t="s">
        <v>892</v>
      </c>
      <c r="D46" s="60" t="s">
        <v>375</v>
      </c>
      <c r="E46" s="60" t="s">
        <v>1281</v>
      </c>
      <c r="F46" s="76">
        <f>VLOOKUP(C46,'Functional Assignment'!$C$2:$AP$780,'Functional Assignment'!$AA$2,)</f>
        <v>44815612.309450604</v>
      </c>
      <c r="G46" s="76">
        <f t="shared" ref="G46:Z46" si="22">IF(VLOOKUP($E46,$D$6:$AN$1150,3,)=0,0,(VLOOKUP($E46,$D$6:$AN$1150,G$2,)/VLOOKUP($E46,$D$6:$AN$1150,3,))*$F46)</f>
        <v>30433070.368712001</v>
      </c>
      <c r="H46" s="76">
        <f t="shared" si="22"/>
        <v>75119.383898155313</v>
      </c>
      <c r="I46" s="76">
        <f t="shared" si="22"/>
        <v>9479010.4623191208</v>
      </c>
      <c r="J46" s="76">
        <f t="shared" si="22"/>
        <v>309833.18146081886</v>
      </c>
      <c r="K46" s="76">
        <f t="shared" si="22"/>
        <v>2650781.9904175363</v>
      </c>
      <c r="L46" s="76">
        <f t="shared" si="22"/>
        <v>618859.83527771977</v>
      </c>
      <c r="M46" s="76">
        <f t="shared" si="22"/>
        <v>524043.18550742656</v>
      </c>
      <c r="N46" s="76">
        <f t="shared" si="22"/>
        <v>437344.78288600536</v>
      </c>
      <c r="O46" s="76">
        <f t="shared" si="22"/>
        <v>9405.5562906548857</v>
      </c>
      <c r="P46" s="76">
        <f t="shared" si="22"/>
        <v>0</v>
      </c>
      <c r="Q46" s="76">
        <f t="shared" si="22"/>
        <v>13008.035286478089</v>
      </c>
      <c r="R46" s="76">
        <f t="shared" si="22"/>
        <v>80795.250226571981</v>
      </c>
      <c r="S46" s="76">
        <f t="shared" si="22"/>
        <v>952.69716810910143</v>
      </c>
      <c r="T46" s="76">
        <f t="shared" si="22"/>
        <v>183387.58000000005</v>
      </c>
      <c r="U46" s="76">
        <f t="shared" si="22"/>
        <v>0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44815612.309450604</v>
      </c>
      <c r="AB46" s="58" t="str">
        <f>IF(ABS(F46-AA46)&lt;0.01,"ok","err")</f>
        <v>ok</v>
      </c>
    </row>
    <row r="47" spans="1:28">
      <c r="A47" s="44"/>
      <c r="F47" s="79"/>
    </row>
    <row r="48" spans="1:28" ht="14.1">
      <c r="A48" s="45" t="s">
        <v>358</v>
      </c>
      <c r="F48" s="79"/>
    </row>
    <row r="49" spans="1:28">
      <c r="A49" s="458" t="s">
        <v>1017</v>
      </c>
      <c r="C49" s="60" t="s">
        <v>892</v>
      </c>
      <c r="D49" s="60" t="s">
        <v>377</v>
      </c>
      <c r="E49" s="60" t="s">
        <v>1365</v>
      </c>
      <c r="F49" s="76">
        <f>VLOOKUP(C49,'Functional Assignment'!$C$2:$AP$780,'Functional Assignment'!$AB$2,)</f>
        <v>144886355.04595384</v>
      </c>
      <c r="G49" s="76">
        <f t="shared" ref="G49:Z49" si="23">IF(VLOOKUP($E49,$D$6:$AN$1150,3,)=0,0,(VLOOKUP($E49,$D$6:$AN$1150,G$2,)/VLOOKUP($E49,$D$6:$AN$1150,3,))*$F49)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144886355.04595384</v>
      </c>
      <c r="Q49" s="76">
        <f t="shared" si="23"/>
        <v>0</v>
      </c>
      <c r="R49" s="76">
        <f t="shared" si="23"/>
        <v>0</v>
      </c>
      <c r="S49" s="76">
        <f t="shared" si="23"/>
        <v>0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144886355.04595384</v>
      </c>
      <c r="AB49" s="58" t="str">
        <f>IF(ABS(F49-AA49)&lt;0.01,"ok","err")</f>
        <v>ok</v>
      </c>
    </row>
    <row r="50" spans="1:28">
      <c r="A50" s="44"/>
      <c r="F50" s="79"/>
    </row>
    <row r="51" spans="1:28" ht="14.1">
      <c r="A51" s="45" t="s">
        <v>949</v>
      </c>
      <c r="F51" s="79"/>
    </row>
    <row r="52" spans="1:28">
      <c r="A52" s="458" t="s">
        <v>1017</v>
      </c>
      <c r="C52" s="60" t="s">
        <v>892</v>
      </c>
      <c r="D52" s="60" t="s">
        <v>378</v>
      </c>
      <c r="E52" s="60" t="s">
        <v>1364</v>
      </c>
      <c r="F52" s="76">
        <f>VLOOKUP(C52,'Functional Assignment'!$C$2:$AP$780,'Functional Assignment'!$AC$2,)</f>
        <v>0</v>
      </c>
      <c r="G52" s="76">
        <f t="shared" ref="G52:Z52" si="24">IF(VLOOKUP($E52,$D$6:$AN$1150,3,)=0,0,(VLOOKUP($E52,$D$6:$AN$1150,G$2,)/VLOOKUP($E52,$D$6:$AN$1150,3,))*$F52)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A53" s="44"/>
      <c r="F53" s="79"/>
    </row>
    <row r="54" spans="1:28" ht="14.1">
      <c r="A54" s="45" t="s">
        <v>340</v>
      </c>
      <c r="F54" s="79"/>
    </row>
    <row r="55" spans="1:28">
      <c r="A55" s="458" t="s">
        <v>1017</v>
      </c>
      <c r="C55" s="60" t="s">
        <v>892</v>
      </c>
      <c r="D55" s="60" t="s">
        <v>379</v>
      </c>
      <c r="E55" s="60" t="s">
        <v>1370</v>
      </c>
      <c r="F55" s="76">
        <f>VLOOKUP(C55,'Functional Assignment'!$C$2:$AP$780,'Functional Assignment'!$AD$2,)</f>
        <v>0</v>
      </c>
      <c r="G55" s="76">
        <f t="shared" ref="G55:Z55" si="25">IF(VLOOKUP($E55,$D$6:$AN$1150,3,)=0,0,(VLOOKUP($E55,$D$6:$AN$1150,G$2,)/VLOOKUP($E55,$D$6:$AN$1150,3,))*$F55)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A56" s="44"/>
      <c r="F56" s="79"/>
    </row>
    <row r="57" spans="1:28" ht="14.1">
      <c r="A57" s="45" t="s">
        <v>339</v>
      </c>
      <c r="F57" s="79"/>
    </row>
    <row r="58" spans="1:28">
      <c r="A58" s="458" t="s">
        <v>1017</v>
      </c>
      <c r="C58" s="60" t="s">
        <v>892</v>
      </c>
      <c r="D58" s="60" t="s">
        <v>380</v>
      </c>
      <c r="E58" s="60" t="s">
        <v>1370</v>
      </c>
      <c r="F58" s="76">
        <f>VLOOKUP(C58,'Functional Assignment'!$C$2:$AP$780,'Functional Assignment'!$AE$2,)</f>
        <v>0</v>
      </c>
      <c r="G58" s="76">
        <f t="shared" ref="G58:Z58" si="26">IF(VLOOKUP($E58,$D$6:$AN$1150,3,)=0,0,(VLOOKUP($E58,$D$6:$AN$1150,G$2,)/VLOOKUP($E58,$D$6:$AN$1150,3,))*$F58)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A59" s="44"/>
      <c r="F59" s="79"/>
    </row>
    <row r="60" spans="1:28">
      <c r="A60" s="44" t="s">
        <v>846</v>
      </c>
      <c r="D60" s="60" t="s">
        <v>1024</v>
      </c>
      <c r="F60" s="76">
        <f t="shared" ref="F60:Z60" si="27">F15+F21+F24+F27+F35+F40+F43+F46+F49+F52+F55+F58</f>
        <v>6362551707.5583811</v>
      </c>
      <c r="G60" s="76">
        <f t="shared" si="27"/>
        <v>3223917657.3441582</v>
      </c>
      <c r="H60" s="76">
        <f t="shared" si="27"/>
        <v>7389021.9692321736</v>
      </c>
      <c r="I60" s="76">
        <f t="shared" si="27"/>
        <v>743440246.02996027</v>
      </c>
      <c r="J60" s="76">
        <f t="shared" si="27"/>
        <v>41879476.523354538</v>
      </c>
      <c r="K60" s="76">
        <f t="shared" si="27"/>
        <v>718456797.27190423</v>
      </c>
      <c r="L60" s="76">
        <f t="shared" si="27"/>
        <v>610382347.67663336</v>
      </c>
      <c r="M60" s="76">
        <f t="shared" si="27"/>
        <v>543635872.50870538</v>
      </c>
      <c r="N60" s="76">
        <f t="shared" si="27"/>
        <v>262975207.01549858</v>
      </c>
      <c r="O60" s="76">
        <f t="shared" si="27"/>
        <v>17907922.982379992</v>
      </c>
      <c r="P60" s="76">
        <f t="shared" si="27"/>
        <v>187569608.16039371</v>
      </c>
      <c r="Q60" s="76">
        <f t="shared" si="27"/>
        <v>924724.321491351</v>
      </c>
      <c r="R60" s="76">
        <f t="shared" si="27"/>
        <v>1123556.4594156877</v>
      </c>
      <c r="S60" s="76">
        <f t="shared" si="27"/>
        <v>22997.350527347484</v>
      </c>
      <c r="T60" s="76">
        <f t="shared" si="27"/>
        <v>210557.83472655993</v>
      </c>
      <c r="U60" s="76">
        <f t="shared" si="27"/>
        <v>2630742.58</v>
      </c>
      <c r="V60" s="76">
        <f t="shared" si="27"/>
        <v>84971.530000000013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6362551707.5583801</v>
      </c>
      <c r="AB60" s="58" t="str">
        <f>IF(ABS(F60-AA60)&lt;0.01,"ok","err")</f>
        <v>ok</v>
      </c>
    </row>
    <row r="61" spans="1:28">
      <c r="A61" s="44"/>
    </row>
    <row r="62" spans="1:28">
      <c r="A62" s="44"/>
    </row>
    <row r="63" spans="1:28">
      <c r="A63" s="44"/>
    </row>
    <row r="64" spans="1:28">
      <c r="A64" s="44"/>
    </row>
    <row r="65" spans="1:28" ht="14.1">
      <c r="A65" s="45" t="s">
        <v>896</v>
      </c>
    </row>
    <row r="66" spans="1:28">
      <c r="A66" s="44"/>
    </row>
    <row r="67" spans="1:28" ht="14.1">
      <c r="A67" s="45" t="s">
        <v>352</v>
      </c>
    </row>
    <row r="68" spans="1:28">
      <c r="A68" s="458" t="s">
        <v>1441</v>
      </c>
      <c r="C68" s="60" t="s">
        <v>897</v>
      </c>
      <c r="D68" s="44" t="s">
        <v>1433</v>
      </c>
      <c r="E68" s="44" t="s">
        <v>1417</v>
      </c>
      <c r="F68" s="76">
        <f>VLOOKUP(C68,'Functional Assignment'!$C$2:$AP$780,'Functional Assignment'!$H$2,)</f>
        <v>2495383412.90588</v>
      </c>
      <c r="G68" s="76">
        <f t="shared" ref="G68:P73" si="28">IF(VLOOKUP($E68,$D$6:$AN$1150,3,)=0,0,(VLOOKUP($E68,$D$6:$AN$1150,G$2,)/VLOOKUP($E68,$D$6:$AN$1150,3,))*$F68)</f>
        <v>1090040236.1485565</v>
      </c>
      <c r="H68" s="76">
        <f t="shared" si="28"/>
        <v>2043658.5509688391</v>
      </c>
      <c r="I68" s="76">
        <f t="shared" si="28"/>
        <v>305002829.58305395</v>
      </c>
      <c r="J68" s="76">
        <f t="shared" si="28"/>
        <v>20668283.724883426</v>
      </c>
      <c r="K68" s="76">
        <f t="shared" si="28"/>
        <v>340035763.40166694</v>
      </c>
      <c r="L68" s="76">
        <f t="shared" si="28"/>
        <v>306939946.33540463</v>
      </c>
      <c r="M68" s="76">
        <f t="shared" si="28"/>
        <v>261140374.4242765</v>
      </c>
      <c r="N68" s="76">
        <f t="shared" si="28"/>
        <v>148367727.00145146</v>
      </c>
      <c r="O68" s="76">
        <f t="shared" si="28"/>
        <v>8807272.2095681056</v>
      </c>
      <c r="P68" s="76">
        <f t="shared" si="28"/>
        <v>9026540.6824364085</v>
      </c>
      <c r="Q68" s="76">
        <f t="shared" ref="Q68:Z73" si="29">IF(VLOOKUP($E68,$D$6:$AN$1150,3,)=0,0,(VLOOKUP($E68,$D$6:$AN$1150,Q$2,)/VLOOKUP($E68,$D$6:$AN$1150,3,))*$F68)</f>
        <v>314394.59611862106</v>
      </c>
      <c r="R68" s="76">
        <f t="shared" si="29"/>
        <v>432965.24533995276</v>
      </c>
      <c r="S68" s="76">
        <f t="shared" si="29"/>
        <v>426.52919911198666</v>
      </c>
      <c r="T68" s="76">
        <f t="shared" si="29"/>
        <v>3931.5029556203003</v>
      </c>
      <c r="U68" s="76">
        <f t="shared" si="29"/>
        <v>2486734.1800000006</v>
      </c>
      <c r="V68" s="76">
        <f t="shared" si="29"/>
        <v>72328.790000000008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2495383412.9058795</v>
      </c>
      <c r="AB68" s="58" t="str">
        <f t="shared" ref="AB68:AB74" si="31">IF(ABS(F68-AA68)&lt;0.01,"ok","err")</f>
        <v>ok</v>
      </c>
    </row>
    <row r="69" spans="1:28" hidden="1">
      <c r="A69" s="458" t="s">
        <v>1256</v>
      </c>
      <c r="C69" s="60" t="s">
        <v>897</v>
      </c>
      <c r="D69" s="44" t="s">
        <v>381</v>
      </c>
      <c r="E69" s="44" t="s">
        <v>1417</v>
      </c>
      <c r="F69" s="79">
        <f>VLOOKUP(C69,'Functional Assignment'!$C$2:$AP$780,'Functional Assignment'!$I$2,)</f>
        <v>0</v>
      </c>
      <c r="G69" s="79">
        <f t="shared" si="28"/>
        <v>0</v>
      </c>
      <c r="H69" s="79">
        <f t="shared" si="28"/>
        <v>0</v>
      </c>
      <c r="I69" s="79">
        <f t="shared" si="28"/>
        <v>0</v>
      </c>
      <c r="J69" s="79">
        <f t="shared" si="28"/>
        <v>0</v>
      </c>
      <c r="K69" s="79">
        <f t="shared" si="28"/>
        <v>0</v>
      </c>
      <c r="L69" s="79">
        <f t="shared" si="28"/>
        <v>0</v>
      </c>
      <c r="M69" s="79">
        <f t="shared" si="28"/>
        <v>0</v>
      </c>
      <c r="N69" s="79">
        <f t="shared" si="28"/>
        <v>0</v>
      </c>
      <c r="O69" s="79">
        <f t="shared" si="28"/>
        <v>0</v>
      </c>
      <c r="P69" s="79">
        <f t="shared" si="28"/>
        <v>0</v>
      </c>
      <c r="Q69" s="79">
        <f t="shared" si="29"/>
        <v>0</v>
      </c>
      <c r="R69" s="79">
        <f t="shared" si="29"/>
        <v>0</v>
      </c>
      <c r="S69" s="79">
        <f t="shared" si="29"/>
        <v>0</v>
      </c>
      <c r="T69" s="79">
        <f t="shared" si="29"/>
        <v>0</v>
      </c>
      <c r="U69" s="79">
        <f t="shared" si="29"/>
        <v>0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0</v>
      </c>
      <c r="AB69" s="58" t="str">
        <f t="shared" si="31"/>
        <v>ok</v>
      </c>
    </row>
    <row r="70" spans="1:28" hidden="1">
      <c r="A70" s="458" t="s">
        <v>1256</v>
      </c>
      <c r="C70" s="60" t="s">
        <v>897</v>
      </c>
      <c r="D70" s="44" t="s">
        <v>382</v>
      </c>
      <c r="E70" s="44" t="s">
        <v>1417</v>
      </c>
      <c r="F70" s="79">
        <f>VLOOKUP(C70,'Functional Assignment'!$C$2:$AP$780,'Functional Assignment'!$J$2,)</f>
        <v>0</v>
      </c>
      <c r="G70" s="79">
        <f t="shared" si="28"/>
        <v>0</v>
      </c>
      <c r="H70" s="79">
        <f t="shared" si="28"/>
        <v>0</v>
      </c>
      <c r="I70" s="79">
        <f t="shared" si="28"/>
        <v>0</v>
      </c>
      <c r="J70" s="79">
        <f t="shared" si="28"/>
        <v>0</v>
      </c>
      <c r="K70" s="79">
        <f t="shared" si="28"/>
        <v>0</v>
      </c>
      <c r="L70" s="79">
        <f t="shared" si="28"/>
        <v>0</v>
      </c>
      <c r="M70" s="79">
        <f t="shared" si="28"/>
        <v>0</v>
      </c>
      <c r="N70" s="79">
        <f t="shared" si="28"/>
        <v>0</v>
      </c>
      <c r="O70" s="79">
        <f t="shared" si="28"/>
        <v>0</v>
      </c>
      <c r="P70" s="79">
        <f t="shared" si="28"/>
        <v>0</v>
      </c>
      <c r="Q70" s="79">
        <f t="shared" si="29"/>
        <v>0</v>
      </c>
      <c r="R70" s="79">
        <f t="shared" si="29"/>
        <v>0</v>
      </c>
      <c r="S70" s="79">
        <f t="shared" si="29"/>
        <v>0</v>
      </c>
      <c r="T70" s="79">
        <f t="shared" si="29"/>
        <v>0</v>
      </c>
      <c r="U70" s="79">
        <f t="shared" si="29"/>
        <v>0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0</v>
      </c>
      <c r="AB70" s="58" t="str">
        <f t="shared" si="31"/>
        <v>ok</v>
      </c>
    </row>
    <row r="71" spans="1:28">
      <c r="A71" s="458" t="s">
        <v>1160</v>
      </c>
      <c r="C71" s="60" t="s">
        <v>897</v>
      </c>
      <c r="D71" s="44" t="s">
        <v>383</v>
      </c>
      <c r="E71" s="44" t="s">
        <v>1015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458" t="s">
        <v>1161</v>
      </c>
      <c r="C72" s="60" t="s">
        <v>897</v>
      </c>
      <c r="D72" s="44" t="s">
        <v>384</v>
      </c>
      <c r="E72" s="44" t="s">
        <v>1015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458" t="s">
        <v>1161</v>
      </c>
      <c r="C73" s="60" t="s">
        <v>897</v>
      </c>
      <c r="D73" s="44" t="s">
        <v>385</v>
      </c>
      <c r="E73" s="44" t="s">
        <v>1015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44" t="s">
        <v>374</v>
      </c>
      <c r="D74" s="44" t="s">
        <v>386</v>
      </c>
      <c r="E74" s="44"/>
      <c r="F74" s="76">
        <f>SUM(F68:F73)</f>
        <v>2495383412.90588</v>
      </c>
      <c r="G74" s="76">
        <f t="shared" ref="G74:P74" si="32">SUM(G68:G73)</f>
        <v>1090040236.1485565</v>
      </c>
      <c r="H74" s="76">
        <f t="shared" si="32"/>
        <v>2043658.5509688391</v>
      </c>
      <c r="I74" s="76">
        <f t="shared" si="32"/>
        <v>305002829.58305395</v>
      </c>
      <c r="J74" s="76">
        <f t="shared" si="32"/>
        <v>20668283.724883426</v>
      </c>
      <c r="K74" s="76">
        <f t="shared" si="32"/>
        <v>340035763.40166694</v>
      </c>
      <c r="L74" s="76">
        <f t="shared" si="32"/>
        <v>306939946.33540463</v>
      </c>
      <c r="M74" s="76">
        <f t="shared" si="32"/>
        <v>261140374.4242765</v>
      </c>
      <c r="N74" s="76">
        <f t="shared" si="32"/>
        <v>148367727.00145146</v>
      </c>
      <c r="O74" s="76">
        <f>SUM(O68:O73)</f>
        <v>8807272.2095681056</v>
      </c>
      <c r="P74" s="76">
        <f t="shared" si="32"/>
        <v>9026540.6824364085</v>
      </c>
      <c r="Q74" s="76">
        <f t="shared" ref="Q74:W74" si="33">SUM(Q68:Q73)</f>
        <v>314394.59611862106</v>
      </c>
      <c r="R74" s="76">
        <f t="shared" si="33"/>
        <v>432965.24533995276</v>
      </c>
      <c r="S74" s="76">
        <f t="shared" si="33"/>
        <v>426.52919911198666</v>
      </c>
      <c r="T74" s="76">
        <f t="shared" si="33"/>
        <v>3931.5029556203003</v>
      </c>
      <c r="U74" s="76">
        <f t="shared" si="33"/>
        <v>2486734.1800000006</v>
      </c>
      <c r="V74" s="76">
        <f t="shared" si="33"/>
        <v>72328.790000000008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2495383412.9058795</v>
      </c>
      <c r="AB74" s="58" t="str">
        <f t="shared" si="31"/>
        <v>ok</v>
      </c>
    </row>
    <row r="75" spans="1:28">
      <c r="A75" s="44"/>
      <c r="F75" s="79"/>
      <c r="G75" s="79"/>
    </row>
    <row r="76" spans="1:28" ht="14.1">
      <c r="A76" s="45" t="s">
        <v>1055</v>
      </c>
      <c r="F76" s="79"/>
      <c r="G76" s="79"/>
    </row>
    <row r="77" spans="1:28">
      <c r="A77" s="458" t="s">
        <v>1225</v>
      </c>
      <c r="C77" s="60" t="s">
        <v>897</v>
      </c>
      <c r="D77" s="60" t="s">
        <v>387</v>
      </c>
      <c r="E77" s="60" t="s">
        <v>1229</v>
      </c>
      <c r="F77" s="76">
        <f>VLOOKUP(C77,'Functional Assignment'!$C$2:$AP$780,'Functional Assignment'!$N$2,)</f>
        <v>422249551.01956153</v>
      </c>
      <c r="G77" s="76">
        <f t="shared" ref="G77:P79" si="34">IF(VLOOKUP($E77,$D$6:$AN$1150,3,)=0,0,(VLOOKUP($E77,$D$6:$AN$1150,G$2,)/VLOOKUP($E77,$D$6:$AN$1150,3,))*$F77)</f>
        <v>199191864.87491915</v>
      </c>
      <c r="H77" s="76">
        <f t="shared" si="34"/>
        <v>610812.247876468</v>
      </c>
      <c r="I77" s="76">
        <f t="shared" si="34"/>
        <v>48792390.478007138</v>
      </c>
      <c r="J77" s="76">
        <f t="shared" si="34"/>
        <v>3202885.6366383843</v>
      </c>
      <c r="K77" s="76">
        <f t="shared" si="34"/>
        <v>54290885.330660067</v>
      </c>
      <c r="L77" s="76">
        <f t="shared" si="34"/>
        <v>45529646.261977024</v>
      </c>
      <c r="M77" s="76">
        <f t="shared" si="34"/>
        <v>43104717.951724105</v>
      </c>
      <c r="N77" s="76">
        <f t="shared" si="34"/>
        <v>22478352.59240688</v>
      </c>
      <c r="O77" s="76">
        <f t="shared" si="34"/>
        <v>1444474.6324254212</v>
      </c>
      <c r="P77" s="76">
        <f t="shared" si="34"/>
        <v>3423015.6907855333</v>
      </c>
      <c r="Q77" s="76">
        <f t="shared" ref="Q77:Z79" si="35">IF(VLOOKUP($E77,$D$6:$AN$1150,3,)=0,0,(VLOOKUP($E77,$D$6:$AN$1150,Q$2,)/VLOOKUP($E77,$D$6:$AN$1150,3,))*$F77)</f>
        <v>119223.7063425878</v>
      </c>
      <c r="R77" s="76">
        <f t="shared" si="35"/>
        <v>54729.228708372262</v>
      </c>
      <c r="S77" s="76">
        <f t="shared" si="35"/>
        <v>5956.030334146948</v>
      </c>
      <c r="T77" s="76">
        <f t="shared" si="35"/>
        <v>596.35675632165055</v>
      </c>
      <c r="U77" s="76">
        <f t="shared" si="35"/>
        <v>0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422249551.01956159</v>
      </c>
      <c r="AB77" s="58" t="str">
        <f>IF(ABS(F77-AA77)&lt;0.01,"ok","err")</f>
        <v>ok</v>
      </c>
    </row>
    <row r="78" spans="1:28" hidden="1">
      <c r="A78" s="458" t="s">
        <v>1226</v>
      </c>
      <c r="C78" s="60" t="s">
        <v>897</v>
      </c>
      <c r="D78" s="60" t="s">
        <v>388</v>
      </c>
      <c r="E78" s="60" t="s">
        <v>1229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458" t="s">
        <v>1226</v>
      </c>
      <c r="C79" s="60" t="s">
        <v>897</v>
      </c>
      <c r="D79" s="60" t="s">
        <v>389</v>
      </c>
      <c r="E79" s="60" t="s">
        <v>1229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44" t="s">
        <v>1057</v>
      </c>
      <c r="D80" s="60" t="s">
        <v>390</v>
      </c>
      <c r="F80" s="76">
        <f>SUM(F77:F79)</f>
        <v>422249551.01956153</v>
      </c>
      <c r="G80" s="76">
        <f t="shared" ref="G80:W80" si="36">SUM(G77:G79)</f>
        <v>199191864.87491915</v>
      </c>
      <c r="H80" s="76">
        <f t="shared" si="36"/>
        <v>610812.247876468</v>
      </c>
      <c r="I80" s="76">
        <f t="shared" si="36"/>
        <v>48792390.478007138</v>
      </c>
      <c r="J80" s="76">
        <f t="shared" si="36"/>
        <v>3202885.6366383843</v>
      </c>
      <c r="K80" s="76">
        <f t="shared" si="36"/>
        <v>54290885.330660067</v>
      </c>
      <c r="L80" s="76">
        <f t="shared" si="36"/>
        <v>45529646.261977024</v>
      </c>
      <c r="M80" s="76">
        <f t="shared" si="36"/>
        <v>43104717.951724105</v>
      </c>
      <c r="N80" s="76">
        <f t="shared" si="36"/>
        <v>22478352.59240688</v>
      </c>
      <c r="O80" s="76">
        <f>SUM(O77:O79)</f>
        <v>1444474.6324254212</v>
      </c>
      <c r="P80" s="76">
        <f t="shared" si="36"/>
        <v>3423015.6907855333</v>
      </c>
      <c r="Q80" s="76">
        <f t="shared" si="36"/>
        <v>119223.7063425878</v>
      </c>
      <c r="R80" s="76">
        <f t="shared" si="36"/>
        <v>54729.228708372262</v>
      </c>
      <c r="S80" s="76">
        <f t="shared" si="36"/>
        <v>5956.030334146948</v>
      </c>
      <c r="T80" s="76">
        <f t="shared" si="36"/>
        <v>596.35675632165055</v>
      </c>
      <c r="U80" s="76">
        <f t="shared" si="36"/>
        <v>0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422249551.01956159</v>
      </c>
      <c r="AB80" s="58" t="str">
        <f>IF(ABS(F80-AA80)&lt;0.01,"ok","err")</f>
        <v>ok</v>
      </c>
    </row>
    <row r="81" spans="1:28">
      <c r="A81" s="44"/>
      <c r="F81" s="79"/>
      <c r="G81" s="79"/>
    </row>
    <row r="82" spans="1:28" ht="14.1">
      <c r="A82" s="45" t="s">
        <v>337</v>
      </c>
      <c r="F82" s="79"/>
      <c r="G82" s="79"/>
    </row>
    <row r="83" spans="1:28">
      <c r="A83" s="458" t="s">
        <v>359</v>
      </c>
      <c r="C83" s="60" t="s">
        <v>897</v>
      </c>
      <c r="D83" s="60" t="s">
        <v>391</v>
      </c>
      <c r="E83" s="60" t="s">
        <v>1230</v>
      </c>
      <c r="F83" s="76">
        <f>VLOOKUP(C83,'Functional Assignment'!$C$2:$AP$780,'Functional Assignment'!$Q$2,)</f>
        <v>0</v>
      </c>
      <c r="G83" s="76">
        <f t="shared" ref="G83:Z83" si="37">IF(VLOOKUP($E83,$D$6:$AN$1150,3,)=0,0,(VLOOKUP($E83,$D$6:$AN$1150,G$2,)/VLOOKUP($E83,$D$6:$AN$1150,3,))*$F83)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A84" s="44"/>
      <c r="F84" s="79"/>
    </row>
    <row r="85" spans="1:28" ht="14.1">
      <c r="A85" s="45" t="s">
        <v>338</v>
      </c>
      <c r="F85" s="79"/>
      <c r="G85" s="79"/>
    </row>
    <row r="86" spans="1:28">
      <c r="A86" s="458" t="s">
        <v>361</v>
      </c>
      <c r="C86" s="60" t="s">
        <v>897</v>
      </c>
      <c r="D86" s="60" t="s">
        <v>392</v>
      </c>
      <c r="E86" s="60" t="s">
        <v>1230</v>
      </c>
      <c r="F86" s="76">
        <f>VLOOKUP(C86,'Functional Assignment'!$C$2:$AP$780,'Functional Assignment'!$R$2,)</f>
        <v>158088627.06224024</v>
      </c>
      <c r="G86" s="76">
        <f t="shared" ref="G86:Z86" si="38">IF(VLOOKUP($E86,$D$6:$AN$1150,3,)=0,0,(VLOOKUP($E86,$D$6:$AN$1150,G$2,)/VLOOKUP($E86,$D$6:$AN$1150,3,))*$F86)</f>
        <v>78769977.837163448</v>
      </c>
      <c r="H86" s="76">
        <f t="shared" si="38"/>
        <v>241544.33846035806</v>
      </c>
      <c r="I86" s="76">
        <f t="shared" si="38"/>
        <v>19294841.779749703</v>
      </c>
      <c r="J86" s="76">
        <f t="shared" si="38"/>
        <v>1266573.9676236217</v>
      </c>
      <c r="K86" s="76">
        <f t="shared" si="38"/>
        <v>21469209.281922549</v>
      </c>
      <c r="L86" s="76">
        <f t="shared" si="38"/>
        <v>18004596.870669656</v>
      </c>
      <c r="M86" s="76">
        <f t="shared" si="38"/>
        <v>17045664.38928907</v>
      </c>
      <c r="N86" s="76">
        <f t="shared" si="38"/>
        <v>0</v>
      </c>
      <c r="O86" s="76">
        <f t="shared" si="38"/>
        <v>571214.26547185157</v>
      </c>
      <c r="P86" s="76">
        <f t="shared" si="38"/>
        <v>1353623.9056185936</v>
      </c>
      <c r="Q86" s="76">
        <f t="shared" si="38"/>
        <v>47146.748247812633</v>
      </c>
      <c r="R86" s="76">
        <f t="shared" si="38"/>
        <v>21642.551191087055</v>
      </c>
      <c r="S86" s="76">
        <f t="shared" si="38"/>
        <v>2355.2988858898989</v>
      </c>
      <c r="T86" s="76">
        <f t="shared" si="38"/>
        <v>235.82794662822533</v>
      </c>
      <c r="U86" s="76">
        <f t="shared" si="38"/>
        <v>0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158088627.06224027</v>
      </c>
      <c r="AB86" s="58" t="str">
        <f>IF(ABS(F86-AA86)&lt;0.01,"ok","err")</f>
        <v>ok</v>
      </c>
    </row>
    <row r="87" spans="1:28">
      <c r="A87" s="44"/>
      <c r="F87" s="79"/>
    </row>
    <row r="88" spans="1:28" ht="14.1">
      <c r="A88" s="45" t="s">
        <v>360</v>
      </c>
      <c r="F88" s="79"/>
    </row>
    <row r="89" spans="1:28">
      <c r="A89" s="458" t="s">
        <v>603</v>
      </c>
      <c r="C89" s="60" t="s">
        <v>897</v>
      </c>
      <c r="D89" s="60" t="s">
        <v>393</v>
      </c>
      <c r="E89" s="60" t="s">
        <v>1230</v>
      </c>
      <c r="F89" s="76">
        <f>VLOOKUP(C89,'Functional Assignment'!$C$2:$AP$780,'Functional Assignment'!$S$2,)</f>
        <v>0</v>
      </c>
      <c r="G89" s="76">
        <f t="shared" ref="G89:P93" si="39">IF(VLOOKUP($E89,$D$6:$AN$1150,3,)=0,0,(VLOOKUP($E89,$D$6:$AN$1150,G$2,)/VLOOKUP($E89,$D$6:$AN$1150,3,))*$F89)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IF(VLOOKUP($E89,$D$6:$AN$1150,3,)=0,0,(VLOOKUP($E89,$D$6:$AN$1150,Q$2,)/VLOOKUP($E89,$D$6:$AN$1150,3,))*$F89)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458" t="s">
        <v>604</v>
      </c>
      <c r="C90" s="60" t="s">
        <v>897</v>
      </c>
      <c r="D90" s="60" t="s">
        <v>394</v>
      </c>
      <c r="E90" s="60" t="s">
        <v>1230</v>
      </c>
      <c r="F90" s="79">
        <f>VLOOKUP(C90,'Functional Assignment'!$C$2:$AP$780,'Functional Assignment'!$T$2,)</f>
        <v>242694289.6556775</v>
      </c>
      <c r="G90" s="79">
        <f t="shared" si="39"/>
        <v>120925990.51959242</v>
      </c>
      <c r="H90" s="79">
        <f t="shared" si="39"/>
        <v>370813.71843344305</v>
      </c>
      <c r="I90" s="79">
        <f t="shared" si="39"/>
        <v>29621029.714625973</v>
      </c>
      <c r="J90" s="79">
        <f t="shared" si="39"/>
        <v>1944417.35045094</v>
      </c>
      <c r="K90" s="79">
        <f t="shared" si="39"/>
        <v>32959072.344235681</v>
      </c>
      <c r="L90" s="79">
        <f t="shared" si="39"/>
        <v>27640273.239539668</v>
      </c>
      <c r="M90" s="79">
        <f t="shared" si="39"/>
        <v>26168140.539539743</v>
      </c>
      <c r="N90" s="79">
        <f t="shared" si="39"/>
        <v>0</v>
      </c>
      <c r="O90" s="79">
        <f t="shared" si="39"/>
        <v>876915.96148343512</v>
      </c>
      <c r="P90" s="79">
        <f t="shared" si="39"/>
        <v>2078054.5592676303</v>
      </c>
      <c r="Q90" s="79">
        <f t="shared" si="40"/>
        <v>72378.682693430426</v>
      </c>
      <c r="R90" s="79">
        <f t="shared" si="40"/>
        <v>33225.183147359276</v>
      </c>
      <c r="S90" s="79">
        <f t="shared" si="40"/>
        <v>3615.804632251054</v>
      </c>
      <c r="T90" s="79">
        <f t="shared" si="40"/>
        <v>362.03803557203923</v>
      </c>
      <c r="U90" s="79">
        <f t="shared" si="40"/>
        <v>0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242694289.65567759</v>
      </c>
      <c r="AB90" s="58" t="str">
        <f t="shared" si="42"/>
        <v>ok</v>
      </c>
    </row>
    <row r="91" spans="1:28">
      <c r="A91" s="458" t="s">
        <v>605</v>
      </c>
      <c r="C91" s="60" t="s">
        <v>897</v>
      </c>
      <c r="D91" s="60" t="s">
        <v>395</v>
      </c>
      <c r="E91" s="60" t="s">
        <v>1368</v>
      </c>
      <c r="F91" s="79">
        <f>VLOOKUP(C91,'Functional Assignment'!$C$2:$AP$780,'Functional Assignment'!$U$2,)</f>
        <v>397151932.8434701</v>
      </c>
      <c r="G91" s="79">
        <f t="shared" si="39"/>
        <v>343367048.26436871</v>
      </c>
      <c r="H91" s="79">
        <f t="shared" si="39"/>
        <v>847643.1621020434</v>
      </c>
      <c r="I91" s="79">
        <f t="shared" si="39"/>
        <v>41328701.07492318</v>
      </c>
      <c r="J91" s="79">
        <f t="shared" si="39"/>
        <v>63818.253667268655</v>
      </c>
      <c r="K91" s="79">
        <f t="shared" si="39"/>
        <v>2537231.427942981</v>
      </c>
      <c r="L91" s="79">
        <f t="shared" si="39"/>
        <v>120342.9926297066</v>
      </c>
      <c r="M91" s="79">
        <f t="shared" si="39"/>
        <v>460403.11574243818</v>
      </c>
      <c r="N91" s="79">
        <f t="shared" si="39"/>
        <v>11851.961395349894</v>
      </c>
      <c r="O91" s="79">
        <f t="shared" si="39"/>
        <v>1823.3786762076759</v>
      </c>
      <c r="P91" s="79">
        <f t="shared" si="39"/>
        <v>8297193.4971492179</v>
      </c>
      <c r="Q91" s="79">
        <f t="shared" si="40"/>
        <v>14678.198343471793</v>
      </c>
      <c r="R91" s="79">
        <f t="shared" si="40"/>
        <v>91168.933810383794</v>
      </c>
      <c r="S91" s="79">
        <f t="shared" si="40"/>
        <v>911.68933810383794</v>
      </c>
      <c r="T91" s="79">
        <f t="shared" si="40"/>
        <v>9116.8933810383787</v>
      </c>
      <c r="U91" s="79">
        <f t="shared" si="40"/>
        <v>0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397151932.84347016</v>
      </c>
      <c r="AB91" s="58" t="str">
        <f t="shared" si="42"/>
        <v>ok</v>
      </c>
    </row>
    <row r="92" spans="1:28">
      <c r="A92" s="458" t="s">
        <v>606</v>
      </c>
      <c r="C92" s="60" t="s">
        <v>897</v>
      </c>
      <c r="D92" s="60" t="s">
        <v>396</v>
      </c>
      <c r="E92" s="60" t="s">
        <v>646</v>
      </c>
      <c r="F92" s="79">
        <f>VLOOKUP(C92,'Functional Assignment'!$C$2:$AP$780,'Functional Assignment'!$V$2,)</f>
        <v>67713921.499038443</v>
      </c>
      <c r="G92" s="79">
        <f t="shared" si="39"/>
        <v>51176832.360710293</v>
      </c>
      <c r="H92" s="79">
        <f t="shared" si="39"/>
        <v>152745.4452940537</v>
      </c>
      <c r="I92" s="79">
        <f t="shared" si="39"/>
        <v>8201886.8802928161</v>
      </c>
      <c r="J92" s="79">
        <f t="shared" si="39"/>
        <v>0</v>
      </c>
      <c r="K92" s="79">
        <f t="shared" si="39"/>
        <v>7768330.8722151127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393381.80276934191</v>
      </c>
      <c r="Q92" s="79">
        <f t="shared" si="40"/>
        <v>13701.496215790596</v>
      </c>
      <c r="R92" s="79">
        <f t="shared" si="40"/>
        <v>6289.6242957432651</v>
      </c>
      <c r="S92" s="79">
        <f t="shared" si="40"/>
        <v>684.48238683297666</v>
      </c>
      <c r="T92" s="79">
        <f t="shared" si="40"/>
        <v>68.534858466176544</v>
      </c>
      <c r="U92" s="79">
        <f t="shared" si="40"/>
        <v>0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67713921.499038443</v>
      </c>
      <c r="AB92" s="58" t="str">
        <f t="shared" si="42"/>
        <v>ok</v>
      </c>
    </row>
    <row r="93" spans="1:28">
      <c r="A93" s="458" t="s">
        <v>607</v>
      </c>
      <c r="C93" s="60" t="s">
        <v>897</v>
      </c>
      <c r="D93" s="60" t="s">
        <v>397</v>
      </c>
      <c r="E93" s="60" t="s">
        <v>1367</v>
      </c>
      <c r="F93" s="79">
        <f>VLOOKUP(C93,'Functional Assignment'!$C$2:$AP$780,'Functional Assignment'!$W$2,)</f>
        <v>115706517.41808937</v>
      </c>
      <c r="G93" s="79">
        <f t="shared" si="39"/>
        <v>100801325.55723357</v>
      </c>
      <c r="H93" s="79">
        <f t="shared" si="39"/>
        <v>248840.28555246044</v>
      </c>
      <c r="I93" s="79">
        <f t="shared" si="39"/>
        <v>12132753.777536044</v>
      </c>
      <c r="J93" s="79">
        <f t="shared" si="39"/>
        <v>18734.950243261341</v>
      </c>
      <c r="K93" s="79">
        <f t="shared" si="39"/>
        <v>0</v>
      </c>
      <c r="L93" s="79">
        <f t="shared" si="39"/>
        <v>35328.763315864242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2435784.4095556731</v>
      </c>
      <c r="Q93" s="79">
        <f t="shared" si="40"/>
        <v>4309.0385559501083</v>
      </c>
      <c r="R93" s="79">
        <f t="shared" si="40"/>
        <v>26764.214633230487</v>
      </c>
      <c r="S93" s="79">
        <f t="shared" si="40"/>
        <v>0</v>
      </c>
      <c r="T93" s="79">
        <f t="shared" si="40"/>
        <v>2676.421463323049</v>
      </c>
      <c r="U93" s="79">
        <f t="shared" si="40"/>
        <v>0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115706517.41808939</v>
      </c>
      <c r="AB93" s="58" t="str">
        <f t="shared" si="42"/>
        <v>ok</v>
      </c>
    </row>
    <row r="94" spans="1:28">
      <c r="A94" s="44" t="s">
        <v>365</v>
      </c>
      <c r="D94" s="60" t="s">
        <v>398</v>
      </c>
      <c r="F94" s="76">
        <f>SUM(F89:F93)</f>
        <v>823266661.4162755</v>
      </c>
      <c r="G94" s="76">
        <f t="shared" ref="G94:W94" si="43">SUM(G89:G93)</f>
        <v>616271196.70190501</v>
      </c>
      <c r="H94" s="76">
        <f t="shared" si="43"/>
        <v>1620042.6113820006</v>
      </c>
      <c r="I94" s="76">
        <f t="shared" si="43"/>
        <v>91284371.447378024</v>
      </c>
      <c r="J94" s="76">
        <f t="shared" si="43"/>
        <v>2026970.55436147</v>
      </c>
      <c r="K94" s="76">
        <f t="shared" si="43"/>
        <v>43264634.644393779</v>
      </c>
      <c r="L94" s="76">
        <f t="shared" si="43"/>
        <v>27795944.995485239</v>
      </c>
      <c r="M94" s="76">
        <f t="shared" si="43"/>
        <v>26628543.655282181</v>
      </c>
      <c r="N94" s="76">
        <f t="shared" si="43"/>
        <v>11851.961395349894</v>
      </c>
      <c r="O94" s="76">
        <f>SUM(O89:O93)</f>
        <v>878739.34015964274</v>
      </c>
      <c r="P94" s="76">
        <f t="shared" si="43"/>
        <v>13204414.268741865</v>
      </c>
      <c r="Q94" s="76">
        <f t="shared" si="43"/>
        <v>105067.41580864292</v>
      </c>
      <c r="R94" s="76">
        <f t="shared" si="43"/>
        <v>157447.95588671684</v>
      </c>
      <c r="S94" s="76">
        <f t="shared" si="43"/>
        <v>5211.9763571878684</v>
      </c>
      <c r="T94" s="76">
        <f t="shared" si="43"/>
        <v>12223.887738399644</v>
      </c>
      <c r="U94" s="76">
        <f t="shared" si="43"/>
        <v>0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823266661.4162755</v>
      </c>
      <c r="AB94" s="58" t="str">
        <f t="shared" si="42"/>
        <v>ok</v>
      </c>
    </row>
    <row r="95" spans="1:28">
      <c r="A95" s="44"/>
      <c r="F95" s="79"/>
    </row>
    <row r="96" spans="1:28" ht="14.1">
      <c r="A96" s="45" t="s">
        <v>613</v>
      </c>
      <c r="F96" s="79"/>
    </row>
    <row r="97" spans="1:28">
      <c r="A97" s="458" t="s">
        <v>1014</v>
      </c>
      <c r="C97" s="60" t="s">
        <v>897</v>
      </c>
      <c r="D97" s="60" t="s">
        <v>399</v>
      </c>
      <c r="E97" s="60" t="s">
        <v>1207</v>
      </c>
      <c r="F97" s="76">
        <f>VLOOKUP(C97,'Functional Assignment'!$C$2:$AP$780,'Functional Assignment'!$X$2,)</f>
        <v>82953367.650094926</v>
      </c>
      <c r="G97" s="76">
        <f t="shared" ref="G97:P98" si="44">IF(VLOOKUP($E97,$D$6:$AN$1150,3,)=0,0,(VLOOKUP($E97,$D$6:$AN$1150,G$2,)/VLOOKUP($E97,$D$6:$AN$1150,3,))*$F97)</f>
        <v>57218832.781329766</v>
      </c>
      <c r="H97" s="76">
        <f t="shared" si="44"/>
        <v>170778.76236630973</v>
      </c>
      <c r="I97" s="76">
        <f t="shared" si="44"/>
        <v>9170211.8370099068</v>
      </c>
      <c r="J97" s="76">
        <f t="shared" si="44"/>
        <v>0</v>
      </c>
      <c r="K97" s="76">
        <f t="shared" si="44"/>
        <v>8685469.6678836998</v>
      </c>
      <c r="L97" s="76">
        <f t="shared" si="44"/>
        <v>0</v>
      </c>
      <c r="M97" s="76">
        <f t="shared" si="44"/>
        <v>7245056.4378494108</v>
      </c>
      <c r="N97" s="76">
        <f t="shared" si="44"/>
        <v>0</v>
      </c>
      <c r="O97" s="76">
        <f t="shared" si="44"/>
        <v>0</v>
      </c>
      <c r="P97" s="76">
        <f t="shared" si="44"/>
        <v>439824.94721884391</v>
      </c>
      <c r="Q97" s="76">
        <f t="shared" ref="Q97:Z98" si="45">IF(VLOOKUP($E97,$D$6:$AN$1150,3,)=0,0,(VLOOKUP($E97,$D$6:$AN$1150,Q$2,)/VLOOKUP($E97,$D$6:$AN$1150,3,))*$F97)</f>
        <v>15319.111884447701</v>
      </c>
      <c r="R97" s="76">
        <f t="shared" si="45"/>
        <v>7032.1851555590883</v>
      </c>
      <c r="S97" s="76">
        <f t="shared" si="45"/>
        <v>765.29322795737778</v>
      </c>
      <c r="T97" s="76">
        <f t="shared" si="45"/>
        <v>76.626169017816721</v>
      </c>
      <c r="U97" s="76">
        <f t="shared" si="45"/>
        <v>0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82953367.650094911</v>
      </c>
      <c r="AB97" s="58" t="str">
        <f>IF(ABS(F97-AA97)&lt;0.01,"ok","err")</f>
        <v>ok</v>
      </c>
    </row>
    <row r="98" spans="1:28">
      <c r="A98" s="458" t="s">
        <v>1017</v>
      </c>
      <c r="C98" s="60" t="s">
        <v>897</v>
      </c>
      <c r="D98" s="60" t="s">
        <v>400</v>
      </c>
      <c r="E98" s="60" t="s">
        <v>1369</v>
      </c>
      <c r="F98" s="290">
        <f>VLOOKUP(C98,'Functional Assignment'!$C$2:$AP$780,'Functional Assignment'!$Y$2,)</f>
        <v>46238862.960672498</v>
      </c>
      <c r="G98" s="79">
        <f t="shared" si="44"/>
        <v>39996820.38755706</v>
      </c>
      <c r="H98" s="79">
        <f t="shared" si="44"/>
        <v>98736.997270726366</v>
      </c>
      <c r="I98" s="79">
        <f t="shared" si="44"/>
        <v>4814138.8118059346</v>
      </c>
      <c r="J98" s="79">
        <f t="shared" si="44"/>
        <v>0</v>
      </c>
      <c r="K98" s="79">
        <f t="shared" si="44"/>
        <v>295547.25830000691</v>
      </c>
      <c r="L98" s="79">
        <f t="shared" si="44"/>
        <v>0</v>
      </c>
      <c r="M98" s="79">
        <f t="shared" si="44"/>
        <v>53630.249686861403</v>
      </c>
      <c r="N98" s="79">
        <f t="shared" si="44"/>
        <v>0</v>
      </c>
      <c r="O98" s="79">
        <f t="shared" si="44"/>
        <v>0</v>
      </c>
      <c r="P98" s="79">
        <f t="shared" si="44"/>
        <v>966491.57134837692</v>
      </c>
      <c r="Q98" s="79">
        <f t="shared" si="45"/>
        <v>1709.7775273554123</v>
      </c>
      <c r="R98" s="79">
        <f t="shared" si="45"/>
        <v>10619.736194754112</v>
      </c>
      <c r="S98" s="79">
        <f t="shared" si="45"/>
        <v>106.19736194754113</v>
      </c>
      <c r="T98" s="79">
        <f t="shared" si="45"/>
        <v>1061.9736194754112</v>
      </c>
      <c r="U98" s="79">
        <f t="shared" si="45"/>
        <v>0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454">
        <f>SUM(G98:Z98)</f>
        <v>46238862.96067249</v>
      </c>
      <c r="AB98" s="58" t="str">
        <f>IF(ABS(F98-AA98)&lt;0.01,"ok","err")</f>
        <v>ok</v>
      </c>
    </row>
    <row r="99" spans="1:28">
      <c r="A99" s="44" t="s">
        <v>672</v>
      </c>
      <c r="D99" s="60" t="s">
        <v>401</v>
      </c>
      <c r="F99" s="76">
        <f>F97+F98</f>
        <v>129192230.61076742</v>
      </c>
      <c r="G99" s="76">
        <f t="shared" ref="G99:W99" si="46">G97+G98</f>
        <v>97215653.168886825</v>
      </c>
      <c r="H99" s="76">
        <f t="shared" si="46"/>
        <v>269515.75963703613</v>
      </c>
      <c r="I99" s="76">
        <f t="shared" si="46"/>
        <v>13984350.64881584</v>
      </c>
      <c r="J99" s="76">
        <f t="shared" si="46"/>
        <v>0</v>
      </c>
      <c r="K99" s="76">
        <f t="shared" si="46"/>
        <v>8981016.9261837061</v>
      </c>
      <c r="L99" s="76">
        <f t="shared" si="46"/>
        <v>0</v>
      </c>
      <c r="M99" s="76">
        <f t="shared" si="46"/>
        <v>7298686.6875362722</v>
      </c>
      <c r="N99" s="76">
        <f t="shared" si="46"/>
        <v>0</v>
      </c>
      <c r="O99" s="76">
        <f>O97+O98</f>
        <v>0</v>
      </c>
      <c r="P99" s="76">
        <f t="shared" si="46"/>
        <v>1406316.5185672208</v>
      </c>
      <c r="Q99" s="76">
        <f t="shared" si="46"/>
        <v>17028.889411803113</v>
      </c>
      <c r="R99" s="76">
        <f t="shared" si="46"/>
        <v>17651.921350313201</v>
      </c>
      <c r="S99" s="76">
        <f t="shared" si="46"/>
        <v>871.49058990491892</v>
      </c>
      <c r="T99" s="76">
        <f t="shared" si="46"/>
        <v>1138.5997884932278</v>
      </c>
      <c r="U99" s="76">
        <f t="shared" si="46"/>
        <v>0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129192230.61076741</v>
      </c>
      <c r="AB99" s="58" t="str">
        <f>IF(ABS(F99-AA99)&lt;0.01,"ok","err")</f>
        <v>ok</v>
      </c>
    </row>
    <row r="100" spans="1:28">
      <c r="A100" s="44"/>
      <c r="F100" s="79"/>
    </row>
    <row r="101" spans="1:28" ht="14.1">
      <c r="A101" s="45" t="s">
        <v>343</v>
      </c>
      <c r="F101" s="79"/>
    </row>
    <row r="102" spans="1:28">
      <c r="A102" s="458" t="s">
        <v>1017</v>
      </c>
      <c r="C102" s="60" t="s">
        <v>897</v>
      </c>
      <c r="D102" s="60" t="s">
        <v>402</v>
      </c>
      <c r="E102" s="60" t="s">
        <v>1019</v>
      </c>
      <c r="F102" s="76">
        <f>VLOOKUP(C102,'Functional Assignment'!$C$2:$AP$780,'Functional Assignment'!$Z$2,)</f>
        <v>29563786.729864359</v>
      </c>
      <c r="G102" s="76">
        <f t="shared" ref="G102:Z102" si="47">IF(VLOOKUP($E102,$D$6:$AN$1150,3,)=0,0,(VLOOKUP($E102,$D$6:$AN$1150,G$2,)/VLOOKUP($E102,$D$6:$AN$1150,3,))*$F102)</f>
        <v>25401232.559805542</v>
      </c>
      <c r="H102" s="76">
        <f t="shared" si="47"/>
        <v>62699.061153819122</v>
      </c>
      <c r="I102" s="76">
        <f t="shared" si="47"/>
        <v>3626678.4798732474</v>
      </c>
      <c r="J102" s="76">
        <f t="shared" si="47"/>
        <v>0</v>
      </c>
      <c r="K102" s="76">
        <f t="shared" si="47"/>
        <v>373035.93610055814</v>
      </c>
      <c r="L102" s="76">
        <f t="shared" si="47"/>
        <v>0</v>
      </c>
      <c r="M102" s="76">
        <f t="shared" si="47"/>
        <v>100006.62295439834</v>
      </c>
      <c r="N102" s="76">
        <f t="shared" si="47"/>
        <v>0</v>
      </c>
      <c r="O102" s="76">
        <f t="shared" si="47"/>
        <v>0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134.06997678822705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29563786.729864351</v>
      </c>
      <c r="AB102" s="58" t="str">
        <f>IF(ABS(F102-AA102)&lt;0.01,"ok","err")</f>
        <v>ok</v>
      </c>
    </row>
    <row r="103" spans="1:28">
      <c r="A103" s="44"/>
      <c r="F103" s="79"/>
    </row>
    <row r="104" spans="1:28" ht="14.1">
      <c r="A104" s="45" t="s">
        <v>342</v>
      </c>
      <c r="F104" s="79"/>
    </row>
    <row r="105" spans="1:28">
      <c r="A105" s="458" t="s">
        <v>1017</v>
      </c>
      <c r="C105" s="60" t="s">
        <v>897</v>
      </c>
      <c r="D105" s="60" t="s">
        <v>403</v>
      </c>
      <c r="E105" s="60" t="s">
        <v>1289</v>
      </c>
      <c r="F105" s="76">
        <f>VLOOKUP(C105,'Functional Assignment'!$C$2:$AP$780,'Functional Assignment'!$AA$2,)</f>
        <v>30149961.984803911</v>
      </c>
      <c r="G105" s="76">
        <f t="shared" ref="G105:Z105" si="48">IF(VLOOKUP($E105,$D$6:$AN$1150,3,)=0,0,(VLOOKUP($E105,$D$6:$AN$1150,G$2,)/VLOOKUP($E105,$D$6:$AN$1150,3,))*$F105)</f>
        <v>20463237.698221985</v>
      </c>
      <c r="H105" s="76">
        <f t="shared" si="48"/>
        <v>50510.375385334431</v>
      </c>
      <c r="I105" s="76">
        <f t="shared" si="48"/>
        <v>6373699.4619441861</v>
      </c>
      <c r="J105" s="76">
        <f t="shared" si="48"/>
        <v>208332.25048325656</v>
      </c>
      <c r="K105" s="76">
        <f t="shared" si="48"/>
        <v>1782389.3974183898</v>
      </c>
      <c r="L105" s="76">
        <f t="shared" si="48"/>
        <v>416122.19068734231</v>
      </c>
      <c r="M105" s="76">
        <f t="shared" si="48"/>
        <v>352367.34707506798</v>
      </c>
      <c r="N105" s="76">
        <f t="shared" si="48"/>
        <v>294071.22383137897</v>
      </c>
      <c r="O105" s="76">
        <f t="shared" si="48"/>
        <v>6324.3087775183194</v>
      </c>
      <c r="P105" s="76">
        <f t="shared" si="48"/>
        <v>0</v>
      </c>
      <c r="Q105" s="76">
        <f t="shared" si="48"/>
        <v>8746.6205292162867</v>
      </c>
      <c r="R105" s="76">
        <f t="shared" si="48"/>
        <v>54326.835585194334</v>
      </c>
      <c r="S105" s="76">
        <f t="shared" si="48"/>
        <v>640.59486503479536</v>
      </c>
      <c r="T105" s="76">
        <f t="shared" si="48"/>
        <v>139193.68000000005</v>
      </c>
      <c r="U105" s="76">
        <f t="shared" si="48"/>
        <v>0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30149961.984803904</v>
      </c>
      <c r="AB105" s="58" t="str">
        <f>IF(ABS(F105-AA105)&lt;0.01,"ok","err")</f>
        <v>ok</v>
      </c>
    </row>
    <row r="106" spans="1:28">
      <c r="A106" s="44"/>
      <c r="F106" s="79"/>
    </row>
    <row r="107" spans="1:28" ht="14.1">
      <c r="A107" s="45" t="s">
        <v>358</v>
      </c>
      <c r="F107" s="79"/>
    </row>
    <row r="108" spans="1:28">
      <c r="A108" s="458" t="s">
        <v>1017</v>
      </c>
      <c r="C108" s="60" t="s">
        <v>897</v>
      </c>
      <c r="D108" s="60" t="s">
        <v>404</v>
      </c>
      <c r="E108" s="60" t="s">
        <v>1365</v>
      </c>
      <c r="F108" s="76">
        <f>VLOOKUP(C108,'Functional Assignment'!$C$2:$AP$780,'Functional Assignment'!$AB$2,)</f>
        <v>97473132.05472216</v>
      </c>
      <c r="G108" s="76">
        <f t="shared" ref="G108:Z108" si="49">IF(VLOOKUP($E108,$D$6:$AN$1150,3,)=0,0,(VLOOKUP($E108,$D$6:$AN$1150,G$2,)/VLOOKUP($E108,$D$6:$AN$1150,3,))*$F108)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97473132.05472216</v>
      </c>
      <c r="Q108" s="76">
        <f t="shared" si="49"/>
        <v>0</v>
      </c>
      <c r="R108" s="76">
        <f t="shared" si="49"/>
        <v>0</v>
      </c>
      <c r="S108" s="76">
        <f t="shared" si="49"/>
        <v>0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97473132.05472216</v>
      </c>
      <c r="AB108" s="58" t="str">
        <f>IF(ABS(F108-AA108)&lt;0.01,"ok","err")</f>
        <v>ok</v>
      </c>
    </row>
    <row r="109" spans="1:28">
      <c r="A109" s="44"/>
      <c r="F109" s="79"/>
    </row>
    <row r="110" spans="1:28" ht="14.1">
      <c r="A110" s="45" t="s">
        <v>949</v>
      </c>
      <c r="F110" s="79"/>
    </row>
    <row r="111" spans="1:28">
      <c r="A111" s="458" t="s">
        <v>1017</v>
      </c>
      <c r="C111" s="60" t="s">
        <v>897</v>
      </c>
      <c r="D111" s="60" t="s">
        <v>405</v>
      </c>
      <c r="E111" s="60" t="s">
        <v>1364</v>
      </c>
      <c r="F111" s="76">
        <f>VLOOKUP(C111,'Functional Assignment'!$C$2:$AP$780,'Functional Assignment'!$AC$2,)</f>
        <v>0</v>
      </c>
      <c r="G111" s="76">
        <f t="shared" ref="G111:Z111" si="50">IF(VLOOKUP($E111,$D$6:$AN$1150,3,)=0,0,(VLOOKUP($E111,$D$6:$AN$1150,G$2,)/VLOOKUP($E111,$D$6:$AN$1150,3,))*$F111)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A112" s="44"/>
      <c r="F112" s="79"/>
    </row>
    <row r="113" spans="1:28" ht="14.1">
      <c r="A113" s="45" t="s">
        <v>340</v>
      </c>
      <c r="F113" s="79"/>
    </row>
    <row r="114" spans="1:28">
      <c r="A114" s="458" t="s">
        <v>1017</v>
      </c>
      <c r="C114" s="60" t="s">
        <v>897</v>
      </c>
      <c r="D114" s="60" t="s">
        <v>406</v>
      </c>
      <c r="E114" s="60" t="s">
        <v>1370</v>
      </c>
      <c r="F114" s="76">
        <f>VLOOKUP(C114,'Functional Assignment'!$C$2:$AP$780,'Functional Assignment'!$AD$2,)</f>
        <v>0</v>
      </c>
      <c r="G114" s="76">
        <f t="shared" ref="G114:Z114" si="51">IF(VLOOKUP($E114,$D$6:$AN$1150,3,)=0,0,(VLOOKUP($E114,$D$6:$AN$1150,G$2,)/VLOOKUP($E114,$D$6:$AN$1150,3,))*$F114)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A115" s="44"/>
      <c r="F115" s="79"/>
    </row>
    <row r="116" spans="1:28" ht="14.1">
      <c r="A116" s="45" t="s">
        <v>339</v>
      </c>
      <c r="F116" s="79"/>
    </row>
    <row r="117" spans="1:28">
      <c r="A117" s="458" t="s">
        <v>1017</v>
      </c>
      <c r="C117" s="60" t="s">
        <v>897</v>
      </c>
      <c r="D117" s="60" t="s">
        <v>407</v>
      </c>
      <c r="E117" s="60" t="s">
        <v>1370</v>
      </c>
      <c r="F117" s="76">
        <f>VLOOKUP(C117,'Functional Assignment'!$C$2:$AP$780,'Functional Assignment'!$AE$2,)</f>
        <v>0</v>
      </c>
      <c r="G117" s="76">
        <f t="shared" ref="G117:Z117" si="52">IF(VLOOKUP($E117,$D$6:$AN$1150,3,)=0,0,(VLOOKUP($E117,$D$6:$AN$1150,G$2,)/VLOOKUP($E117,$D$6:$AN$1150,3,))*$F117)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A118" s="44"/>
      <c r="F118" s="79"/>
    </row>
    <row r="119" spans="1:28">
      <c r="A119" s="44" t="s">
        <v>846</v>
      </c>
      <c r="D119" s="60" t="s">
        <v>408</v>
      </c>
      <c r="F119" s="76">
        <f>F74+F80+F83+F86+F94+F99+F102+F105+F108+F111+F114+F117</f>
        <v>4185367363.7841148</v>
      </c>
      <c r="G119" s="76">
        <f t="shared" ref="G119:Y119" si="53">G74+G80+G83+G86+G94+G99+G102+G105+G108+G111+G114+G117</f>
        <v>2127353398.9894586</v>
      </c>
      <c r="H119" s="76">
        <f t="shared" si="53"/>
        <v>4898782.9448638558</v>
      </c>
      <c r="I119" s="76">
        <f t="shared" si="53"/>
        <v>488359161.87882209</v>
      </c>
      <c r="J119" s="76">
        <f t="shared" si="53"/>
        <v>27373046.133990157</v>
      </c>
      <c r="K119" s="76">
        <f t="shared" si="53"/>
        <v>470196934.91834599</v>
      </c>
      <c r="L119" s="76">
        <f t="shared" si="53"/>
        <v>398686256.65422392</v>
      </c>
      <c r="M119" s="76">
        <f t="shared" si="53"/>
        <v>355670361.07813758</v>
      </c>
      <c r="N119" s="76">
        <f t="shared" si="53"/>
        <v>171152002.77908507</v>
      </c>
      <c r="O119" s="76">
        <f>O74+O80+O83+O86+O94+O99+O102+O105+O108+O111+O114+O117</f>
        <v>11708024.756402541</v>
      </c>
      <c r="P119" s="76">
        <f t="shared" si="53"/>
        <v>125887043.12087178</v>
      </c>
      <c r="Q119" s="76">
        <f t="shared" si="53"/>
        <v>611607.97645868384</v>
      </c>
      <c r="R119" s="76">
        <f t="shared" si="53"/>
        <v>738763.73806163645</v>
      </c>
      <c r="S119" s="76">
        <f t="shared" si="53"/>
        <v>15595.990208064643</v>
      </c>
      <c r="T119" s="76">
        <f t="shared" si="53"/>
        <v>157319.85518546309</v>
      </c>
      <c r="U119" s="76">
        <f t="shared" si="53"/>
        <v>2486734.1800000006</v>
      </c>
      <c r="V119" s="76">
        <f t="shared" si="53"/>
        <v>72328.790000000008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4185367363.7841153</v>
      </c>
      <c r="AB119" s="58" t="str">
        <f>IF(ABS(F119-AA119)&lt;0.01,"ok","err")</f>
        <v>ok</v>
      </c>
    </row>
    <row r="120" spans="1:28">
      <c r="A120" s="44"/>
    </row>
    <row r="121" spans="1:28">
      <c r="A121" s="44"/>
    </row>
    <row r="122" spans="1:28" ht="14.1">
      <c r="A122" s="45" t="s">
        <v>1026</v>
      </c>
    </row>
    <row r="123" spans="1:28">
      <c r="A123" s="44"/>
    </row>
    <row r="124" spans="1:28" ht="14.1">
      <c r="A124" s="45" t="s">
        <v>352</v>
      </c>
    </row>
    <row r="125" spans="1:28">
      <c r="A125" s="458" t="s">
        <v>1441</v>
      </c>
      <c r="C125" s="60" t="s">
        <v>908</v>
      </c>
      <c r="D125" s="44" t="s">
        <v>1434</v>
      </c>
      <c r="E125" s="44" t="s">
        <v>1420</v>
      </c>
      <c r="F125" s="76">
        <f>VLOOKUP(C125,'Functional Assignment'!$C$2:$AP$780,'Functional Assignment'!$H$2,)</f>
        <v>2009588145.2784369</v>
      </c>
      <c r="G125" s="76">
        <f t="shared" ref="G125:P130" si="54">IF(VLOOKUP($E125,$D$6:$AN$1150,3,)=0,0,(VLOOKUP($E125,$D$6:$AN$1150,G$2,)/VLOOKUP($E125,$D$6:$AN$1150,3,))*$F125)</f>
        <v>877696322.81446397</v>
      </c>
      <c r="H125" s="76">
        <f t="shared" si="54"/>
        <v>1645546.2246159038</v>
      </c>
      <c r="I125" s="76">
        <f t="shared" si="54"/>
        <v>245587138.06649747</v>
      </c>
      <c r="J125" s="76">
        <f t="shared" si="54"/>
        <v>16642024.782784197</v>
      </c>
      <c r="K125" s="76">
        <f t="shared" si="54"/>
        <v>273795525.39964962</v>
      </c>
      <c r="L125" s="76">
        <f t="shared" si="54"/>
        <v>247146897.23319376</v>
      </c>
      <c r="M125" s="76">
        <f t="shared" si="54"/>
        <v>210269253.16116762</v>
      </c>
      <c r="N125" s="76">
        <f t="shared" si="54"/>
        <v>119465139.07929438</v>
      </c>
      <c r="O125" s="76">
        <f t="shared" si="54"/>
        <v>7091582.6554043312</v>
      </c>
      <c r="P125" s="76">
        <f t="shared" si="54"/>
        <v>7268136.8099790653</v>
      </c>
      <c r="Q125" s="76">
        <f t="shared" ref="Q125:Z130" si="55">IF(VLOOKUP($E125,$D$6:$AN$1150,3,)=0,0,(VLOOKUP($E125,$D$6:$AN$1150,Q$2,)/VLOOKUP($E125,$D$6:$AN$1150,3,))*$F125)</f>
        <v>253149.35336794783</v>
      </c>
      <c r="R125" s="76">
        <f t="shared" si="55"/>
        <v>348621.996820995</v>
      </c>
      <c r="S125" s="76">
        <f t="shared" si="55"/>
        <v>343.43971646067638</v>
      </c>
      <c r="T125" s="76">
        <f t="shared" si="55"/>
        <v>3165.6314811592501</v>
      </c>
      <c r="U125" s="76">
        <f t="shared" si="55"/>
        <v>2314621.8400000003</v>
      </c>
      <c r="V125" s="76">
        <f t="shared" si="55"/>
        <v>60676.790000000008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2009588145.2784369</v>
      </c>
      <c r="AB125" s="58" t="str">
        <f t="shared" ref="AB125:AB131" si="57">IF(ABS(F125-AA125)&lt;0.01,"ok","err")</f>
        <v>ok</v>
      </c>
    </row>
    <row r="126" spans="1:28" hidden="1">
      <c r="A126" s="458" t="s">
        <v>1256</v>
      </c>
      <c r="C126" s="60" t="s">
        <v>908</v>
      </c>
      <c r="D126" s="44" t="s">
        <v>409</v>
      </c>
      <c r="E126" s="44" t="s">
        <v>1417</v>
      </c>
      <c r="F126" s="79">
        <f>VLOOKUP(C126,'Functional Assignment'!$C$2:$AP$780,'Functional Assignment'!$I$2,)</f>
        <v>0</v>
      </c>
      <c r="G126" s="79">
        <f t="shared" si="54"/>
        <v>0</v>
      </c>
      <c r="H126" s="79">
        <f t="shared" si="54"/>
        <v>0</v>
      </c>
      <c r="I126" s="79">
        <f t="shared" si="54"/>
        <v>0</v>
      </c>
      <c r="J126" s="79">
        <f t="shared" si="54"/>
        <v>0</v>
      </c>
      <c r="K126" s="79">
        <f t="shared" si="54"/>
        <v>0</v>
      </c>
      <c r="L126" s="79">
        <f t="shared" si="54"/>
        <v>0</v>
      </c>
      <c r="M126" s="79">
        <f t="shared" si="54"/>
        <v>0</v>
      </c>
      <c r="N126" s="79">
        <f t="shared" si="54"/>
        <v>0</v>
      </c>
      <c r="O126" s="79">
        <f t="shared" si="54"/>
        <v>0</v>
      </c>
      <c r="P126" s="79">
        <f t="shared" si="54"/>
        <v>0</v>
      </c>
      <c r="Q126" s="79">
        <f t="shared" si="55"/>
        <v>0</v>
      </c>
      <c r="R126" s="79">
        <f t="shared" si="55"/>
        <v>0</v>
      </c>
      <c r="S126" s="79">
        <f t="shared" si="55"/>
        <v>0</v>
      </c>
      <c r="T126" s="79">
        <f t="shared" si="55"/>
        <v>0</v>
      </c>
      <c r="U126" s="79">
        <f t="shared" si="55"/>
        <v>0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0</v>
      </c>
      <c r="AB126" s="58" t="str">
        <f t="shared" si="57"/>
        <v>ok</v>
      </c>
    </row>
    <row r="127" spans="1:28" hidden="1">
      <c r="A127" s="458" t="s">
        <v>1256</v>
      </c>
      <c r="C127" s="60" t="s">
        <v>908</v>
      </c>
      <c r="D127" s="44" t="s">
        <v>410</v>
      </c>
      <c r="E127" s="44" t="s">
        <v>1417</v>
      </c>
      <c r="F127" s="79">
        <f>VLOOKUP(C127,'Functional Assignment'!$C$2:$AP$780,'Functional Assignment'!$J$2,)</f>
        <v>0</v>
      </c>
      <c r="G127" s="79">
        <f t="shared" si="54"/>
        <v>0</v>
      </c>
      <c r="H127" s="79">
        <f t="shared" si="54"/>
        <v>0</v>
      </c>
      <c r="I127" s="79">
        <f t="shared" si="54"/>
        <v>0</v>
      </c>
      <c r="J127" s="79">
        <f t="shared" si="54"/>
        <v>0</v>
      </c>
      <c r="K127" s="79">
        <f t="shared" si="54"/>
        <v>0</v>
      </c>
      <c r="L127" s="79">
        <f t="shared" si="54"/>
        <v>0</v>
      </c>
      <c r="M127" s="79">
        <f t="shared" si="54"/>
        <v>0</v>
      </c>
      <c r="N127" s="79">
        <f t="shared" si="54"/>
        <v>0</v>
      </c>
      <c r="O127" s="79">
        <f t="shared" si="54"/>
        <v>0</v>
      </c>
      <c r="P127" s="79">
        <f t="shared" si="54"/>
        <v>0</v>
      </c>
      <c r="Q127" s="79">
        <f t="shared" si="55"/>
        <v>0</v>
      </c>
      <c r="R127" s="79">
        <f t="shared" si="55"/>
        <v>0</v>
      </c>
      <c r="S127" s="79">
        <f t="shared" si="55"/>
        <v>0</v>
      </c>
      <c r="T127" s="79">
        <f t="shared" si="55"/>
        <v>0</v>
      </c>
      <c r="U127" s="79">
        <f t="shared" si="55"/>
        <v>0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0</v>
      </c>
      <c r="AB127" s="58" t="str">
        <f t="shared" si="57"/>
        <v>ok</v>
      </c>
    </row>
    <row r="128" spans="1:28">
      <c r="A128" s="458" t="s">
        <v>1160</v>
      </c>
      <c r="C128" s="60" t="s">
        <v>908</v>
      </c>
      <c r="D128" s="44" t="s">
        <v>411</v>
      </c>
      <c r="E128" s="44" t="s">
        <v>1015</v>
      </c>
      <c r="F128" s="79">
        <f>VLOOKUP(C128,'Functional Assignment'!$C$2:$AP$780,'Functional Assignment'!$K$2,)</f>
        <v>78365698.835726827</v>
      </c>
      <c r="G128" s="79">
        <f t="shared" si="54"/>
        <v>28092693.148098722</v>
      </c>
      <c r="H128" s="79">
        <f t="shared" si="54"/>
        <v>75472.225527909322</v>
      </c>
      <c r="I128" s="79">
        <f t="shared" si="54"/>
        <v>8327707.1263278788</v>
      </c>
      <c r="J128" s="79">
        <f t="shared" si="54"/>
        <v>705536.78388060012</v>
      </c>
      <c r="K128" s="79">
        <f t="shared" si="54"/>
        <v>10496680.563933097</v>
      </c>
      <c r="L128" s="79">
        <f t="shared" si="54"/>
        <v>13568786.402307633</v>
      </c>
      <c r="M128" s="79">
        <f t="shared" si="54"/>
        <v>8961060.6950090025</v>
      </c>
      <c r="N128" s="79">
        <f t="shared" si="54"/>
        <v>7018768.0220372546</v>
      </c>
      <c r="O128" s="79">
        <f t="shared" si="54"/>
        <v>383711.43889834936</v>
      </c>
      <c r="P128" s="79">
        <f t="shared" si="54"/>
        <v>688716.57683398772</v>
      </c>
      <c r="Q128" s="79">
        <f t="shared" si="55"/>
        <v>23988.012421066487</v>
      </c>
      <c r="R128" s="79">
        <f t="shared" si="55"/>
        <v>22370.532809832133</v>
      </c>
      <c r="S128" s="79">
        <f t="shared" si="55"/>
        <v>80.349102657345725</v>
      </c>
      <c r="T128" s="79">
        <f t="shared" si="55"/>
        <v>126.95853883087094</v>
      </c>
      <c r="U128" s="79">
        <f t="shared" si="55"/>
        <v>0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78365698.835726842</v>
      </c>
      <c r="AB128" s="58" t="str">
        <f t="shared" si="57"/>
        <v>ok</v>
      </c>
    </row>
    <row r="129" spans="1:28" hidden="1">
      <c r="A129" s="458" t="s">
        <v>1161</v>
      </c>
      <c r="C129" s="60" t="s">
        <v>908</v>
      </c>
      <c r="D129" s="44" t="s">
        <v>412</v>
      </c>
      <c r="E129" s="44" t="s">
        <v>1015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458" t="s">
        <v>1161</v>
      </c>
      <c r="C130" s="60" t="s">
        <v>908</v>
      </c>
      <c r="D130" s="44" t="s">
        <v>413</v>
      </c>
      <c r="E130" s="44" t="s">
        <v>1015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44" t="s">
        <v>374</v>
      </c>
      <c r="D131" s="44" t="s">
        <v>1027</v>
      </c>
      <c r="E131" s="44"/>
      <c r="F131" s="76">
        <f>SUM(F125:F130)</f>
        <v>2087953844.1141636</v>
      </c>
      <c r="G131" s="76">
        <f t="shared" ref="G131:P131" si="58">SUM(G125:G130)</f>
        <v>905789015.96256268</v>
      </c>
      <c r="H131" s="76">
        <f t="shared" si="58"/>
        <v>1721018.4501438132</v>
      </c>
      <c r="I131" s="76">
        <f t="shared" si="58"/>
        <v>253914845.19282535</v>
      </c>
      <c r="J131" s="76">
        <f t="shared" si="58"/>
        <v>17347561.566664796</v>
      </c>
      <c r="K131" s="76">
        <f t="shared" si="58"/>
        <v>284292205.96358269</v>
      </c>
      <c r="L131" s="76">
        <f t="shared" si="58"/>
        <v>260715683.63550138</v>
      </c>
      <c r="M131" s="76">
        <f t="shared" si="58"/>
        <v>219230313.85617661</v>
      </c>
      <c r="N131" s="76">
        <f t="shared" si="58"/>
        <v>126483907.10133164</v>
      </c>
      <c r="O131" s="76">
        <f>SUM(O125:O130)</f>
        <v>7475294.0943026803</v>
      </c>
      <c r="P131" s="76">
        <f t="shared" si="58"/>
        <v>7956853.3868130529</v>
      </c>
      <c r="Q131" s="76">
        <f t="shared" ref="Q131:W131" si="59">SUM(Q125:Q130)</f>
        <v>277137.36578901432</v>
      </c>
      <c r="R131" s="76">
        <f t="shared" si="59"/>
        <v>370992.52963082714</v>
      </c>
      <c r="S131" s="76">
        <f t="shared" si="59"/>
        <v>423.7888191180221</v>
      </c>
      <c r="T131" s="76">
        <f t="shared" si="59"/>
        <v>3292.5900199901212</v>
      </c>
      <c r="U131" s="76">
        <f t="shared" si="59"/>
        <v>2314621.8400000003</v>
      </c>
      <c r="V131" s="76">
        <f t="shared" si="59"/>
        <v>60676.790000000008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2087953844.1141636</v>
      </c>
      <c r="AB131" s="58" t="str">
        <f t="shared" si="57"/>
        <v>ok</v>
      </c>
    </row>
    <row r="132" spans="1:28">
      <c r="A132" s="44"/>
      <c r="F132" s="79"/>
      <c r="G132" s="79"/>
    </row>
    <row r="133" spans="1:28" ht="14.1">
      <c r="A133" s="45" t="s">
        <v>1055</v>
      </c>
      <c r="F133" s="79"/>
      <c r="G133" s="79"/>
    </row>
    <row r="134" spans="1:28">
      <c r="A134" s="458" t="s">
        <v>1225</v>
      </c>
      <c r="C134" s="60" t="s">
        <v>908</v>
      </c>
      <c r="D134" s="60" t="s">
        <v>414</v>
      </c>
      <c r="E134" s="60" t="s">
        <v>1229</v>
      </c>
      <c r="F134" s="76">
        <f>VLOOKUP(C134,'Functional Assignment'!$C$2:$AP$780,'Functional Assignment'!$N$2,)</f>
        <v>346878037.48055124</v>
      </c>
      <c r="G134" s="76">
        <f t="shared" ref="G134:P136" si="60">IF(VLOOKUP($E134,$D$6:$AN$1150,3,)=0,0,(VLOOKUP($E134,$D$6:$AN$1150,G$2,)/VLOOKUP($E134,$D$6:$AN$1150,3,))*$F134)</f>
        <v>163636131.76868039</v>
      </c>
      <c r="H134" s="76">
        <f t="shared" si="60"/>
        <v>501782.3069340756</v>
      </c>
      <c r="I134" s="76">
        <f t="shared" si="60"/>
        <v>40082952.396583527</v>
      </c>
      <c r="J134" s="76">
        <f t="shared" si="60"/>
        <v>2631170.7880544295</v>
      </c>
      <c r="K134" s="76">
        <f t="shared" si="60"/>
        <v>44599966.325857781</v>
      </c>
      <c r="L134" s="76">
        <f t="shared" si="60"/>
        <v>37402607.781119116</v>
      </c>
      <c r="M134" s="76">
        <f t="shared" si="60"/>
        <v>35410528.99439095</v>
      </c>
      <c r="N134" s="76">
        <f t="shared" si="60"/>
        <v>18465968.32186741</v>
      </c>
      <c r="O134" s="76">
        <f t="shared" si="60"/>
        <v>1186636.017673251</v>
      </c>
      <c r="P134" s="76">
        <f t="shared" si="60"/>
        <v>2812007.6438632188</v>
      </c>
      <c r="Q134" s="76">
        <f t="shared" ref="Q134:Z136" si="61">IF(VLOOKUP($E134,$D$6:$AN$1150,3,)=0,0,(VLOOKUP($E134,$D$6:$AN$1150,Q$2,)/VLOOKUP($E134,$D$6:$AN$1150,3,))*$F134)</f>
        <v>97942.283603182572</v>
      </c>
      <c r="R134" s="76">
        <f t="shared" si="61"/>
        <v>44960.065443159998</v>
      </c>
      <c r="S134" s="76">
        <f t="shared" si="61"/>
        <v>4892.8793612567106</v>
      </c>
      <c r="T134" s="76">
        <f t="shared" si="61"/>
        <v>489.90711954963842</v>
      </c>
      <c r="U134" s="76">
        <f t="shared" si="61"/>
        <v>0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346878037.48055136</v>
      </c>
      <c r="AB134" s="58" t="str">
        <f>IF(ABS(F134-AA134)&lt;0.01,"ok","err")</f>
        <v>ok</v>
      </c>
    </row>
    <row r="135" spans="1:28" hidden="1">
      <c r="A135" s="458" t="s">
        <v>1226</v>
      </c>
      <c r="C135" s="60" t="s">
        <v>908</v>
      </c>
      <c r="D135" s="60" t="s">
        <v>415</v>
      </c>
      <c r="E135" s="60" t="s">
        <v>1229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458" t="s">
        <v>1226</v>
      </c>
      <c r="C136" s="60" t="s">
        <v>908</v>
      </c>
      <c r="D136" s="60" t="s">
        <v>416</v>
      </c>
      <c r="E136" s="60" t="s">
        <v>1229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44" t="s">
        <v>1057</v>
      </c>
      <c r="D137" s="60" t="s">
        <v>417</v>
      </c>
      <c r="F137" s="76">
        <f>SUM(F134:F136)</f>
        <v>346878037.48055124</v>
      </c>
      <c r="G137" s="76">
        <f t="shared" ref="G137:W137" si="62">SUM(G134:G136)</f>
        <v>163636131.76868039</v>
      </c>
      <c r="H137" s="76">
        <f t="shared" si="62"/>
        <v>501782.3069340756</v>
      </c>
      <c r="I137" s="76">
        <f t="shared" si="62"/>
        <v>40082952.396583527</v>
      </c>
      <c r="J137" s="76">
        <f t="shared" si="62"/>
        <v>2631170.7880544295</v>
      </c>
      <c r="K137" s="76">
        <f t="shared" si="62"/>
        <v>44599966.325857781</v>
      </c>
      <c r="L137" s="76">
        <f t="shared" si="62"/>
        <v>37402607.781119116</v>
      </c>
      <c r="M137" s="76">
        <f t="shared" si="62"/>
        <v>35410528.99439095</v>
      </c>
      <c r="N137" s="76">
        <f t="shared" si="62"/>
        <v>18465968.32186741</v>
      </c>
      <c r="O137" s="76">
        <f>SUM(O134:O136)</f>
        <v>1186636.017673251</v>
      </c>
      <c r="P137" s="76">
        <f t="shared" si="62"/>
        <v>2812007.6438632188</v>
      </c>
      <c r="Q137" s="76">
        <f t="shared" si="62"/>
        <v>97942.283603182572</v>
      </c>
      <c r="R137" s="76">
        <f t="shared" si="62"/>
        <v>44960.065443159998</v>
      </c>
      <c r="S137" s="76">
        <f t="shared" si="62"/>
        <v>4892.8793612567106</v>
      </c>
      <c r="T137" s="76">
        <f t="shared" si="62"/>
        <v>489.90711954963842</v>
      </c>
      <c r="U137" s="76">
        <f t="shared" si="62"/>
        <v>0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346878037.48055136</v>
      </c>
      <c r="AB137" s="58" t="str">
        <f>IF(ABS(F137-AA137)&lt;0.01,"ok","err")</f>
        <v>ok</v>
      </c>
    </row>
    <row r="138" spans="1:28">
      <c r="A138" s="44"/>
      <c r="F138" s="79"/>
      <c r="G138" s="79"/>
    </row>
    <row r="139" spans="1:28" ht="14.1">
      <c r="A139" s="45" t="s">
        <v>337</v>
      </c>
      <c r="F139" s="79"/>
      <c r="G139" s="79"/>
    </row>
    <row r="140" spans="1:28">
      <c r="A140" s="458" t="s">
        <v>359</v>
      </c>
      <c r="C140" s="60" t="s">
        <v>908</v>
      </c>
      <c r="D140" s="60" t="s">
        <v>418</v>
      </c>
      <c r="E140" s="60" t="s">
        <v>1230</v>
      </c>
      <c r="F140" s="76">
        <f>VLOOKUP(C140,'Functional Assignment'!$C$2:$AP$780,'Functional Assignment'!$Q$2,)</f>
        <v>0</v>
      </c>
      <c r="G140" s="76">
        <f t="shared" ref="G140:Z140" si="63">IF(VLOOKUP($E140,$D$6:$AN$1150,3,)=0,0,(VLOOKUP($E140,$D$6:$AN$1150,G$2,)/VLOOKUP($E140,$D$6:$AN$1150,3,))*$F140)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A141" s="44"/>
      <c r="F141" s="79"/>
    </row>
    <row r="142" spans="1:28" ht="14.1">
      <c r="A142" s="45" t="s">
        <v>338</v>
      </c>
      <c r="F142" s="79"/>
      <c r="G142" s="79"/>
    </row>
    <row r="143" spans="1:28">
      <c r="A143" s="458" t="s">
        <v>361</v>
      </c>
      <c r="C143" s="60" t="s">
        <v>908</v>
      </c>
      <c r="D143" s="60" t="s">
        <v>419</v>
      </c>
      <c r="E143" s="60" t="s">
        <v>1230</v>
      </c>
      <c r="F143" s="76">
        <f>VLOOKUP(C143,'Functional Assignment'!$C$2:$AP$780,'Functional Assignment'!$R$2,)</f>
        <v>127246319.14306201</v>
      </c>
      <c r="G143" s="76">
        <f t="shared" ref="G143:Z143" si="64">IF(VLOOKUP($E143,$D$6:$AN$1150,3,)=0,0,(VLOOKUP($E143,$D$6:$AN$1150,G$2,)/VLOOKUP($E143,$D$6:$AN$1150,3,))*$F143)</f>
        <v>63402345.412320174</v>
      </c>
      <c r="H143" s="76">
        <f t="shared" si="64"/>
        <v>194420.23471318875</v>
      </c>
      <c r="I143" s="76">
        <f t="shared" si="64"/>
        <v>15530513.74122121</v>
      </c>
      <c r="J143" s="76">
        <f t="shared" si="64"/>
        <v>1019471.6615451248</v>
      </c>
      <c r="K143" s="76">
        <f t="shared" si="64"/>
        <v>17280672.91621903</v>
      </c>
      <c r="L143" s="76">
        <f t="shared" si="64"/>
        <v>14491989.221624535</v>
      </c>
      <c r="M143" s="76">
        <f t="shared" si="64"/>
        <v>13720139.716508888</v>
      </c>
      <c r="N143" s="76">
        <f t="shared" si="64"/>
        <v>0</v>
      </c>
      <c r="O143" s="76">
        <f t="shared" si="64"/>
        <v>459773.19225300488</v>
      </c>
      <c r="P143" s="76">
        <f t="shared" si="64"/>
        <v>1089538.5879099858</v>
      </c>
      <c r="Q143" s="76">
        <f t="shared" si="64"/>
        <v>37948.651244449313</v>
      </c>
      <c r="R143" s="76">
        <f t="shared" si="64"/>
        <v>17420.196677695752</v>
      </c>
      <c r="S143" s="76">
        <f t="shared" si="64"/>
        <v>1895.7917421425257</v>
      </c>
      <c r="T143" s="76">
        <f t="shared" si="64"/>
        <v>189.81908260670625</v>
      </c>
      <c r="U143" s="76">
        <f t="shared" si="64"/>
        <v>0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127246319.14306204</v>
      </c>
      <c r="AB143" s="58" t="str">
        <f>IF(ABS(F143-AA143)&lt;0.01,"ok","err")</f>
        <v>ok</v>
      </c>
    </row>
    <row r="144" spans="1:28">
      <c r="A144" s="44"/>
      <c r="F144" s="79"/>
    </row>
    <row r="145" spans="1:28" ht="14.1">
      <c r="A145" s="45" t="s">
        <v>360</v>
      </c>
      <c r="F145" s="79"/>
    </row>
    <row r="146" spans="1:28">
      <c r="A146" s="458" t="s">
        <v>603</v>
      </c>
      <c r="C146" s="60" t="s">
        <v>908</v>
      </c>
      <c r="D146" s="60" t="s">
        <v>420</v>
      </c>
      <c r="E146" s="60" t="s">
        <v>1230</v>
      </c>
      <c r="F146" s="76">
        <f>VLOOKUP(C146,'Functional Assignment'!$C$2:$AP$780,'Functional Assignment'!$S$2,)</f>
        <v>0</v>
      </c>
      <c r="G146" s="76">
        <f t="shared" ref="G146:P150" si="65">IF(VLOOKUP($E146,$D$6:$AN$1150,3,)=0,0,(VLOOKUP($E146,$D$6:$AN$1150,G$2,)/VLOOKUP($E146,$D$6:$AN$1150,3,))*$F146)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IF(VLOOKUP($E146,$D$6:$AN$1150,3,)=0,0,(VLOOKUP($E146,$D$6:$AN$1150,Q$2,)/VLOOKUP($E146,$D$6:$AN$1150,3,))*$F146)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458" t="s">
        <v>604</v>
      </c>
      <c r="C147" s="60" t="s">
        <v>908</v>
      </c>
      <c r="D147" s="60" t="s">
        <v>421</v>
      </c>
      <c r="E147" s="60" t="s">
        <v>1230</v>
      </c>
      <c r="F147" s="79">
        <f>VLOOKUP(C147,'Functional Assignment'!$C$2:$AP$780,'Functional Assignment'!$T$2,)</f>
        <v>194814176.9478766</v>
      </c>
      <c r="G147" s="79">
        <f t="shared" si="65"/>
        <v>97069021.888006404</v>
      </c>
      <c r="H147" s="79">
        <f t="shared" si="65"/>
        <v>297657.47459523269</v>
      </c>
      <c r="I147" s="79">
        <f t="shared" si="65"/>
        <v>23777224.146437433</v>
      </c>
      <c r="J147" s="79">
        <f t="shared" si="65"/>
        <v>1560811.6132797906</v>
      </c>
      <c r="K147" s="79">
        <f t="shared" si="65"/>
        <v>26456718.700787891</v>
      </c>
      <c r="L147" s="79">
        <f t="shared" si="65"/>
        <v>22187242.598146442</v>
      </c>
      <c r="M147" s="79">
        <f t="shared" si="65"/>
        <v>21005540.627673931</v>
      </c>
      <c r="N147" s="79">
        <f t="shared" si="65"/>
        <v>0</v>
      </c>
      <c r="O147" s="79">
        <f t="shared" si="65"/>
        <v>703912.98258901911</v>
      </c>
      <c r="P147" s="79">
        <f t="shared" si="65"/>
        <v>1668084.1118712137</v>
      </c>
      <c r="Q147" s="79">
        <f t="shared" si="66"/>
        <v>58099.403646855892</v>
      </c>
      <c r="R147" s="79">
        <f t="shared" si="66"/>
        <v>26670.329647963503</v>
      </c>
      <c r="S147" s="79">
        <f t="shared" si="66"/>
        <v>2902.4580859965445</v>
      </c>
      <c r="T147" s="79">
        <f t="shared" si="66"/>
        <v>290.61310846603573</v>
      </c>
      <c r="U147" s="79">
        <f t="shared" si="66"/>
        <v>0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194814176.9478766</v>
      </c>
      <c r="AB147" s="58" t="str">
        <f t="shared" si="68"/>
        <v>ok</v>
      </c>
    </row>
    <row r="148" spans="1:28">
      <c r="A148" s="458" t="s">
        <v>605</v>
      </c>
      <c r="C148" s="60" t="s">
        <v>908</v>
      </c>
      <c r="D148" s="60" t="s">
        <v>422</v>
      </c>
      <c r="E148" s="60" t="s">
        <v>1368</v>
      </c>
      <c r="F148" s="79">
        <f>VLOOKUP(C148,'Functional Assignment'!$C$2:$AP$780,'Functional Assignment'!$U$2,)</f>
        <v>318901473.53138095</v>
      </c>
      <c r="G148" s="79">
        <f t="shared" si="65"/>
        <v>275713772.48410732</v>
      </c>
      <c r="H148" s="79">
        <f t="shared" si="65"/>
        <v>680632.85374889569</v>
      </c>
      <c r="I148" s="79">
        <f t="shared" si="65"/>
        <v>33185747.272003163</v>
      </c>
      <c r="J148" s="79">
        <f t="shared" si="65"/>
        <v>51244.205176039468</v>
      </c>
      <c r="K148" s="79">
        <f t="shared" si="65"/>
        <v>2037323.1857845408</v>
      </c>
      <c r="L148" s="79">
        <f t="shared" si="65"/>
        <v>96631.929760531566</v>
      </c>
      <c r="M148" s="79">
        <f t="shared" si="65"/>
        <v>369690.33734142763</v>
      </c>
      <c r="N148" s="79">
        <f t="shared" si="65"/>
        <v>9516.7809612644742</v>
      </c>
      <c r="O148" s="79">
        <f t="shared" si="65"/>
        <v>1464.120147886842</v>
      </c>
      <c r="P148" s="79">
        <f t="shared" si="65"/>
        <v>6662405.52695168</v>
      </c>
      <c r="Q148" s="79">
        <f t="shared" si="66"/>
        <v>11786.167190489081</v>
      </c>
      <c r="R148" s="79">
        <f t="shared" si="66"/>
        <v>73206.007394342101</v>
      </c>
      <c r="S148" s="79">
        <f t="shared" si="66"/>
        <v>732.060073943421</v>
      </c>
      <c r="T148" s="79">
        <f t="shared" si="66"/>
        <v>7320.6007394342096</v>
      </c>
      <c r="U148" s="79">
        <f t="shared" si="66"/>
        <v>0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318901473.53138095</v>
      </c>
      <c r="AB148" s="58" t="str">
        <f t="shared" si="68"/>
        <v>ok</v>
      </c>
    </row>
    <row r="149" spans="1:28">
      <c r="A149" s="458" t="s">
        <v>606</v>
      </c>
      <c r="C149" s="60" t="s">
        <v>908</v>
      </c>
      <c r="D149" s="60" t="s">
        <v>423</v>
      </c>
      <c r="E149" s="60" t="s">
        <v>646</v>
      </c>
      <c r="F149" s="79">
        <f>VLOOKUP(C149,'Functional Assignment'!$C$2:$AP$780,'Functional Assignment'!$V$2,)</f>
        <v>54455747.298117355</v>
      </c>
      <c r="G149" s="79">
        <f t="shared" si="65"/>
        <v>41156568.529154353</v>
      </c>
      <c r="H149" s="79">
        <f t="shared" si="65"/>
        <v>122838.36448594271</v>
      </c>
      <c r="I149" s="79">
        <f t="shared" si="65"/>
        <v>6595983.0627637198</v>
      </c>
      <c r="J149" s="79">
        <f t="shared" si="65"/>
        <v>0</v>
      </c>
      <c r="K149" s="79">
        <f t="shared" si="65"/>
        <v>6247315.9660604931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316358.87523645081</v>
      </c>
      <c r="Q149" s="79">
        <f t="shared" si="66"/>
        <v>11018.7860784846</v>
      </c>
      <c r="R149" s="79">
        <f t="shared" si="66"/>
        <v>5058.1355158105598</v>
      </c>
      <c r="S149" s="79">
        <f t="shared" si="66"/>
        <v>550.46287472684753</v>
      </c>
      <c r="T149" s="79">
        <f t="shared" si="66"/>
        <v>55.115947372791666</v>
      </c>
      <c r="U149" s="79">
        <f t="shared" si="66"/>
        <v>0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54455747.298117347</v>
      </c>
      <c r="AB149" s="58" t="str">
        <f t="shared" si="68"/>
        <v>ok</v>
      </c>
    </row>
    <row r="150" spans="1:28">
      <c r="A150" s="458" t="s">
        <v>607</v>
      </c>
      <c r="C150" s="60" t="s">
        <v>908</v>
      </c>
      <c r="D150" s="60" t="s">
        <v>424</v>
      </c>
      <c r="E150" s="60" t="s">
        <v>1367</v>
      </c>
      <c r="F150" s="79">
        <f>VLOOKUP(C150,'Functional Assignment'!$C$2:$AP$780,'Functional Assignment'!$W$2,)</f>
        <v>93072232.121397987</v>
      </c>
      <c r="G150" s="79">
        <f t="shared" si="65"/>
        <v>81082765.083211407</v>
      </c>
      <c r="H150" s="79">
        <f t="shared" si="65"/>
        <v>200162.62985781248</v>
      </c>
      <c r="I150" s="79">
        <f t="shared" si="65"/>
        <v>9759367.9340837374</v>
      </c>
      <c r="J150" s="79">
        <f t="shared" si="65"/>
        <v>15070.055488084834</v>
      </c>
      <c r="K150" s="79">
        <f t="shared" si="65"/>
        <v>0</v>
      </c>
      <c r="L150" s="79">
        <f t="shared" si="65"/>
        <v>28417.818920388541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1959300.9713073035</v>
      </c>
      <c r="Q150" s="79">
        <f t="shared" si="66"/>
        <v>3466.1127622595118</v>
      </c>
      <c r="R150" s="79">
        <f t="shared" si="66"/>
        <v>21528.650697264049</v>
      </c>
      <c r="S150" s="79">
        <f t="shared" si="66"/>
        <v>0</v>
      </c>
      <c r="T150" s="79">
        <f t="shared" si="66"/>
        <v>2152.8650697264047</v>
      </c>
      <c r="U150" s="79">
        <f t="shared" si="66"/>
        <v>0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93072232.121397987</v>
      </c>
      <c r="AB150" s="58" t="str">
        <f t="shared" si="68"/>
        <v>ok</v>
      </c>
    </row>
    <row r="151" spans="1:28">
      <c r="A151" s="44" t="s">
        <v>365</v>
      </c>
      <c r="D151" s="60" t="s">
        <v>425</v>
      </c>
      <c r="F151" s="76">
        <f>SUM(F146:F150)</f>
        <v>661243629.89877295</v>
      </c>
      <c r="G151" s="76">
        <f t="shared" ref="G151:W151" si="69">SUM(G146:G150)</f>
        <v>495022127.98447949</v>
      </c>
      <c r="H151" s="76">
        <f t="shared" si="69"/>
        <v>1301291.3226878836</v>
      </c>
      <c r="I151" s="76">
        <f t="shared" si="69"/>
        <v>73318322.415288061</v>
      </c>
      <c r="J151" s="76">
        <f t="shared" si="69"/>
        <v>1627125.8739439149</v>
      </c>
      <c r="K151" s="76">
        <f t="shared" si="69"/>
        <v>34741357.852632925</v>
      </c>
      <c r="L151" s="76">
        <f t="shared" si="69"/>
        <v>22312292.346827362</v>
      </c>
      <c r="M151" s="76">
        <f t="shared" si="69"/>
        <v>21375230.965015359</v>
      </c>
      <c r="N151" s="76">
        <f t="shared" si="69"/>
        <v>9516.7809612644742</v>
      </c>
      <c r="O151" s="76">
        <f>SUM(O146:O150)</f>
        <v>705377.10273690592</v>
      </c>
      <c r="P151" s="76">
        <f t="shared" si="69"/>
        <v>10606149.485366648</v>
      </c>
      <c r="Q151" s="76">
        <f t="shared" si="69"/>
        <v>84370.469678089081</v>
      </c>
      <c r="R151" s="76">
        <f t="shared" si="69"/>
        <v>126463.12325538021</v>
      </c>
      <c r="S151" s="76">
        <f t="shared" si="69"/>
        <v>4184.9810346668128</v>
      </c>
      <c r="T151" s="76">
        <f t="shared" si="69"/>
        <v>9819.1948649994411</v>
      </c>
      <c r="U151" s="76">
        <f t="shared" si="69"/>
        <v>0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661243629.89877295</v>
      </c>
      <c r="AB151" s="58" t="str">
        <f t="shared" si="68"/>
        <v>ok</v>
      </c>
    </row>
    <row r="152" spans="1:28">
      <c r="A152" s="44"/>
      <c r="F152" s="79"/>
    </row>
    <row r="153" spans="1:28" ht="14.1">
      <c r="A153" s="45" t="s">
        <v>613</v>
      </c>
      <c r="F153" s="79"/>
    </row>
    <row r="154" spans="1:28">
      <c r="A154" s="458" t="s">
        <v>1014</v>
      </c>
      <c r="C154" s="60" t="s">
        <v>908</v>
      </c>
      <c r="D154" s="60" t="s">
        <v>426</v>
      </c>
      <c r="E154" s="60" t="s">
        <v>1207</v>
      </c>
      <c r="F154" s="76">
        <f>VLOOKUP(C154,'Functional Assignment'!$C$2:$AP$780,'Functional Assignment'!$X$2,)</f>
        <v>66122625.303167246</v>
      </c>
      <c r="G154" s="76">
        <f t="shared" ref="G154:P155" si="70">IF(VLOOKUP($E154,$D$6:$AN$1150,3,)=0,0,(VLOOKUP($E154,$D$6:$AN$1150,G$2,)/VLOOKUP($E154,$D$6:$AN$1150,3,))*$F154)</f>
        <v>45609473.701458842</v>
      </c>
      <c r="H154" s="76">
        <f t="shared" si="70"/>
        <v>136128.77250889063</v>
      </c>
      <c r="I154" s="76">
        <f t="shared" si="70"/>
        <v>7309630.6807814231</v>
      </c>
      <c r="J154" s="76">
        <f t="shared" si="70"/>
        <v>0</v>
      </c>
      <c r="K154" s="76">
        <f t="shared" si="70"/>
        <v>6923239.7996664224</v>
      </c>
      <c r="L154" s="76">
        <f t="shared" si="70"/>
        <v>0</v>
      </c>
      <c r="M154" s="76">
        <f t="shared" si="70"/>
        <v>5775077.802277362</v>
      </c>
      <c r="N154" s="76">
        <f t="shared" si="70"/>
        <v>0</v>
      </c>
      <c r="O154" s="76">
        <f t="shared" si="70"/>
        <v>0</v>
      </c>
      <c r="P154" s="76">
        <f t="shared" si="70"/>
        <v>350587.09498822433</v>
      </c>
      <c r="Q154" s="76">
        <f t="shared" ref="Q154:Z155" si="71">IF(VLOOKUP($E154,$D$6:$AN$1150,3,)=0,0,(VLOOKUP($E154,$D$6:$AN$1150,Q$2,)/VLOOKUP($E154,$D$6:$AN$1150,3,))*$F154)</f>
        <v>12210.955670724628</v>
      </c>
      <c r="R154" s="76">
        <f t="shared" si="71"/>
        <v>5605.396830480533</v>
      </c>
      <c r="S154" s="76">
        <f t="shared" si="71"/>
        <v>610.01980742633714</v>
      </c>
      <c r="T154" s="76">
        <f t="shared" si="71"/>
        <v>61.079177445262644</v>
      </c>
      <c r="U154" s="76">
        <f t="shared" si="71"/>
        <v>0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66122625.303167239</v>
      </c>
      <c r="AB154" s="58" t="str">
        <f>IF(ABS(F154-AA154)&lt;0.01,"ok","err")</f>
        <v>ok</v>
      </c>
    </row>
    <row r="155" spans="1:28">
      <c r="A155" s="458" t="s">
        <v>1017</v>
      </c>
      <c r="C155" s="60" t="s">
        <v>908</v>
      </c>
      <c r="D155" s="60" t="s">
        <v>427</v>
      </c>
      <c r="E155" s="60" t="s">
        <v>1369</v>
      </c>
      <c r="F155" s="79">
        <f>VLOOKUP(C155,'Functional Assignment'!$C$2:$AP$780,'Functional Assignment'!$Y$2,)</f>
        <v>36857274.11199981</v>
      </c>
      <c r="G155" s="79">
        <f t="shared" si="70"/>
        <v>31881704.65797225</v>
      </c>
      <c r="H155" s="79">
        <f t="shared" si="70"/>
        <v>78703.8508385936</v>
      </c>
      <c r="I155" s="79">
        <f t="shared" si="70"/>
        <v>3837378.8289487762</v>
      </c>
      <c r="J155" s="79">
        <f t="shared" si="70"/>
        <v>0</v>
      </c>
      <c r="K155" s="79">
        <f t="shared" si="70"/>
        <v>235582.486564997</v>
      </c>
      <c r="L155" s="79">
        <f t="shared" si="70"/>
        <v>0</v>
      </c>
      <c r="M155" s="79">
        <f t="shared" si="70"/>
        <v>42748.992661970377</v>
      </c>
      <c r="N155" s="79">
        <f t="shared" si="70"/>
        <v>0</v>
      </c>
      <c r="O155" s="79">
        <f t="shared" si="70"/>
        <v>0</v>
      </c>
      <c r="P155" s="79">
        <f t="shared" si="70"/>
        <v>770396.20983808162</v>
      </c>
      <c r="Q155" s="79">
        <f t="shared" si="71"/>
        <v>1362.8738892189913</v>
      </c>
      <c r="R155" s="79">
        <f t="shared" si="71"/>
        <v>8465.0552125403174</v>
      </c>
      <c r="S155" s="79">
        <f t="shared" si="71"/>
        <v>84.650552125403166</v>
      </c>
      <c r="T155" s="79">
        <f t="shared" si="71"/>
        <v>846.50552125403158</v>
      </c>
      <c r="U155" s="79">
        <f t="shared" si="71"/>
        <v>0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36857274.111999802</v>
      </c>
      <c r="AB155" s="58" t="str">
        <f>IF(ABS(F155-AA155)&lt;0.01,"ok","err")</f>
        <v>ok</v>
      </c>
    </row>
    <row r="156" spans="1:28">
      <c r="A156" s="44" t="s">
        <v>672</v>
      </c>
      <c r="D156" s="60" t="s">
        <v>428</v>
      </c>
      <c r="F156" s="76">
        <f>F154+F155</f>
        <v>102979899.41516706</v>
      </c>
      <c r="G156" s="76">
        <f t="shared" ref="G156:W156" si="72">G154+G155</f>
        <v>77491178.359431088</v>
      </c>
      <c r="H156" s="76">
        <f t="shared" si="72"/>
        <v>214832.62334748422</v>
      </c>
      <c r="I156" s="76">
        <f t="shared" si="72"/>
        <v>11147009.509730199</v>
      </c>
      <c r="J156" s="76">
        <f t="shared" si="72"/>
        <v>0</v>
      </c>
      <c r="K156" s="76">
        <f t="shared" si="72"/>
        <v>7158822.2862314191</v>
      </c>
      <c r="L156" s="76">
        <f t="shared" si="72"/>
        <v>0</v>
      </c>
      <c r="M156" s="76">
        <f t="shared" si="72"/>
        <v>5817826.7949393326</v>
      </c>
      <c r="N156" s="76">
        <f t="shared" si="72"/>
        <v>0</v>
      </c>
      <c r="O156" s="76">
        <f>O154+O155</f>
        <v>0</v>
      </c>
      <c r="P156" s="76">
        <f t="shared" si="72"/>
        <v>1120983.3048263059</v>
      </c>
      <c r="Q156" s="76">
        <f t="shared" si="72"/>
        <v>13573.829559943621</v>
      </c>
      <c r="R156" s="76">
        <f t="shared" si="72"/>
        <v>14070.45204302085</v>
      </c>
      <c r="S156" s="76">
        <f t="shared" si="72"/>
        <v>694.67035955174026</v>
      </c>
      <c r="T156" s="76">
        <f t="shared" si="72"/>
        <v>907.58469869929422</v>
      </c>
      <c r="U156" s="76">
        <f t="shared" si="72"/>
        <v>0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102979899.41516705</v>
      </c>
      <c r="AB156" s="58" t="str">
        <f>IF(ABS(F156-AA156)&lt;0.01,"ok","err")</f>
        <v>ok</v>
      </c>
    </row>
    <row r="157" spans="1:28">
      <c r="A157" s="44"/>
      <c r="F157" s="79"/>
    </row>
    <row r="158" spans="1:28" ht="14.1">
      <c r="A158" s="45" t="s">
        <v>343</v>
      </c>
      <c r="F158" s="79"/>
    </row>
    <row r="159" spans="1:28">
      <c r="A159" s="458" t="s">
        <v>1017</v>
      </c>
      <c r="C159" s="60" t="s">
        <v>908</v>
      </c>
      <c r="D159" s="60" t="s">
        <v>429</v>
      </c>
      <c r="E159" s="60" t="s">
        <v>1019</v>
      </c>
      <c r="F159" s="76">
        <f>VLOOKUP(C159,'Functional Assignment'!$C$2:$AP$780,'Functional Assignment'!$Z$2,)</f>
        <v>23551953.643023651</v>
      </c>
      <c r="G159" s="76">
        <f t="shared" ref="G159:Z159" si="73">IF(VLOOKUP($E159,$D$6:$AN$1150,3,)=0,0,(VLOOKUP($E159,$D$6:$AN$1150,G$2,)/VLOOKUP($E159,$D$6:$AN$1150,3,))*$F159)</f>
        <v>20235860.0808019</v>
      </c>
      <c r="H159" s="76">
        <f t="shared" si="73"/>
        <v>49949.128481032989</v>
      </c>
      <c r="I159" s="76">
        <f t="shared" si="73"/>
        <v>2889188.8653033217</v>
      </c>
      <c r="J159" s="76">
        <f t="shared" si="73"/>
        <v>0</v>
      </c>
      <c r="K159" s="76">
        <f t="shared" si="73"/>
        <v>297178.61093035247</v>
      </c>
      <c r="L159" s="76">
        <f t="shared" si="73"/>
        <v>0</v>
      </c>
      <c r="M159" s="76">
        <f t="shared" si="73"/>
        <v>79670.150828074969</v>
      </c>
      <c r="N159" s="76">
        <f t="shared" si="73"/>
        <v>0</v>
      </c>
      <c r="O159" s="76">
        <f t="shared" si="73"/>
        <v>0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106.80667896470338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23551953.643023651</v>
      </c>
      <c r="AB159" s="58" t="str">
        <f>IF(ABS(F159-AA159)&lt;0.01,"ok","err")</f>
        <v>ok</v>
      </c>
    </row>
    <row r="160" spans="1:28">
      <c r="A160" s="44"/>
      <c r="F160" s="79"/>
    </row>
    <row r="161" spans="1:28" ht="14.1">
      <c r="A161" s="45" t="s">
        <v>342</v>
      </c>
      <c r="F161" s="79"/>
    </row>
    <row r="162" spans="1:28">
      <c r="A162" s="458" t="s">
        <v>1017</v>
      </c>
      <c r="C162" s="60" t="s">
        <v>908</v>
      </c>
      <c r="D162" s="60" t="s">
        <v>430</v>
      </c>
      <c r="E162" s="60" t="s">
        <v>1348</v>
      </c>
      <c r="F162" s="76">
        <f>VLOOKUP(C162,'Functional Assignment'!$C$2:$AP$780,'Functional Assignment'!$AA$2,)</f>
        <v>26834744.844464965</v>
      </c>
      <c r="G162" s="76">
        <f t="shared" ref="G162:Z162" si="74">IF(VLOOKUP($E162,$D$6:$AN$1150,3,)=0,0,(VLOOKUP($E162,$D$6:$AN$1150,G$2,)/VLOOKUP($E162,$D$6:$AN$1150,3,))*$F162)</f>
        <v>18225852.246749282</v>
      </c>
      <c r="H162" s="76">
        <f t="shared" si="74"/>
        <v>44987.73128071204</v>
      </c>
      <c r="I162" s="76">
        <f t="shared" si="74"/>
        <v>5676819.3954309383</v>
      </c>
      <c r="J162" s="76">
        <f t="shared" si="74"/>
        <v>185553.8635447954</v>
      </c>
      <c r="K162" s="76">
        <f t="shared" si="74"/>
        <v>1587508.5987171361</v>
      </c>
      <c r="L162" s="76">
        <f t="shared" si="74"/>
        <v>370624.71129483613</v>
      </c>
      <c r="M162" s="76">
        <f t="shared" si="74"/>
        <v>313840.61989991076</v>
      </c>
      <c r="N162" s="76">
        <f t="shared" si="74"/>
        <v>261918.40971661801</v>
      </c>
      <c r="O162" s="76">
        <f t="shared" si="74"/>
        <v>5632.8289316545306</v>
      </c>
      <c r="P162" s="76">
        <f t="shared" si="74"/>
        <v>0</v>
      </c>
      <c r="Q162" s="76">
        <f t="shared" si="74"/>
        <v>7790.2928058022471</v>
      </c>
      <c r="R162" s="76">
        <f t="shared" si="74"/>
        <v>48386.911837281034</v>
      </c>
      <c r="S162" s="76">
        <f t="shared" si="74"/>
        <v>570.55425599463808</v>
      </c>
      <c r="T162" s="76">
        <f t="shared" si="74"/>
        <v>105258.68000000004</v>
      </c>
      <c r="U162" s="76">
        <f t="shared" si="74"/>
        <v>0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26834744.844464958</v>
      </c>
      <c r="AB162" s="58" t="str">
        <f>IF(ABS(F162-AA162)&lt;0.01,"ok","err")</f>
        <v>ok</v>
      </c>
    </row>
    <row r="163" spans="1:28">
      <c r="A163" s="44"/>
      <c r="F163" s="79"/>
    </row>
    <row r="164" spans="1:28" ht="14.1">
      <c r="A164" s="45" t="s">
        <v>358</v>
      </c>
      <c r="F164" s="79"/>
    </row>
    <row r="165" spans="1:28">
      <c r="A165" s="458" t="s">
        <v>1017</v>
      </c>
      <c r="C165" s="60" t="s">
        <v>908</v>
      </c>
      <c r="D165" s="60" t="s">
        <v>431</v>
      </c>
      <c r="E165" s="60" t="s">
        <v>1365</v>
      </c>
      <c r="F165" s="76">
        <f>VLOOKUP(C165,'Functional Assignment'!$C$2:$AP$780,'Functional Assignment'!$AB$2,)</f>
        <v>77771356.537982255</v>
      </c>
      <c r="G165" s="76">
        <f t="shared" ref="G165:Z165" si="75">IF(VLOOKUP($E165,$D$6:$AN$1150,3,)=0,0,(VLOOKUP($E165,$D$6:$AN$1150,G$2,)/VLOOKUP($E165,$D$6:$AN$1150,3,))*$F165)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77771356.537982255</v>
      </c>
      <c r="Q165" s="76">
        <f t="shared" si="75"/>
        <v>0</v>
      </c>
      <c r="R165" s="76">
        <f t="shared" si="75"/>
        <v>0</v>
      </c>
      <c r="S165" s="76">
        <f t="shared" si="75"/>
        <v>0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77771356.537982255</v>
      </c>
      <c r="AB165" s="58" t="str">
        <f>IF(ABS(F165-AA165)&lt;0.01,"ok","err")</f>
        <v>ok</v>
      </c>
    </row>
    <row r="166" spans="1:28">
      <c r="A166" s="44"/>
      <c r="F166" s="79"/>
    </row>
    <row r="167" spans="1:28" ht="14.1">
      <c r="A167" s="45" t="s">
        <v>949</v>
      </c>
      <c r="F167" s="79"/>
    </row>
    <row r="168" spans="1:28">
      <c r="A168" s="458" t="s">
        <v>1017</v>
      </c>
      <c r="C168" s="60" t="s">
        <v>908</v>
      </c>
      <c r="D168" s="60" t="s">
        <v>432</v>
      </c>
      <c r="E168" s="60" t="s">
        <v>1364</v>
      </c>
      <c r="F168" s="76">
        <f>VLOOKUP(C168,'Functional Assignment'!$C$2:$AP$780,'Functional Assignment'!$AC$2,)</f>
        <v>4604270.2204592507</v>
      </c>
      <c r="G168" s="76">
        <f t="shared" ref="G168:Z168" si="76">IF(VLOOKUP($E168,$D$6:$AN$1150,3,)=0,0,(VLOOKUP($E168,$D$6:$AN$1150,G$2,)/VLOOKUP($E168,$D$6:$AN$1150,3,))*$F168)</f>
        <v>3413650.7779484186</v>
      </c>
      <c r="H168" s="76">
        <f t="shared" si="76"/>
        <v>8427.0105543280315</v>
      </c>
      <c r="I168" s="76">
        <f t="shared" si="76"/>
        <v>821754.75654487405</v>
      </c>
      <c r="J168" s="76">
        <f t="shared" si="76"/>
        <v>3172.3083560256105</v>
      </c>
      <c r="K168" s="76">
        <f t="shared" si="76"/>
        <v>126121.91649741819</v>
      </c>
      <c r="L168" s="76">
        <f t="shared" si="76"/>
        <v>29910.335928241468</v>
      </c>
      <c r="M168" s="76">
        <f t="shared" si="76"/>
        <v>114429.69427092381</v>
      </c>
      <c r="N168" s="76">
        <f t="shared" si="76"/>
        <v>2945.7149020237807</v>
      </c>
      <c r="O168" s="76">
        <f t="shared" si="76"/>
        <v>90.637381600731729</v>
      </c>
      <c r="P168" s="76">
        <f t="shared" si="76"/>
        <v>82488.174621009923</v>
      </c>
      <c r="Q168" s="76">
        <f t="shared" si="76"/>
        <v>145.92618437717806</v>
      </c>
      <c r="R168" s="76">
        <f t="shared" si="76"/>
        <v>906.37381600731726</v>
      </c>
      <c r="S168" s="76">
        <f t="shared" si="76"/>
        <v>45.318690800365864</v>
      </c>
      <c r="T168" s="76">
        <f t="shared" si="76"/>
        <v>181.27476320146346</v>
      </c>
      <c r="U168" s="76">
        <f t="shared" si="76"/>
        <v>0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4604270.2204592507</v>
      </c>
      <c r="AB168" s="58" t="str">
        <f>IF(ABS(F168-AA168)&lt;0.01,"ok","err")</f>
        <v>ok</v>
      </c>
    </row>
    <row r="169" spans="1:28">
      <c r="A169" s="44"/>
      <c r="F169" s="79"/>
    </row>
    <row r="170" spans="1:28" ht="14.1">
      <c r="A170" s="45" t="s">
        <v>340</v>
      </c>
      <c r="F170" s="79"/>
    </row>
    <row r="171" spans="1:28">
      <c r="A171" s="458" t="s">
        <v>1017</v>
      </c>
      <c r="C171" s="60" t="s">
        <v>908</v>
      </c>
      <c r="D171" s="60" t="s">
        <v>433</v>
      </c>
      <c r="E171" s="60" t="s">
        <v>1370</v>
      </c>
      <c r="F171" s="76">
        <f>VLOOKUP(C171,'Functional Assignment'!$C$2:$AP$780,'Functional Assignment'!$AD$2,)</f>
        <v>1013760.8624949354</v>
      </c>
      <c r="G171" s="76">
        <f t="shared" ref="G171:Z171" si="77">IF(VLOOKUP($E171,$D$6:$AN$1150,3,)=0,0,(VLOOKUP($E171,$D$6:$AN$1150,G$2,)/VLOOKUP($E171,$D$6:$AN$1150,3,))*$F171)</f>
        <v>876470.80679831526</v>
      </c>
      <c r="H171" s="76">
        <f t="shared" si="77"/>
        <v>2163.6743826176507</v>
      </c>
      <c r="I171" s="76">
        <f t="shared" si="77"/>
        <v>105494.68901621226</v>
      </c>
      <c r="J171" s="76">
        <f t="shared" si="77"/>
        <v>162.90100218686263</v>
      </c>
      <c r="K171" s="76">
        <f t="shared" si="77"/>
        <v>6476.4784155148391</v>
      </c>
      <c r="L171" s="76">
        <f t="shared" si="77"/>
        <v>307.18474698094099</v>
      </c>
      <c r="M171" s="76">
        <f t="shared" si="77"/>
        <v>1175.2143729195091</v>
      </c>
      <c r="N171" s="76">
        <f t="shared" si="77"/>
        <v>30.253043263274492</v>
      </c>
      <c r="O171" s="76">
        <f t="shared" si="77"/>
        <v>4.6543143481960758</v>
      </c>
      <c r="P171" s="76">
        <f t="shared" si="77"/>
        <v>21179.224725748831</v>
      </c>
      <c r="Q171" s="76">
        <f t="shared" si="77"/>
        <v>37.467230502978417</v>
      </c>
      <c r="R171" s="76">
        <f t="shared" si="77"/>
        <v>232.71571740980377</v>
      </c>
      <c r="S171" s="76">
        <f t="shared" si="77"/>
        <v>2.3271571740980379</v>
      </c>
      <c r="T171" s="76">
        <f t="shared" si="77"/>
        <v>23.271571740980377</v>
      </c>
      <c r="U171" s="76">
        <f t="shared" si="77"/>
        <v>0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1013760.8624949355</v>
      </c>
      <c r="AB171" s="58" t="str">
        <f>IF(ABS(F171-AA171)&lt;0.01,"ok","err")</f>
        <v>ok</v>
      </c>
    </row>
    <row r="172" spans="1:28">
      <c r="A172" s="44"/>
      <c r="F172" s="79"/>
    </row>
    <row r="173" spans="1:28" ht="14.1">
      <c r="A173" s="45" t="s">
        <v>339</v>
      </c>
      <c r="F173" s="79"/>
    </row>
    <row r="174" spans="1:28">
      <c r="A174" s="458" t="s">
        <v>1017</v>
      </c>
      <c r="C174" s="60" t="s">
        <v>908</v>
      </c>
      <c r="D174" s="60" t="s">
        <v>434</v>
      </c>
      <c r="E174" s="60" t="s">
        <v>1370</v>
      </c>
      <c r="F174" s="76">
        <f>VLOOKUP(C174,'Functional Assignment'!$C$2:$AP$780,'Functional Assignment'!$AE$2,)</f>
        <v>0</v>
      </c>
      <c r="G174" s="76">
        <f t="shared" ref="G174:Z174" si="78">IF(VLOOKUP($E174,$D$6:$AN$1150,3,)=0,0,(VLOOKUP($E174,$D$6:$AN$1150,G$2,)/VLOOKUP($E174,$D$6:$AN$1150,3,))*$F174)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A175" s="44"/>
      <c r="F175" s="79"/>
    </row>
    <row r="176" spans="1:28">
      <c r="A176" s="44" t="s">
        <v>846</v>
      </c>
      <c r="D176" s="60" t="s">
        <v>1028</v>
      </c>
      <c r="F176" s="76">
        <f>F131+F137+F140+F143+F151+F156+F159+F162+F165+F168+F171+F174</f>
        <v>3460077816.1601419</v>
      </c>
      <c r="G176" s="76">
        <f t="shared" ref="G176:Z176" si="79">G131+G137+G140+G143+G151+G156+G159+G162+G165+G168+G171+G174</f>
        <v>1748092633.3997715</v>
      </c>
      <c r="H176" s="76">
        <f t="shared" si="79"/>
        <v>4038872.4825251354</v>
      </c>
      <c r="I176" s="76">
        <f t="shared" si="79"/>
        <v>403486900.96194375</v>
      </c>
      <c r="J176" s="76">
        <f t="shared" si="79"/>
        <v>22814218.96311127</v>
      </c>
      <c r="K176" s="76">
        <f t="shared" si="79"/>
        <v>390090310.94908422</v>
      </c>
      <c r="L176" s="76">
        <f t="shared" si="79"/>
        <v>335323415.21704251</v>
      </c>
      <c r="M176" s="76">
        <f t="shared" si="79"/>
        <v>296063156.00640303</v>
      </c>
      <c r="N176" s="76">
        <f t="shared" si="79"/>
        <v>145224286.58182222</v>
      </c>
      <c r="O176" s="76">
        <f>O131+O137+O140+O143+O151+O156+O159+O162+O165+O168+O171+O174</f>
        <v>9832808.5275934432</v>
      </c>
      <c r="P176" s="76">
        <f t="shared" si="79"/>
        <v>101460556.34610823</v>
      </c>
      <c r="Q176" s="76">
        <f t="shared" si="79"/>
        <v>518946.28609536134</v>
      </c>
      <c r="R176" s="76">
        <f t="shared" si="79"/>
        <v>623432.36842078215</v>
      </c>
      <c r="S176" s="76">
        <f t="shared" si="79"/>
        <v>12817.118099669618</v>
      </c>
      <c r="T176" s="76">
        <f t="shared" si="79"/>
        <v>120162.32212078768</v>
      </c>
      <c r="U176" s="76">
        <f t="shared" si="79"/>
        <v>2314621.8400000003</v>
      </c>
      <c r="V176" s="76">
        <f t="shared" si="79"/>
        <v>60676.790000000008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3460077816.1601419</v>
      </c>
      <c r="AB176" s="58" t="str">
        <f>IF(ABS(F176-AA176)&lt;0.01,"ok","err")</f>
        <v>ok</v>
      </c>
    </row>
    <row r="177" spans="1:28">
      <c r="A177" s="44"/>
    </row>
    <row r="178" spans="1:28">
      <c r="A178" s="44"/>
    </row>
    <row r="179" spans="1:28" ht="14.1">
      <c r="A179" s="45" t="s">
        <v>899</v>
      </c>
    </row>
    <row r="180" spans="1:28">
      <c r="A180" s="44"/>
    </row>
    <row r="181" spans="1:28" ht="14.1">
      <c r="A181" s="45" t="s">
        <v>352</v>
      </c>
    </row>
    <row r="182" spans="1:28">
      <c r="A182" s="458" t="s">
        <v>1441</v>
      </c>
      <c r="C182" s="60" t="s">
        <v>992</v>
      </c>
      <c r="D182" s="44" t="s">
        <v>1435</v>
      </c>
      <c r="E182" s="44" t="s">
        <v>1423</v>
      </c>
      <c r="F182" s="76">
        <f>VLOOKUP(C182,'Functional Assignment'!$C$2:$AP$780,'Functional Assignment'!$H$2,)</f>
        <v>111958098.21523491</v>
      </c>
      <c r="G182" s="76">
        <f t="shared" ref="G182:P187" si="80">IF(VLOOKUP($E182,$D$6:$AN$1150,3,)=0,0,(VLOOKUP($E182,$D$6:$AN$1150,G$2,)/VLOOKUP($E182,$D$6:$AN$1150,3,))*$F182)</f>
        <v>48924608.20888371</v>
      </c>
      <c r="H182" s="76">
        <f t="shared" si="80"/>
        <v>91726.149735686369</v>
      </c>
      <c r="I182" s="76">
        <f t="shared" si="80"/>
        <v>13689534.977787893</v>
      </c>
      <c r="J182" s="76">
        <f t="shared" si="80"/>
        <v>927660.87898076372</v>
      </c>
      <c r="K182" s="76">
        <f t="shared" si="80"/>
        <v>15261928.825871319</v>
      </c>
      <c r="L182" s="76">
        <f t="shared" si="80"/>
        <v>13776479.179497808</v>
      </c>
      <c r="M182" s="76">
        <f t="shared" si="80"/>
        <v>11720843.031786686</v>
      </c>
      <c r="N182" s="76">
        <f t="shared" si="80"/>
        <v>6659233.9196911594</v>
      </c>
      <c r="O182" s="76">
        <f t="shared" si="80"/>
        <v>395299.48340676184</v>
      </c>
      <c r="P182" s="76">
        <f t="shared" si="80"/>
        <v>405140.97711670585</v>
      </c>
      <c r="Q182" s="76">
        <f t="shared" ref="Q182:Z187" si="81">IF(VLOOKUP($E182,$D$6:$AN$1150,3,)=0,0,(VLOOKUP($E182,$D$6:$AN$1150,Q$2,)/VLOOKUP($E182,$D$6:$AN$1150,3,))*$F182)</f>
        <v>14111.068498206771</v>
      </c>
      <c r="R182" s="76">
        <f t="shared" si="81"/>
        <v>19432.91109249798</v>
      </c>
      <c r="S182" s="76">
        <f t="shared" si="81"/>
        <v>19.144040067672258</v>
      </c>
      <c r="T182" s="76">
        <f t="shared" si="81"/>
        <v>176.458845643545</v>
      </c>
      <c r="U182" s="76">
        <f t="shared" si="81"/>
        <v>71903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111958098.21523492</v>
      </c>
      <c r="AB182" s="58" t="str">
        <f t="shared" ref="AB182:AB188" si="83">IF(ABS(F182-AA182)&lt;0.01,"ok","err")</f>
        <v>ok</v>
      </c>
    </row>
    <row r="183" spans="1:28" hidden="1">
      <c r="A183" s="458" t="s">
        <v>1256</v>
      </c>
      <c r="C183" s="60" t="s">
        <v>992</v>
      </c>
      <c r="D183" s="44" t="s">
        <v>435</v>
      </c>
      <c r="E183" s="44" t="s">
        <v>1423</v>
      </c>
      <c r="F183" s="79">
        <f>VLOOKUP(C183,'Functional Assignment'!$C$2:$AP$780,'Functional Assignment'!$I$2,)</f>
        <v>0</v>
      </c>
      <c r="G183" s="79">
        <f t="shared" si="80"/>
        <v>0</v>
      </c>
      <c r="H183" s="79">
        <f t="shared" si="80"/>
        <v>0</v>
      </c>
      <c r="I183" s="79">
        <f t="shared" si="80"/>
        <v>0</v>
      </c>
      <c r="J183" s="79">
        <f t="shared" si="80"/>
        <v>0</v>
      </c>
      <c r="K183" s="79">
        <f t="shared" si="80"/>
        <v>0</v>
      </c>
      <c r="L183" s="79">
        <f t="shared" si="80"/>
        <v>0</v>
      </c>
      <c r="M183" s="79">
        <f t="shared" si="80"/>
        <v>0</v>
      </c>
      <c r="N183" s="79">
        <f t="shared" si="80"/>
        <v>0</v>
      </c>
      <c r="O183" s="79">
        <f t="shared" si="80"/>
        <v>0</v>
      </c>
      <c r="P183" s="79">
        <f t="shared" si="80"/>
        <v>0</v>
      </c>
      <c r="Q183" s="79">
        <f t="shared" si="81"/>
        <v>0</v>
      </c>
      <c r="R183" s="79">
        <f t="shared" si="81"/>
        <v>0</v>
      </c>
      <c r="S183" s="79">
        <f t="shared" si="81"/>
        <v>0</v>
      </c>
      <c r="T183" s="79">
        <f t="shared" si="81"/>
        <v>0</v>
      </c>
      <c r="U183" s="79">
        <f t="shared" si="81"/>
        <v>0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0</v>
      </c>
      <c r="AB183" s="58" t="str">
        <f t="shared" si="83"/>
        <v>ok</v>
      </c>
    </row>
    <row r="184" spans="1:28" hidden="1">
      <c r="A184" s="458" t="s">
        <v>1256</v>
      </c>
      <c r="C184" s="60" t="s">
        <v>992</v>
      </c>
      <c r="D184" s="44" t="s">
        <v>436</v>
      </c>
      <c r="E184" s="44" t="s">
        <v>1423</v>
      </c>
      <c r="F184" s="79">
        <f>VLOOKUP(C184,'Functional Assignment'!$C$2:$AP$780,'Functional Assignment'!$J$2,)</f>
        <v>0</v>
      </c>
      <c r="G184" s="79">
        <f t="shared" si="80"/>
        <v>0</v>
      </c>
      <c r="H184" s="79">
        <f t="shared" si="80"/>
        <v>0</v>
      </c>
      <c r="I184" s="79">
        <f t="shared" si="80"/>
        <v>0</v>
      </c>
      <c r="J184" s="79">
        <f t="shared" si="80"/>
        <v>0</v>
      </c>
      <c r="K184" s="79">
        <f t="shared" si="80"/>
        <v>0</v>
      </c>
      <c r="L184" s="79">
        <f t="shared" si="80"/>
        <v>0</v>
      </c>
      <c r="M184" s="79">
        <f t="shared" si="80"/>
        <v>0</v>
      </c>
      <c r="N184" s="79">
        <f t="shared" si="80"/>
        <v>0</v>
      </c>
      <c r="O184" s="79">
        <f t="shared" si="80"/>
        <v>0</v>
      </c>
      <c r="P184" s="79">
        <f t="shared" si="80"/>
        <v>0</v>
      </c>
      <c r="Q184" s="79">
        <f t="shared" si="81"/>
        <v>0</v>
      </c>
      <c r="R184" s="79">
        <f t="shared" si="81"/>
        <v>0</v>
      </c>
      <c r="S184" s="79">
        <f t="shared" si="81"/>
        <v>0</v>
      </c>
      <c r="T184" s="79">
        <f t="shared" si="81"/>
        <v>0</v>
      </c>
      <c r="U184" s="79">
        <f t="shared" si="81"/>
        <v>0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0</v>
      </c>
      <c r="AB184" s="58" t="str">
        <f t="shared" si="83"/>
        <v>ok</v>
      </c>
    </row>
    <row r="185" spans="1:28">
      <c r="A185" s="458" t="s">
        <v>1160</v>
      </c>
      <c r="C185" s="60" t="s">
        <v>992</v>
      </c>
      <c r="D185" s="44" t="s">
        <v>437</v>
      </c>
      <c r="E185" s="44" t="s">
        <v>1015</v>
      </c>
      <c r="F185" s="79">
        <f>VLOOKUP(C185,'Functional Assignment'!$C$2:$AP$780,'Functional Assignment'!$K$2,)</f>
        <v>397495518.54181111</v>
      </c>
      <c r="G185" s="79">
        <f t="shared" si="80"/>
        <v>142494992.01873499</v>
      </c>
      <c r="H185" s="79">
        <f t="shared" si="80"/>
        <v>382818.91015363374</v>
      </c>
      <c r="I185" s="79">
        <f t="shared" si="80"/>
        <v>42240754.713143803</v>
      </c>
      <c r="J185" s="79">
        <f t="shared" si="80"/>
        <v>3578704.8916238984</v>
      </c>
      <c r="K185" s="79">
        <f t="shared" si="80"/>
        <v>53242471.460308753</v>
      </c>
      <c r="L185" s="79">
        <f t="shared" si="80"/>
        <v>68825160.332896098</v>
      </c>
      <c r="M185" s="79">
        <f t="shared" si="80"/>
        <v>45453323.591409646</v>
      </c>
      <c r="N185" s="79">
        <f t="shared" si="80"/>
        <v>35601403.112511456</v>
      </c>
      <c r="O185" s="79">
        <f t="shared" si="80"/>
        <v>1946305.3305381683</v>
      </c>
      <c r="P185" s="79">
        <f t="shared" si="80"/>
        <v>3493387.5012183185</v>
      </c>
      <c r="Q185" s="79">
        <f t="shared" si="81"/>
        <v>121674.75793315042</v>
      </c>
      <c r="R185" s="79">
        <f t="shared" si="81"/>
        <v>113470.39165618831</v>
      </c>
      <c r="S185" s="79">
        <f t="shared" si="81"/>
        <v>407.5559677213032</v>
      </c>
      <c r="T185" s="79">
        <f t="shared" si="81"/>
        <v>643.97371523063055</v>
      </c>
      <c r="U185" s="79">
        <f t="shared" si="81"/>
        <v>0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397495518.54181099</v>
      </c>
      <c r="AB185" s="58" t="str">
        <f t="shared" si="83"/>
        <v>ok</v>
      </c>
    </row>
    <row r="186" spans="1:28" hidden="1">
      <c r="A186" s="458" t="s">
        <v>1161</v>
      </c>
      <c r="C186" s="60" t="s">
        <v>992</v>
      </c>
      <c r="D186" s="44" t="s">
        <v>438</v>
      </c>
      <c r="E186" s="44" t="s">
        <v>1015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458" t="s">
        <v>1161</v>
      </c>
      <c r="C187" s="60" t="s">
        <v>992</v>
      </c>
      <c r="D187" s="44" t="s">
        <v>439</v>
      </c>
      <c r="E187" s="44" t="s">
        <v>1015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44" t="s">
        <v>374</v>
      </c>
      <c r="D188" s="44" t="s">
        <v>1029</v>
      </c>
      <c r="E188" s="44"/>
      <c r="F188" s="76">
        <f>SUM(F182:F187)</f>
        <v>509453616.75704598</v>
      </c>
      <c r="G188" s="76">
        <f t="shared" ref="G188:P188" si="84">SUM(G182:G187)</f>
        <v>191419600.22761869</v>
      </c>
      <c r="H188" s="76">
        <f t="shared" si="84"/>
        <v>474545.05988932011</v>
      </c>
      <c r="I188" s="76">
        <f t="shared" si="84"/>
        <v>55930289.690931693</v>
      </c>
      <c r="J188" s="76">
        <f t="shared" si="84"/>
        <v>4506365.7706046626</v>
      </c>
      <c r="K188" s="76">
        <f t="shared" si="84"/>
        <v>68504400.286180079</v>
      </c>
      <c r="L188" s="76">
        <f t="shared" si="84"/>
        <v>82601639.512393907</v>
      </c>
      <c r="M188" s="76">
        <f t="shared" si="84"/>
        <v>57174166.623196334</v>
      </c>
      <c r="N188" s="76">
        <f t="shared" si="84"/>
        <v>42260637.032202616</v>
      </c>
      <c r="O188" s="76">
        <f>SUM(O182:O187)</f>
        <v>2341604.8139449302</v>
      </c>
      <c r="P188" s="76">
        <f t="shared" si="84"/>
        <v>3898528.4783350243</v>
      </c>
      <c r="Q188" s="76">
        <f t="shared" ref="Q188:W188" si="85">SUM(Q182:Q187)</f>
        <v>135785.82643135719</v>
      </c>
      <c r="R188" s="76">
        <f t="shared" si="85"/>
        <v>132903.30274868628</v>
      </c>
      <c r="S188" s="76">
        <f t="shared" si="85"/>
        <v>426.70000778897548</v>
      </c>
      <c r="T188" s="76">
        <f t="shared" si="85"/>
        <v>820.43256087417558</v>
      </c>
      <c r="U188" s="76">
        <f t="shared" si="85"/>
        <v>71903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509453616.75704587</v>
      </c>
      <c r="AB188" s="58" t="str">
        <f t="shared" si="83"/>
        <v>ok</v>
      </c>
    </row>
    <row r="189" spans="1:28">
      <c r="A189" s="44"/>
      <c r="F189" s="79"/>
      <c r="G189" s="79"/>
    </row>
    <row r="190" spans="1:28" ht="14.1">
      <c r="A190" s="45" t="s">
        <v>1055</v>
      </c>
      <c r="F190" s="79"/>
      <c r="G190" s="79"/>
    </row>
    <row r="191" spans="1:28">
      <c r="A191" s="458" t="s">
        <v>1225</v>
      </c>
      <c r="C191" s="60" t="s">
        <v>992</v>
      </c>
      <c r="D191" s="60" t="s">
        <v>440</v>
      </c>
      <c r="E191" s="60" t="s">
        <v>1229</v>
      </c>
      <c r="F191" s="76">
        <f>VLOOKUP(C191,'Functional Assignment'!$C$2:$AP$780,'Functional Assignment'!$N$2,)</f>
        <v>34465993.112126328</v>
      </c>
      <c r="G191" s="76">
        <f t="shared" ref="G191:P193" si="86">IF(VLOOKUP($E191,$D$6:$AN$1150,3,)=0,0,(VLOOKUP($E191,$D$6:$AN$1150,G$2,)/VLOOKUP($E191,$D$6:$AN$1150,3,))*$F191)</f>
        <v>16258976.300137052</v>
      </c>
      <c r="H191" s="76">
        <f t="shared" si="86"/>
        <v>49857.366756886047</v>
      </c>
      <c r="I191" s="76">
        <f t="shared" si="86"/>
        <v>3982664.256429879</v>
      </c>
      <c r="J191" s="76">
        <f t="shared" si="86"/>
        <v>261434.58062834703</v>
      </c>
      <c r="K191" s="76">
        <f t="shared" si="86"/>
        <v>4431477.2516385308</v>
      </c>
      <c r="L191" s="76">
        <f t="shared" si="86"/>
        <v>3716343.7371900268</v>
      </c>
      <c r="M191" s="76">
        <f t="shared" si="86"/>
        <v>3518409.6902815788</v>
      </c>
      <c r="N191" s="76">
        <f t="shared" si="86"/>
        <v>1834788.7966989246</v>
      </c>
      <c r="O191" s="76">
        <f t="shared" si="86"/>
        <v>117904.80916227044</v>
      </c>
      <c r="P191" s="76">
        <f t="shared" si="86"/>
        <v>279402.63035554771</v>
      </c>
      <c r="Q191" s="76">
        <f t="shared" ref="Q191:Z193" si="87">IF(VLOOKUP($E191,$D$6:$AN$1150,3,)=0,0,(VLOOKUP($E191,$D$6:$AN$1150,Q$2,)/VLOOKUP($E191,$D$6:$AN$1150,3,))*$F191)</f>
        <v>9731.599315342879</v>
      </c>
      <c r="R191" s="76">
        <f t="shared" si="87"/>
        <v>4467.2568985333473</v>
      </c>
      <c r="S191" s="76">
        <f t="shared" si="87"/>
        <v>486.1591918254382</v>
      </c>
      <c r="T191" s="76">
        <f t="shared" si="87"/>
        <v>48.677441589037478</v>
      </c>
      <c r="U191" s="76">
        <f t="shared" si="87"/>
        <v>0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34465993.112126336</v>
      </c>
      <c r="AB191" s="58" t="str">
        <f>IF(ABS(F191-AA191)&lt;0.01,"ok","err")</f>
        <v>ok</v>
      </c>
    </row>
    <row r="192" spans="1:28" hidden="1">
      <c r="A192" s="458" t="s">
        <v>1226</v>
      </c>
      <c r="C192" s="60" t="s">
        <v>992</v>
      </c>
      <c r="D192" s="60" t="s">
        <v>441</v>
      </c>
      <c r="E192" s="60" t="s">
        <v>1229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458" t="s">
        <v>1226</v>
      </c>
      <c r="C193" s="60" t="s">
        <v>992</v>
      </c>
      <c r="D193" s="60" t="s">
        <v>442</v>
      </c>
      <c r="E193" s="60" t="s">
        <v>1229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44" t="s">
        <v>1057</v>
      </c>
      <c r="D194" s="60" t="s">
        <v>443</v>
      </c>
      <c r="F194" s="76">
        <f>SUM(F191:F193)</f>
        <v>34465993.112126328</v>
      </c>
      <c r="G194" s="76">
        <f t="shared" ref="G194:W194" si="88">SUM(G191:G193)</f>
        <v>16258976.300137052</v>
      </c>
      <c r="H194" s="76">
        <f t="shared" si="88"/>
        <v>49857.366756886047</v>
      </c>
      <c r="I194" s="76">
        <f t="shared" si="88"/>
        <v>3982664.256429879</v>
      </c>
      <c r="J194" s="76">
        <f t="shared" si="88"/>
        <v>261434.58062834703</v>
      </c>
      <c r="K194" s="76">
        <f t="shared" si="88"/>
        <v>4431477.2516385308</v>
      </c>
      <c r="L194" s="76">
        <f t="shared" si="88"/>
        <v>3716343.7371900268</v>
      </c>
      <c r="M194" s="76">
        <f t="shared" si="88"/>
        <v>3518409.6902815788</v>
      </c>
      <c r="N194" s="76">
        <f t="shared" si="88"/>
        <v>1834788.7966989246</v>
      </c>
      <c r="O194" s="76">
        <f>SUM(O191:O193)</f>
        <v>117904.80916227044</v>
      </c>
      <c r="P194" s="76">
        <f t="shared" si="88"/>
        <v>279402.63035554771</v>
      </c>
      <c r="Q194" s="76">
        <f t="shared" si="88"/>
        <v>9731.599315342879</v>
      </c>
      <c r="R194" s="76">
        <f t="shared" si="88"/>
        <v>4467.2568985333473</v>
      </c>
      <c r="S194" s="76">
        <f t="shared" si="88"/>
        <v>486.1591918254382</v>
      </c>
      <c r="T194" s="76">
        <f t="shared" si="88"/>
        <v>48.677441589037478</v>
      </c>
      <c r="U194" s="76">
        <f t="shared" si="88"/>
        <v>0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34465993.112126336</v>
      </c>
      <c r="AB194" s="58" t="str">
        <f>IF(ABS(F194-AA194)&lt;0.01,"ok","err")</f>
        <v>ok</v>
      </c>
    </row>
    <row r="195" spans="1:28">
      <c r="A195" s="44"/>
      <c r="F195" s="79"/>
      <c r="G195" s="79"/>
    </row>
    <row r="196" spans="1:28" ht="14.1">
      <c r="A196" s="45" t="s">
        <v>337</v>
      </c>
      <c r="F196" s="79"/>
      <c r="G196" s="79"/>
    </row>
    <row r="197" spans="1:28">
      <c r="A197" s="458" t="s">
        <v>359</v>
      </c>
      <c r="C197" s="60" t="s">
        <v>992</v>
      </c>
      <c r="D197" s="60" t="s">
        <v>444</v>
      </c>
      <c r="E197" s="60" t="s">
        <v>1230</v>
      </c>
      <c r="F197" s="76">
        <f>VLOOKUP(C197,'Functional Assignment'!$C$2:$AP$780,'Functional Assignment'!$Q$2,)</f>
        <v>0</v>
      </c>
      <c r="G197" s="76">
        <f t="shared" ref="G197:Z197" si="89">IF(VLOOKUP($E197,$D$6:$AN$1150,3,)=0,0,(VLOOKUP($E197,$D$6:$AN$1150,G$2,)/VLOOKUP($E197,$D$6:$AN$1150,3,))*$F197)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A198" s="44"/>
      <c r="F198" s="79"/>
    </row>
    <row r="199" spans="1:28" ht="14.1">
      <c r="A199" s="45" t="s">
        <v>338</v>
      </c>
      <c r="F199" s="79"/>
      <c r="G199" s="79"/>
    </row>
    <row r="200" spans="1:28">
      <c r="A200" s="458" t="s">
        <v>361</v>
      </c>
      <c r="C200" s="60" t="s">
        <v>992</v>
      </c>
      <c r="D200" s="60" t="s">
        <v>445</v>
      </c>
      <c r="E200" s="60" t="s">
        <v>1230</v>
      </c>
      <c r="F200" s="76">
        <f>VLOOKUP(C200,'Functional Assignment'!$C$2:$AP$780,'Functional Assignment'!$R$2,)</f>
        <v>8074378.6521175466</v>
      </c>
      <c r="G200" s="76">
        <f t="shared" ref="G200:Z200" si="90">IF(VLOOKUP($E200,$D$6:$AN$1150,3,)=0,0,(VLOOKUP($E200,$D$6:$AN$1150,G$2,)/VLOOKUP($E200,$D$6:$AN$1150,3,))*$F200)</f>
        <v>4023177.6269760462</v>
      </c>
      <c r="H200" s="76">
        <f t="shared" si="90"/>
        <v>12336.880180737606</v>
      </c>
      <c r="I200" s="76">
        <f t="shared" si="90"/>
        <v>985484.29104302323</v>
      </c>
      <c r="J200" s="76">
        <f t="shared" si="90"/>
        <v>64690.281619573128</v>
      </c>
      <c r="K200" s="76">
        <f t="shared" si="90"/>
        <v>1096540.1390673751</v>
      </c>
      <c r="L200" s="76">
        <f t="shared" si="90"/>
        <v>919585.01578536851</v>
      </c>
      <c r="M200" s="76">
        <f t="shared" si="90"/>
        <v>870607.52701615356</v>
      </c>
      <c r="N200" s="76">
        <f t="shared" si="90"/>
        <v>0</v>
      </c>
      <c r="O200" s="76">
        <f t="shared" si="90"/>
        <v>29174.775925500817</v>
      </c>
      <c r="P200" s="76">
        <f t="shared" si="90"/>
        <v>69136.35831766497</v>
      </c>
      <c r="Q200" s="76">
        <f t="shared" si="90"/>
        <v>2408.0207706467263</v>
      </c>
      <c r="R200" s="76">
        <f t="shared" si="90"/>
        <v>1105.3935792982409</v>
      </c>
      <c r="S200" s="76">
        <f t="shared" si="90"/>
        <v>120.29692076520047</v>
      </c>
      <c r="T200" s="76">
        <f t="shared" si="90"/>
        <v>12.04491539469174</v>
      </c>
      <c r="U200" s="76">
        <f t="shared" si="90"/>
        <v>0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8074378.6521175485</v>
      </c>
      <c r="AB200" s="58" t="str">
        <f>IF(ABS(F200-AA200)&lt;0.01,"ok","err")</f>
        <v>ok</v>
      </c>
    </row>
    <row r="201" spans="1:28">
      <c r="A201" s="44"/>
      <c r="F201" s="79"/>
    </row>
    <row r="202" spans="1:28" ht="14.1">
      <c r="A202" s="45" t="s">
        <v>360</v>
      </c>
      <c r="F202" s="79"/>
    </row>
    <row r="203" spans="1:28">
      <c r="A203" s="458" t="s">
        <v>603</v>
      </c>
      <c r="C203" s="60" t="s">
        <v>992</v>
      </c>
      <c r="D203" s="60" t="s">
        <v>446</v>
      </c>
      <c r="E203" s="60" t="s">
        <v>1230</v>
      </c>
      <c r="F203" s="76">
        <f>VLOOKUP(C203,'Functional Assignment'!$C$2:$AP$780,'Functional Assignment'!$S$2,)</f>
        <v>0</v>
      </c>
      <c r="G203" s="76">
        <f t="shared" ref="G203:P207" si="91">IF(VLOOKUP($E203,$D$6:$AN$1150,3,)=0,0,(VLOOKUP($E203,$D$6:$AN$1150,G$2,)/VLOOKUP($E203,$D$6:$AN$1150,3,))*$F203)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IF(VLOOKUP($E203,$D$6:$AN$1150,3,)=0,0,(VLOOKUP($E203,$D$6:$AN$1150,Q$2,)/VLOOKUP($E203,$D$6:$AN$1150,3,))*$F203)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458" t="s">
        <v>604</v>
      </c>
      <c r="C204" s="60" t="s">
        <v>992</v>
      </c>
      <c r="D204" s="60" t="s">
        <v>447</v>
      </c>
      <c r="E204" s="60" t="s">
        <v>1230</v>
      </c>
      <c r="F204" s="79">
        <f>VLOOKUP(C204,'Functional Assignment'!$C$2:$AP$780,'Functional Assignment'!$T$2,)</f>
        <v>13200174.80048782</v>
      </c>
      <c r="G204" s="79">
        <f t="shared" si="91"/>
        <v>6577180.7612178437</v>
      </c>
      <c r="H204" s="79">
        <f t="shared" si="91"/>
        <v>20168.607628489433</v>
      </c>
      <c r="I204" s="79">
        <f t="shared" si="91"/>
        <v>1611091.7589294822</v>
      </c>
      <c r="J204" s="79">
        <f t="shared" si="91"/>
        <v>105757.11916200562</v>
      </c>
      <c r="K204" s="79">
        <f t="shared" si="91"/>
        <v>1792648.3429959724</v>
      </c>
      <c r="L204" s="79">
        <f t="shared" si="91"/>
        <v>1503358.1499293181</v>
      </c>
      <c r="M204" s="79">
        <f t="shared" si="91"/>
        <v>1423288.6559289326</v>
      </c>
      <c r="N204" s="79">
        <f t="shared" si="91"/>
        <v>0</v>
      </c>
      <c r="O204" s="79">
        <f t="shared" si="91"/>
        <v>47695.576164325284</v>
      </c>
      <c r="P204" s="79">
        <f t="shared" si="91"/>
        <v>113025.66478263942</v>
      </c>
      <c r="Q204" s="79">
        <f t="shared" si="92"/>
        <v>3936.686210202201</v>
      </c>
      <c r="R204" s="79">
        <f t="shared" si="92"/>
        <v>1807.1221450887754</v>
      </c>
      <c r="S204" s="79">
        <f t="shared" si="92"/>
        <v>196.66409645584724</v>
      </c>
      <c r="T204" s="79">
        <f t="shared" si="92"/>
        <v>19.691297066594775</v>
      </c>
      <c r="U204" s="79">
        <f t="shared" si="92"/>
        <v>0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13200174.800487824</v>
      </c>
      <c r="AB204" s="58" t="str">
        <f t="shared" si="94"/>
        <v>ok</v>
      </c>
    </row>
    <row r="205" spans="1:28">
      <c r="A205" s="458" t="s">
        <v>605</v>
      </c>
      <c r="C205" s="60" t="s">
        <v>992</v>
      </c>
      <c r="D205" s="60" t="s">
        <v>448</v>
      </c>
      <c r="E205" s="60" t="s">
        <v>658</v>
      </c>
      <c r="F205" s="79">
        <f>VLOOKUP(C205,'Functional Assignment'!$C$2:$AP$780,'Functional Assignment'!$U$2,)</f>
        <v>22092723.664574921</v>
      </c>
      <c r="G205" s="79">
        <f t="shared" si="91"/>
        <v>19055694.464964319</v>
      </c>
      <c r="H205" s="79">
        <f t="shared" si="91"/>
        <v>47036.069992834899</v>
      </c>
      <c r="I205" s="79">
        <f t="shared" si="91"/>
        <v>2294729.0185388867</v>
      </c>
      <c r="J205" s="79">
        <f t="shared" si="91"/>
        <v>3541.3013170190297</v>
      </c>
      <c r="K205" s="79">
        <f t="shared" si="91"/>
        <v>140761.52974683372</v>
      </c>
      <c r="L205" s="79">
        <f t="shared" si="91"/>
        <v>6657.36927041323</v>
      </c>
      <c r="M205" s="79">
        <f t="shared" si="91"/>
        <v>25548.236706934116</v>
      </c>
      <c r="N205" s="79">
        <f t="shared" si="91"/>
        <v>0</v>
      </c>
      <c r="O205" s="79">
        <f t="shared" si="91"/>
        <v>101.18003762911513</v>
      </c>
      <c r="P205" s="79">
        <f t="shared" si="91"/>
        <v>511571.89136600774</v>
      </c>
      <c r="Q205" s="79">
        <f t="shared" si="92"/>
        <v>904.99922546041876</v>
      </c>
      <c r="R205" s="79">
        <f t="shared" si="92"/>
        <v>5621.113201617507</v>
      </c>
      <c r="S205" s="79">
        <f t="shared" si="92"/>
        <v>50.590018814557567</v>
      </c>
      <c r="T205" s="79">
        <f t="shared" si="92"/>
        <v>505.90018814557573</v>
      </c>
      <c r="U205" s="79">
        <f t="shared" si="92"/>
        <v>0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22092723.664574917</v>
      </c>
      <c r="AB205" s="58" t="str">
        <f t="shared" si="94"/>
        <v>ok</v>
      </c>
    </row>
    <row r="206" spans="1:28">
      <c r="A206" s="458" t="s">
        <v>606</v>
      </c>
      <c r="C206" s="60" t="s">
        <v>992</v>
      </c>
      <c r="D206" s="60" t="s">
        <v>449</v>
      </c>
      <c r="E206" s="60" t="s">
        <v>646</v>
      </c>
      <c r="F206" s="79">
        <f>VLOOKUP(C206,'Functional Assignment'!$C$2:$AP$780,'Functional Assignment'!$V$2,)</f>
        <v>4169128.806815919</v>
      </c>
      <c r="G206" s="79">
        <f t="shared" si="91"/>
        <v>3150944.4633132969</v>
      </c>
      <c r="H206" s="79">
        <f t="shared" si="91"/>
        <v>9404.4979523805505</v>
      </c>
      <c r="I206" s="79">
        <f t="shared" si="91"/>
        <v>504988.07491691207</v>
      </c>
      <c r="J206" s="79">
        <f t="shared" si="91"/>
        <v>0</v>
      </c>
      <c r="K206" s="79">
        <f t="shared" si="91"/>
        <v>478294.1425226623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24220.416861045789</v>
      </c>
      <c r="Q206" s="79">
        <f t="shared" si="92"/>
        <v>843.59761338800979</v>
      </c>
      <c r="R206" s="79">
        <f t="shared" si="92"/>
        <v>387.25055726989461</v>
      </c>
      <c r="S206" s="79">
        <f t="shared" si="92"/>
        <v>42.143405278100808</v>
      </c>
      <c r="T206" s="79">
        <f t="shared" si="92"/>
        <v>4.2196736856607249</v>
      </c>
      <c r="U206" s="79">
        <f t="shared" si="92"/>
        <v>0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4169128.8068159199</v>
      </c>
      <c r="AB206" s="58" t="str">
        <f t="shared" si="94"/>
        <v>ok</v>
      </c>
    </row>
    <row r="207" spans="1:28">
      <c r="A207" s="458" t="s">
        <v>607</v>
      </c>
      <c r="C207" s="60" t="s">
        <v>992</v>
      </c>
      <c r="D207" s="60" t="s">
        <v>450</v>
      </c>
      <c r="E207" s="60" t="s">
        <v>657</v>
      </c>
      <c r="F207" s="79">
        <f>VLOOKUP(C207,'Functional Assignment'!$C$2:$AP$780,'Functional Assignment'!$W$2,)</f>
        <v>7223790.8391335364</v>
      </c>
      <c r="G207" s="79">
        <f t="shared" si="91"/>
        <v>6280979.7652037861</v>
      </c>
      <c r="H207" s="79">
        <f t="shared" si="91"/>
        <v>15503.638789070925</v>
      </c>
      <c r="I207" s="79">
        <f t="shared" si="91"/>
        <v>756369.52295643766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168620.07858200307</v>
      </c>
      <c r="Q207" s="79">
        <f t="shared" si="92"/>
        <v>298.29832930482138</v>
      </c>
      <c r="R207" s="79">
        <f t="shared" si="92"/>
        <v>1852.7846540672135</v>
      </c>
      <c r="S207" s="79">
        <f t="shared" si="92"/>
        <v>0</v>
      </c>
      <c r="T207" s="79">
        <f t="shared" si="92"/>
        <v>166.75061886604922</v>
      </c>
      <c r="U207" s="79">
        <f t="shared" si="92"/>
        <v>0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7223790.8391335346</v>
      </c>
      <c r="AB207" s="58" t="str">
        <f t="shared" si="94"/>
        <v>ok</v>
      </c>
    </row>
    <row r="208" spans="1:28">
      <c r="A208" s="44" t="s">
        <v>365</v>
      </c>
      <c r="D208" s="60" t="s">
        <v>451</v>
      </c>
      <c r="F208" s="76">
        <f>SUM(F203:F207)</f>
        <v>46685818.111012198</v>
      </c>
      <c r="G208" s="76">
        <f t="shared" ref="G208:W208" si="95">SUM(G203:G207)</f>
        <v>35064799.454699248</v>
      </c>
      <c r="H208" s="76">
        <f t="shared" si="95"/>
        <v>92112.814362775811</v>
      </c>
      <c r="I208" s="76">
        <f t="shared" si="95"/>
        <v>5167178.3753417181</v>
      </c>
      <c r="J208" s="76">
        <f t="shared" si="95"/>
        <v>109298.42047902464</v>
      </c>
      <c r="K208" s="76">
        <f t="shared" si="95"/>
        <v>2411704.0152654685</v>
      </c>
      <c r="L208" s="76">
        <f t="shared" si="95"/>
        <v>1510015.5191997313</v>
      </c>
      <c r="M208" s="76">
        <f t="shared" si="95"/>
        <v>1448836.8926358668</v>
      </c>
      <c r="N208" s="76">
        <f t="shared" si="95"/>
        <v>0</v>
      </c>
      <c r="O208" s="76">
        <f>SUM(O203:O207)</f>
        <v>47796.756201954398</v>
      </c>
      <c r="P208" s="76">
        <f t="shared" si="95"/>
        <v>817438.05159169598</v>
      </c>
      <c r="Q208" s="76">
        <f t="shared" si="95"/>
        <v>5983.5813783554504</v>
      </c>
      <c r="R208" s="76">
        <f t="shared" si="95"/>
        <v>9668.2705580433903</v>
      </c>
      <c r="S208" s="76">
        <f t="shared" si="95"/>
        <v>289.39752054850561</v>
      </c>
      <c r="T208" s="76">
        <f t="shared" si="95"/>
        <v>696.5617777638804</v>
      </c>
      <c r="U208" s="76">
        <f t="shared" si="95"/>
        <v>0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46685818.111012191</v>
      </c>
      <c r="AB208" s="58" t="str">
        <f t="shared" si="94"/>
        <v>ok</v>
      </c>
    </row>
    <row r="209" spans="1:28">
      <c r="A209" s="44"/>
      <c r="F209" s="79"/>
    </row>
    <row r="210" spans="1:28" ht="14.1">
      <c r="A210" s="45" t="s">
        <v>613</v>
      </c>
      <c r="F210" s="79"/>
    </row>
    <row r="211" spans="1:28">
      <c r="A211" s="458" t="s">
        <v>1014</v>
      </c>
      <c r="C211" s="60" t="s">
        <v>992</v>
      </c>
      <c r="D211" s="60" t="s">
        <v>452</v>
      </c>
      <c r="E211" s="60" t="s">
        <v>1207</v>
      </c>
      <c r="F211" s="76">
        <f>VLOOKUP(C211,'Functional Assignment'!$C$2:$AP$780,'Functional Assignment'!$X$2,)</f>
        <v>1117029.2182578882</v>
      </c>
      <c r="G211" s="76">
        <f t="shared" ref="G211:P212" si="96">IF(VLOOKUP($E211,$D$6:$AN$1150,3,)=0,0,(VLOOKUP($E211,$D$6:$AN$1150,G$2,)/VLOOKUP($E211,$D$6:$AN$1150,3,))*$F211)</f>
        <v>770494.43394459318</v>
      </c>
      <c r="H211" s="76">
        <f t="shared" si="96"/>
        <v>2299.6639295676664</v>
      </c>
      <c r="I211" s="76">
        <f t="shared" si="96"/>
        <v>123483.76985443203</v>
      </c>
      <c r="J211" s="76">
        <f t="shared" si="96"/>
        <v>0</v>
      </c>
      <c r="K211" s="76">
        <f t="shared" si="96"/>
        <v>116956.35352915809</v>
      </c>
      <c r="L211" s="76">
        <f t="shared" si="96"/>
        <v>0</v>
      </c>
      <c r="M211" s="76">
        <f t="shared" si="96"/>
        <v>97560.110677386678</v>
      </c>
      <c r="N211" s="76">
        <f t="shared" si="96"/>
        <v>0</v>
      </c>
      <c r="O211" s="76">
        <f t="shared" si="96"/>
        <v>0</v>
      </c>
      <c r="P211" s="76">
        <f t="shared" si="96"/>
        <v>5922.572294286113</v>
      </c>
      <c r="Q211" s="76">
        <f t="shared" ref="Q211:Z212" si="97">IF(VLOOKUP($E211,$D$6:$AN$1150,3,)=0,0,(VLOOKUP($E211,$D$6:$AN$1150,Q$2,)/VLOOKUP($E211,$D$6:$AN$1150,3,))*$F211)</f>
        <v>206.2833138356639</v>
      </c>
      <c r="R211" s="76">
        <f t="shared" si="97"/>
        <v>94.693639444424718</v>
      </c>
      <c r="S211" s="76">
        <f t="shared" si="97"/>
        <v>10.305246433986184</v>
      </c>
      <c r="T211" s="76">
        <f t="shared" si="97"/>
        <v>1.031828750305964</v>
      </c>
      <c r="U211" s="76">
        <f t="shared" si="97"/>
        <v>0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1117029.2182578882</v>
      </c>
      <c r="AB211" s="58" t="str">
        <f>IF(ABS(F211-AA211)&lt;0.01,"ok","err")</f>
        <v>ok</v>
      </c>
    </row>
    <row r="212" spans="1:28">
      <c r="A212" s="458" t="s">
        <v>1017</v>
      </c>
      <c r="C212" s="60" t="s">
        <v>992</v>
      </c>
      <c r="D212" s="60" t="s">
        <v>453</v>
      </c>
      <c r="E212" s="60" t="s">
        <v>1205</v>
      </c>
      <c r="F212" s="79">
        <f>VLOOKUP(C212,'Functional Assignment'!$C$2:$AP$780,'Functional Assignment'!$Y$2,)</f>
        <v>622640.91753283411</v>
      </c>
      <c r="G212" s="79">
        <f t="shared" si="96"/>
        <v>537298.58578275691</v>
      </c>
      <c r="H212" s="79">
        <f t="shared" si="96"/>
        <v>1326.2394574175535</v>
      </c>
      <c r="I212" s="79">
        <f t="shared" si="96"/>
        <v>64702.688148285553</v>
      </c>
      <c r="J212" s="79">
        <f t="shared" si="96"/>
        <v>0</v>
      </c>
      <c r="K212" s="79">
        <f t="shared" si="96"/>
        <v>3968.9432995814373</v>
      </c>
      <c r="L212" s="79">
        <f t="shared" si="96"/>
        <v>0</v>
      </c>
      <c r="M212" s="79">
        <f t="shared" si="96"/>
        <v>720.36374623434756</v>
      </c>
      <c r="N212" s="79">
        <f t="shared" si="96"/>
        <v>0</v>
      </c>
      <c r="O212" s="79">
        <f t="shared" si="96"/>
        <v>0</v>
      </c>
      <c r="P212" s="79">
        <f t="shared" si="96"/>
        <v>14424.394464475414</v>
      </c>
      <c r="Q212" s="79">
        <f t="shared" si="97"/>
        <v>25.517558799465345</v>
      </c>
      <c r="R212" s="79">
        <f t="shared" si="97"/>
        <v>158.49415403394624</v>
      </c>
      <c r="S212" s="79">
        <f t="shared" si="97"/>
        <v>1.426447386305516</v>
      </c>
      <c r="T212" s="79">
        <f t="shared" si="97"/>
        <v>14.264473863055162</v>
      </c>
      <c r="U212" s="79">
        <f t="shared" si="97"/>
        <v>0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622640.91753283399</v>
      </c>
      <c r="AB212" s="58" t="str">
        <f>IF(ABS(F212-AA212)&lt;0.01,"ok","err")</f>
        <v>ok</v>
      </c>
    </row>
    <row r="213" spans="1:28">
      <c r="A213" s="44" t="s">
        <v>672</v>
      </c>
      <c r="D213" s="60" t="s">
        <v>454</v>
      </c>
      <c r="F213" s="76">
        <f>F211+F212</f>
        <v>1739670.1357907224</v>
      </c>
      <c r="G213" s="76">
        <f t="shared" ref="G213:W213" si="98">G211+G212</f>
        <v>1307793.0197273502</v>
      </c>
      <c r="H213" s="76">
        <f t="shared" si="98"/>
        <v>3625.9033869852201</v>
      </c>
      <c r="I213" s="76">
        <f t="shared" si="98"/>
        <v>188186.45800271758</v>
      </c>
      <c r="J213" s="76">
        <f t="shared" si="98"/>
        <v>0</v>
      </c>
      <c r="K213" s="76">
        <f t="shared" si="98"/>
        <v>120925.29682873953</v>
      </c>
      <c r="L213" s="76">
        <f t="shared" si="98"/>
        <v>0</v>
      </c>
      <c r="M213" s="76">
        <f t="shared" si="98"/>
        <v>98280.474423621024</v>
      </c>
      <c r="N213" s="76">
        <f t="shared" si="98"/>
        <v>0</v>
      </c>
      <c r="O213" s="76">
        <f>O211+O212</f>
        <v>0</v>
      </c>
      <c r="P213" s="76">
        <f t="shared" si="98"/>
        <v>20346.966758761526</v>
      </c>
      <c r="Q213" s="76">
        <f t="shared" si="98"/>
        <v>231.80087263512925</v>
      </c>
      <c r="R213" s="76">
        <f t="shared" si="98"/>
        <v>253.18779347837096</v>
      </c>
      <c r="S213" s="76">
        <f t="shared" si="98"/>
        <v>11.731693820291699</v>
      </c>
      <c r="T213" s="76">
        <f t="shared" si="98"/>
        <v>15.296302613361126</v>
      </c>
      <c r="U213" s="76">
        <f t="shared" si="98"/>
        <v>0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1739670.1357907222</v>
      </c>
      <c r="AB213" s="58" t="str">
        <f>IF(ABS(F213-AA213)&lt;0.01,"ok","err")</f>
        <v>ok</v>
      </c>
    </row>
    <row r="214" spans="1:28">
      <c r="A214" s="44"/>
      <c r="F214" s="79"/>
    </row>
    <row r="215" spans="1:28" ht="14.1">
      <c r="A215" s="45" t="s">
        <v>343</v>
      </c>
      <c r="F215" s="79"/>
    </row>
    <row r="216" spans="1:28">
      <c r="A216" s="458" t="s">
        <v>1017</v>
      </c>
      <c r="C216" s="60" t="s">
        <v>992</v>
      </c>
      <c r="D216" s="60" t="s">
        <v>455</v>
      </c>
      <c r="E216" s="60" t="s">
        <v>1019</v>
      </c>
      <c r="F216" s="76">
        <f>VLOOKUP(C216,'Functional Assignment'!$C$2:$AP$780,'Functional Assignment'!$Z$2,)</f>
        <v>332912.57849805721</v>
      </c>
      <c r="G216" s="76">
        <f t="shared" ref="G216:Z216" si="99">IF(VLOOKUP($E216,$D$6:$AN$1150,3,)=0,0,(VLOOKUP($E216,$D$6:$AN$1150,G$2,)/VLOOKUP($E216,$D$6:$AN$1150,3,))*$F216)</f>
        <v>286038.7915047197</v>
      </c>
      <c r="H216" s="76">
        <f t="shared" si="99"/>
        <v>706.04304884393491</v>
      </c>
      <c r="I216" s="76">
        <f t="shared" si="99"/>
        <v>40839.385534410423</v>
      </c>
      <c r="J216" s="76">
        <f t="shared" si="99"/>
        <v>0</v>
      </c>
      <c r="K216" s="76">
        <f t="shared" si="99"/>
        <v>4200.6917616619912</v>
      </c>
      <c r="L216" s="76">
        <f t="shared" si="99"/>
        <v>0</v>
      </c>
      <c r="M216" s="76">
        <f t="shared" si="99"/>
        <v>1126.1569101024461</v>
      </c>
      <c r="N216" s="76">
        <f t="shared" si="99"/>
        <v>0</v>
      </c>
      <c r="O216" s="76">
        <f t="shared" si="99"/>
        <v>0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1.5097383186929834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332912.57849805721</v>
      </c>
      <c r="AB216" s="58" t="str">
        <f>IF(ABS(F216-AA216)&lt;0.01,"ok","err")</f>
        <v>ok</v>
      </c>
    </row>
    <row r="217" spans="1:28">
      <c r="A217" s="44"/>
      <c r="F217" s="79"/>
    </row>
    <row r="218" spans="1:28" ht="14.1">
      <c r="A218" s="45" t="s">
        <v>342</v>
      </c>
      <c r="F218" s="79"/>
    </row>
    <row r="219" spans="1:28">
      <c r="A219" s="458" t="s">
        <v>1017</v>
      </c>
      <c r="C219" s="60" t="s">
        <v>992</v>
      </c>
      <c r="D219" s="60" t="s">
        <v>456</v>
      </c>
      <c r="E219" s="60" t="s">
        <v>1311</v>
      </c>
      <c r="F219" s="76">
        <f>VLOOKUP(C219,'Functional Assignment'!$C$2:$AP$780,'Functional Assignment'!$AA$2,)</f>
        <v>13918315.257724669</v>
      </c>
      <c r="G219" s="76">
        <f t="shared" ref="G219:Z219" si="100">IF(VLOOKUP($E219,$D$6:$AN$1150,3,)=0,0,(VLOOKUP($E219,$D$6:$AN$1150,G$2,)/VLOOKUP($E219,$D$6:$AN$1150,3,))*$F219)</f>
        <v>9490386.6033985782</v>
      </c>
      <c r="H219" s="76">
        <f t="shared" si="100"/>
        <v>23425.569157673526</v>
      </c>
      <c r="I219" s="76">
        <f t="shared" si="100"/>
        <v>2955977.5867227307</v>
      </c>
      <c r="J219" s="76">
        <f t="shared" si="100"/>
        <v>96619.783643228962</v>
      </c>
      <c r="K219" s="76">
        <f t="shared" si="100"/>
        <v>826631.87071168679</v>
      </c>
      <c r="L219" s="76">
        <f t="shared" si="100"/>
        <v>192988.0560503462</v>
      </c>
      <c r="M219" s="76">
        <f t="shared" si="100"/>
        <v>163420.00222412925</v>
      </c>
      <c r="N219" s="76">
        <f t="shared" si="100"/>
        <v>136383.57938523268</v>
      </c>
      <c r="O219" s="76">
        <f t="shared" si="100"/>
        <v>2933.0713048957518</v>
      </c>
      <c r="P219" s="76">
        <f t="shared" si="100"/>
        <v>0</v>
      </c>
      <c r="Q219" s="76">
        <f t="shared" si="100"/>
        <v>4056.4846833938559</v>
      </c>
      <c r="R219" s="76">
        <f t="shared" si="100"/>
        <v>25195.557039713392</v>
      </c>
      <c r="S219" s="76">
        <f t="shared" si="100"/>
        <v>297.09340305715051</v>
      </c>
      <c r="T219" s="76">
        <f t="shared" si="100"/>
        <v>0</v>
      </c>
      <c r="U219" s="76">
        <f t="shared" si="100"/>
        <v>0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13918315.257724663</v>
      </c>
      <c r="AB219" s="58" t="str">
        <f>IF(ABS(F219-AA219)&lt;0.01,"ok","err")</f>
        <v>ok</v>
      </c>
    </row>
    <row r="220" spans="1:28">
      <c r="A220" s="44"/>
      <c r="F220" s="79"/>
    </row>
    <row r="221" spans="1:28" ht="14.1">
      <c r="A221" s="45" t="s">
        <v>358</v>
      </c>
      <c r="F221" s="79"/>
    </row>
    <row r="222" spans="1:28">
      <c r="A222" s="458" t="s">
        <v>1017</v>
      </c>
      <c r="C222" s="60" t="s">
        <v>992</v>
      </c>
      <c r="D222" s="60" t="s">
        <v>457</v>
      </c>
      <c r="E222" s="60" t="s">
        <v>1021</v>
      </c>
      <c r="F222" s="76">
        <f>VLOOKUP(C222,'Functional Assignment'!$C$2:$AP$780,'Functional Assignment'!$AB$2,)</f>
        <v>1673935.4718376463</v>
      </c>
      <c r="G222" s="76">
        <f t="shared" ref="G222:Z222" si="101">IF(VLOOKUP($E222,$D$6:$AN$1150,3,)=0,0,(VLOOKUP($E222,$D$6:$AN$1150,G$2,)/VLOOKUP($E222,$D$6:$AN$1150,3,))*$F222)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1673935.4718376463</v>
      </c>
      <c r="Q222" s="76">
        <f t="shared" si="101"/>
        <v>0</v>
      </c>
      <c r="R222" s="76">
        <f t="shared" si="101"/>
        <v>0</v>
      </c>
      <c r="S222" s="76">
        <f t="shared" si="101"/>
        <v>0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1673935.4718376463</v>
      </c>
      <c r="AB222" s="58" t="str">
        <f>IF(ABS(F222-AA222)&lt;0.01,"ok","err")</f>
        <v>ok</v>
      </c>
    </row>
    <row r="223" spans="1:28">
      <c r="A223" s="44"/>
      <c r="F223" s="79"/>
    </row>
    <row r="224" spans="1:28" ht="14.1">
      <c r="A224" s="45" t="s">
        <v>949</v>
      </c>
      <c r="F224" s="79"/>
    </row>
    <row r="225" spans="1:28">
      <c r="A225" s="458" t="s">
        <v>1017</v>
      </c>
      <c r="C225" s="60" t="s">
        <v>992</v>
      </c>
      <c r="D225" s="60" t="s">
        <v>458</v>
      </c>
      <c r="E225" s="60" t="s">
        <v>1022</v>
      </c>
      <c r="F225" s="76">
        <f>VLOOKUP(C225,'Functional Assignment'!$C$2:$AP$780,'Functional Assignment'!$AC$2,)</f>
        <v>22203327.895651627</v>
      </c>
      <c r="G225" s="76">
        <f t="shared" ref="G225:Z225" si="102">IF(VLOOKUP($E225,$D$6:$AN$1150,3,)=0,0,(VLOOKUP($E225,$D$6:$AN$1150,G$2,)/VLOOKUP($E225,$D$6:$AN$1150,3,))*$F225)</f>
        <v>16427773.803726453</v>
      </c>
      <c r="H225" s="76">
        <f t="shared" si="102"/>
        <v>40549.449398405006</v>
      </c>
      <c r="I225" s="76">
        <f t="shared" si="102"/>
        <v>3956537.9605255569</v>
      </c>
      <c r="J225" s="76">
        <f t="shared" si="102"/>
        <v>15264.648872752623</v>
      </c>
      <c r="K225" s="76">
        <f t="shared" si="102"/>
        <v>606747.38860844413</v>
      </c>
      <c r="L225" s="76">
        <f t="shared" si="102"/>
        <v>143481.72498161526</v>
      </c>
      <c r="M225" s="76">
        <f t="shared" si="102"/>
        <v>550623.6659036933</v>
      </c>
      <c r="N225" s="76">
        <f t="shared" si="102"/>
        <v>14174.316810413151</v>
      </c>
      <c r="O225" s="76">
        <f t="shared" si="102"/>
        <v>436.1328249357893</v>
      </c>
      <c r="P225" s="76">
        <f t="shared" si="102"/>
        <v>441022.35849534714</v>
      </c>
      <c r="Q225" s="76">
        <f t="shared" si="102"/>
        <v>780.19316460735627</v>
      </c>
      <c r="R225" s="76">
        <f t="shared" si="102"/>
        <v>4845.9202770643251</v>
      </c>
      <c r="S225" s="76">
        <f t="shared" si="102"/>
        <v>218.06641246789465</v>
      </c>
      <c r="T225" s="76">
        <f t="shared" si="102"/>
        <v>872.2656498715786</v>
      </c>
      <c r="U225" s="76">
        <f t="shared" si="102"/>
        <v>0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22203327.895651624</v>
      </c>
      <c r="AB225" s="58" t="str">
        <f>IF(ABS(F225-AA225)&lt;0.01,"ok","err")</f>
        <v>ok</v>
      </c>
    </row>
    <row r="226" spans="1:28">
      <c r="A226" s="44"/>
      <c r="F226" s="79"/>
    </row>
    <row r="227" spans="1:28" ht="14.1">
      <c r="A227" s="45" t="s">
        <v>340</v>
      </c>
      <c r="F227" s="79"/>
    </row>
    <row r="228" spans="1:28">
      <c r="A228" s="458" t="s">
        <v>1017</v>
      </c>
      <c r="C228" s="60" t="s">
        <v>992</v>
      </c>
      <c r="D228" s="60" t="s">
        <v>459</v>
      </c>
      <c r="E228" s="60" t="s">
        <v>1402</v>
      </c>
      <c r="F228" s="76">
        <f>VLOOKUP(C228,'Functional Assignment'!$C$2:$AP$780,'Functional Assignment'!$AD$2,)</f>
        <v>4888693.2695076521</v>
      </c>
      <c r="G228" s="76">
        <f t="shared" ref="G228:Z228" si="103">IF(VLOOKUP($E228,$D$6:$AN$1150,3,)=0,0,(VLOOKUP($E228,$D$6:$AN$1150,G$2,)/VLOOKUP($E228,$D$6:$AN$1150,3,))*$F228)</f>
        <v>4187206.5784271793</v>
      </c>
      <c r="H228" s="76">
        <f t="shared" si="103"/>
        <v>10335.479615265142</v>
      </c>
      <c r="I228" s="76">
        <f t="shared" si="103"/>
        <v>504232.70900989242</v>
      </c>
      <c r="J228" s="76">
        <f t="shared" si="103"/>
        <v>778.14850558597459</v>
      </c>
      <c r="K228" s="76">
        <f t="shared" si="103"/>
        <v>30930.261000410032</v>
      </c>
      <c r="L228" s="76">
        <f t="shared" si="103"/>
        <v>1462.858278681234</v>
      </c>
      <c r="M228" s="76">
        <f t="shared" si="103"/>
        <v>5613.8465592620732</v>
      </c>
      <c r="N228" s="76">
        <f t="shared" si="103"/>
        <v>144.51329389453815</v>
      </c>
      <c r="O228" s="76">
        <f t="shared" si="103"/>
        <v>22.232814445313561</v>
      </c>
      <c r="P228" s="76">
        <f t="shared" si="103"/>
        <v>112410.34499186346</v>
      </c>
      <c r="Q228" s="76">
        <f t="shared" si="103"/>
        <v>198.86017364974907</v>
      </c>
      <c r="R228" s="76">
        <f t="shared" si="103"/>
        <v>1235.1563580729755</v>
      </c>
      <c r="S228" s="76">
        <f t="shared" si="103"/>
        <v>11.116407222656781</v>
      </c>
      <c r="T228" s="76">
        <f t="shared" si="103"/>
        <v>24111.164072226569</v>
      </c>
      <c r="U228" s="76">
        <f t="shared" si="103"/>
        <v>0</v>
      </c>
      <c r="V228" s="76">
        <f t="shared" si="103"/>
        <v>10000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4888693.2695076521</v>
      </c>
      <c r="AB228" s="58" t="str">
        <f>IF(ABS(F228-AA228)&lt;0.01,"ok","err")</f>
        <v>ok</v>
      </c>
    </row>
    <row r="229" spans="1:28">
      <c r="A229" s="44"/>
      <c r="F229" s="79"/>
    </row>
    <row r="230" spans="1:28" ht="14.1">
      <c r="A230" s="45" t="s">
        <v>339</v>
      </c>
      <c r="F230" s="79"/>
    </row>
    <row r="231" spans="1:28">
      <c r="A231" s="458" t="s">
        <v>1017</v>
      </c>
      <c r="C231" s="60" t="s">
        <v>992</v>
      </c>
      <c r="D231" s="60" t="s">
        <v>460</v>
      </c>
      <c r="E231" s="60" t="s">
        <v>1023</v>
      </c>
      <c r="F231" s="76">
        <f>VLOOKUP(C231,'Functional Assignment'!$C$2:$AP$780,'Functional Assignment'!$AE$2,)</f>
        <v>0</v>
      </c>
      <c r="G231" s="76">
        <f t="shared" ref="G231:Z231" si="104">IF(VLOOKUP($E231,$D$6:$AN$1150,3,)=0,0,(VLOOKUP($E231,$D$6:$AN$1150,G$2,)/VLOOKUP($E231,$D$6:$AN$1150,3,))*$F231)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A232" s="44"/>
      <c r="F232" s="79"/>
    </row>
    <row r="233" spans="1:28">
      <c r="A233" s="44" t="s">
        <v>846</v>
      </c>
      <c r="D233" s="60" t="s">
        <v>1030</v>
      </c>
      <c r="F233" s="76">
        <f>F188+F194+F197+F200+F208+F213+F216+F219+F222+F225+F228+F231</f>
        <v>643436661.24131227</v>
      </c>
      <c r="G233" s="76">
        <f t="shared" ref="G233:Z233" si="105">G188+G194+G197+G200+G208+G213+G216+G219+G222+G225+G228+G231</f>
        <v>278465752.40621531</v>
      </c>
      <c r="H233" s="76">
        <f t="shared" si="105"/>
        <v>707494.56579689239</v>
      </c>
      <c r="I233" s="76">
        <f t="shared" si="105"/>
        <v>73711390.713541612</v>
      </c>
      <c r="J233" s="76">
        <f t="shared" si="105"/>
        <v>5054451.6343531748</v>
      </c>
      <c r="K233" s="76">
        <f t="shared" si="105"/>
        <v>78033557.201062396</v>
      </c>
      <c r="L233" s="76">
        <f t="shared" si="105"/>
        <v>89085516.423879668</v>
      </c>
      <c r="M233" s="76">
        <f t="shared" si="105"/>
        <v>63831084.879150748</v>
      </c>
      <c r="N233" s="76">
        <f t="shared" si="105"/>
        <v>44246128.238391086</v>
      </c>
      <c r="O233" s="76">
        <f>O188+O194+O197+O200+O208+O213+O216+O219+O222+O225+O228+O231</f>
        <v>2539872.5921789329</v>
      </c>
      <c r="P233" s="76">
        <f t="shared" si="105"/>
        <v>7312220.6606835518</v>
      </c>
      <c r="Q233" s="76">
        <f t="shared" si="105"/>
        <v>159176.3667899883</v>
      </c>
      <c r="R233" s="76">
        <f t="shared" si="105"/>
        <v>179674.04525289033</v>
      </c>
      <c r="S233" s="76">
        <f t="shared" si="105"/>
        <v>1862.0712958148063</v>
      </c>
      <c r="T233" s="76">
        <f t="shared" si="105"/>
        <v>26576.442720333296</v>
      </c>
      <c r="U233" s="76">
        <f t="shared" si="105"/>
        <v>71903</v>
      </c>
      <c r="V233" s="76">
        <f t="shared" si="105"/>
        <v>10000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643436661.24131238</v>
      </c>
      <c r="AB233" s="58" t="str">
        <f>IF(ABS(F233-AA233)&lt;0.01,"ok","err")</f>
        <v>ok</v>
      </c>
    </row>
    <row r="234" spans="1:28">
      <c r="A234" s="44"/>
    </row>
    <row r="235" spans="1:28">
      <c r="A235" s="44"/>
      <c r="F235" s="148"/>
      <c r="G235" s="148"/>
      <c r="J235" s="148"/>
      <c r="K235" s="148"/>
      <c r="N235" s="148"/>
      <c r="O235" s="148"/>
    </row>
    <row r="236" spans="1:28" ht="14.1">
      <c r="A236" s="45" t="s">
        <v>993</v>
      </c>
    </row>
    <row r="237" spans="1:28">
      <c r="A237" s="44"/>
    </row>
    <row r="238" spans="1:28" ht="14.1">
      <c r="A238" s="45" t="s">
        <v>352</v>
      </c>
    </row>
    <row r="239" spans="1:28">
      <c r="A239" s="458" t="s">
        <v>1441</v>
      </c>
      <c r="C239" s="60" t="s">
        <v>98</v>
      </c>
      <c r="D239" s="44" t="s">
        <v>1436</v>
      </c>
      <c r="E239" s="44" t="s">
        <v>1410</v>
      </c>
      <c r="F239" s="76">
        <f>VLOOKUP(C239,'Functional Assignment'!$C$2:$AP$780,'Functional Assignment'!$H$2,)</f>
        <v>24034851.784580022</v>
      </c>
      <c r="G239" s="76">
        <f t="shared" ref="G239:P244" si="106">IF(VLOOKUP($E239,$D$6:$AN$1150,3,)=0,0,(VLOOKUP($E239,$D$6:$AN$1150,G$2,)/VLOOKUP($E239,$D$6:$AN$1150,3,))*$F239)</f>
        <v>10509747.915344715</v>
      </c>
      <c r="H239" s="76">
        <f t="shared" si="106"/>
        <v>19704.168234753102</v>
      </c>
      <c r="I239" s="76">
        <f t="shared" si="106"/>
        <v>2940719.7515118863</v>
      </c>
      <c r="J239" s="76">
        <f t="shared" si="106"/>
        <v>199275.62725468329</v>
      </c>
      <c r="K239" s="76">
        <f t="shared" si="106"/>
        <v>3278493.7996236286</v>
      </c>
      <c r="L239" s="76">
        <f t="shared" si="106"/>
        <v>2959396.6847797167</v>
      </c>
      <c r="M239" s="76">
        <f t="shared" si="106"/>
        <v>2517814.8610505424</v>
      </c>
      <c r="N239" s="76">
        <f t="shared" si="106"/>
        <v>1430504.4509801266</v>
      </c>
      <c r="O239" s="76">
        <f t="shared" si="106"/>
        <v>84916.324805983561</v>
      </c>
      <c r="P239" s="76">
        <f t="shared" si="106"/>
        <v>87030.426927361026</v>
      </c>
      <c r="Q239" s="76">
        <f t="shared" ref="Q239:Z244" si="107">IF(VLOOKUP($E239,$D$6:$AN$1150,3,)=0,0,(VLOOKUP($E239,$D$6:$AN$1150,Q$2,)/VLOOKUP($E239,$D$6:$AN$1150,3,))*$F239)</f>
        <v>3031.2715453771621</v>
      </c>
      <c r="R239" s="76">
        <f t="shared" si="107"/>
        <v>4174.4840545575371</v>
      </c>
      <c r="S239" s="76">
        <f t="shared" si="107"/>
        <v>4.1124301769259866</v>
      </c>
      <c r="T239" s="76">
        <f t="shared" si="107"/>
        <v>37.906036512922675</v>
      </c>
      <c r="U239" s="76">
        <f t="shared" si="107"/>
        <v>0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24034851.784580018</v>
      </c>
      <c r="AB239" s="58" t="str">
        <f t="shared" ref="AB239:AB245" si="109">IF(ABS(F239-AA239)&lt;0.01,"ok","err")</f>
        <v>ok</v>
      </c>
    </row>
    <row r="240" spans="1:28" hidden="1">
      <c r="A240" s="458" t="s">
        <v>1256</v>
      </c>
      <c r="C240" s="60" t="s">
        <v>98</v>
      </c>
      <c r="D240" s="44" t="s">
        <v>461</v>
      </c>
      <c r="E240" s="44" t="s">
        <v>1423</v>
      </c>
      <c r="F240" s="79">
        <f>VLOOKUP(C240,'Functional Assignment'!$C$2:$AP$780,'Functional Assignment'!$I$2,)</f>
        <v>0</v>
      </c>
      <c r="G240" s="79">
        <f t="shared" si="106"/>
        <v>0</v>
      </c>
      <c r="H240" s="79">
        <f t="shared" si="106"/>
        <v>0</v>
      </c>
      <c r="I240" s="79">
        <f t="shared" si="106"/>
        <v>0</v>
      </c>
      <c r="J240" s="79">
        <f t="shared" si="106"/>
        <v>0</v>
      </c>
      <c r="K240" s="79">
        <f t="shared" si="106"/>
        <v>0</v>
      </c>
      <c r="L240" s="79">
        <f t="shared" si="106"/>
        <v>0</v>
      </c>
      <c r="M240" s="79">
        <f t="shared" si="106"/>
        <v>0</v>
      </c>
      <c r="N240" s="79">
        <f t="shared" si="106"/>
        <v>0</v>
      </c>
      <c r="O240" s="79">
        <f t="shared" si="106"/>
        <v>0</v>
      </c>
      <c r="P240" s="79">
        <f t="shared" si="106"/>
        <v>0</v>
      </c>
      <c r="Q240" s="79">
        <f t="shared" si="107"/>
        <v>0</v>
      </c>
      <c r="R240" s="79">
        <f t="shared" si="107"/>
        <v>0</v>
      </c>
      <c r="S240" s="79">
        <f t="shared" si="107"/>
        <v>0</v>
      </c>
      <c r="T240" s="79">
        <f t="shared" si="107"/>
        <v>0</v>
      </c>
      <c r="U240" s="79">
        <f t="shared" si="107"/>
        <v>0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0</v>
      </c>
      <c r="AB240" s="58" t="str">
        <f t="shared" si="109"/>
        <v>ok</v>
      </c>
    </row>
    <row r="241" spans="1:28" hidden="1">
      <c r="A241" s="458" t="s">
        <v>1256</v>
      </c>
      <c r="C241" s="60" t="s">
        <v>98</v>
      </c>
      <c r="D241" s="44" t="s">
        <v>462</v>
      </c>
      <c r="E241" s="44" t="s">
        <v>1423</v>
      </c>
      <c r="F241" s="79">
        <f>VLOOKUP(C241,'Functional Assignment'!$C$2:$AP$780,'Functional Assignment'!$J$2,)</f>
        <v>0</v>
      </c>
      <c r="G241" s="79">
        <f t="shared" si="106"/>
        <v>0</v>
      </c>
      <c r="H241" s="79">
        <f t="shared" si="106"/>
        <v>0</v>
      </c>
      <c r="I241" s="79">
        <f t="shared" si="106"/>
        <v>0</v>
      </c>
      <c r="J241" s="79">
        <f t="shared" si="106"/>
        <v>0</v>
      </c>
      <c r="K241" s="79">
        <f t="shared" si="106"/>
        <v>0</v>
      </c>
      <c r="L241" s="79">
        <f t="shared" si="106"/>
        <v>0</v>
      </c>
      <c r="M241" s="79">
        <f t="shared" si="106"/>
        <v>0</v>
      </c>
      <c r="N241" s="79">
        <f t="shared" si="106"/>
        <v>0</v>
      </c>
      <c r="O241" s="79">
        <f t="shared" si="106"/>
        <v>0</v>
      </c>
      <c r="P241" s="79">
        <f t="shared" si="106"/>
        <v>0</v>
      </c>
      <c r="Q241" s="79">
        <f t="shared" si="107"/>
        <v>0</v>
      </c>
      <c r="R241" s="79">
        <f t="shared" si="107"/>
        <v>0</v>
      </c>
      <c r="S241" s="79">
        <f t="shared" si="107"/>
        <v>0</v>
      </c>
      <c r="T241" s="79">
        <f t="shared" si="107"/>
        <v>0</v>
      </c>
      <c r="U241" s="79">
        <f t="shared" si="107"/>
        <v>0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0</v>
      </c>
      <c r="AB241" s="58" t="str">
        <f t="shared" si="109"/>
        <v>ok</v>
      </c>
    </row>
    <row r="242" spans="1:28">
      <c r="A242" s="458" t="s">
        <v>1160</v>
      </c>
      <c r="C242" s="60" t="s">
        <v>98</v>
      </c>
      <c r="D242" s="44" t="s">
        <v>463</v>
      </c>
      <c r="E242" s="44" t="s">
        <v>1015</v>
      </c>
      <c r="F242" s="79">
        <f>VLOOKUP(C242,'Functional Assignment'!$C$2:$AP$780,'Functional Assignment'!$K$2,)</f>
        <v>20124089.731171191</v>
      </c>
      <c r="G242" s="79">
        <f t="shared" si="106"/>
        <v>7214124.1142720338</v>
      </c>
      <c r="H242" s="79">
        <f t="shared" si="106"/>
        <v>19381.053972588485</v>
      </c>
      <c r="I242" s="79">
        <f t="shared" si="106"/>
        <v>2138531.6274208105</v>
      </c>
      <c r="J242" s="79">
        <f t="shared" si="106"/>
        <v>181179.84983733916</v>
      </c>
      <c r="K242" s="79">
        <f t="shared" si="106"/>
        <v>2695517.8692508251</v>
      </c>
      <c r="L242" s="79">
        <f t="shared" si="106"/>
        <v>3484425.9562532841</v>
      </c>
      <c r="M242" s="79">
        <f t="shared" si="106"/>
        <v>2301175.0318318959</v>
      </c>
      <c r="N242" s="79">
        <f t="shared" si="106"/>
        <v>1802399.7689836032</v>
      </c>
      <c r="O242" s="79">
        <f t="shared" si="106"/>
        <v>98536.011826475486</v>
      </c>
      <c r="P242" s="79">
        <f t="shared" si="106"/>
        <v>176860.46825927831</v>
      </c>
      <c r="Q242" s="79">
        <f t="shared" si="107"/>
        <v>6160.0537174551673</v>
      </c>
      <c r="R242" s="79">
        <f t="shared" si="107"/>
        <v>5744.6895298269392</v>
      </c>
      <c r="S242" s="79">
        <f t="shared" si="107"/>
        <v>20.633422220671171</v>
      </c>
      <c r="T242" s="79">
        <f t="shared" si="107"/>
        <v>32.602593552142757</v>
      </c>
      <c r="U242" s="79">
        <f t="shared" si="107"/>
        <v>0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20124089.731171191</v>
      </c>
      <c r="AB242" s="58" t="str">
        <f t="shared" si="109"/>
        <v>ok</v>
      </c>
    </row>
    <row r="243" spans="1:28" hidden="1">
      <c r="A243" s="458" t="s">
        <v>1161</v>
      </c>
      <c r="C243" s="60" t="s">
        <v>98</v>
      </c>
      <c r="D243" s="44" t="s">
        <v>464</v>
      </c>
      <c r="E243" s="44" t="s">
        <v>1015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 hidden="1">
      <c r="A244" s="458" t="s">
        <v>1161</v>
      </c>
      <c r="C244" s="60" t="s">
        <v>98</v>
      </c>
      <c r="D244" s="44" t="s">
        <v>465</v>
      </c>
      <c r="E244" s="44" t="s">
        <v>1015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44" t="s">
        <v>374</v>
      </c>
      <c r="D245" s="44" t="s">
        <v>1031</v>
      </c>
      <c r="E245" s="44"/>
      <c r="F245" s="76">
        <f>SUM(F239:F244)</f>
        <v>44158941.515751213</v>
      </c>
      <c r="G245" s="76">
        <f t="shared" ref="G245:P245" si="110">SUM(G239:G244)</f>
        <v>17723872.029616751</v>
      </c>
      <c r="H245" s="76">
        <f t="shared" si="110"/>
        <v>39085.222207341591</v>
      </c>
      <c r="I245" s="76">
        <f t="shared" si="110"/>
        <v>5079251.3789326968</v>
      </c>
      <c r="J245" s="76">
        <f t="shared" si="110"/>
        <v>380455.47709202243</v>
      </c>
      <c r="K245" s="76">
        <f t="shared" si="110"/>
        <v>5974011.6688744538</v>
      </c>
      <c r="L245" s="76">
        <f t="shared" si="110"/>
        <v>6443822.6410330012</v>
      </c>
      <c r="M245" s="76">
        <f t="shared" si="110"/>
        <v>4818989.8928824384</v>
      </c>
      <c r="N245" s="76">
        <f t="shared" si="110"/>
        <v>3232904.2199637298</v>
      </c>
      <c r="O245" s="76">
        <f>SUM(O239:O244)</f>
        <v>183452.33663245905</v>
      </c>
      <c r="P245" s="76">
        <f t="shared" si="110"/>
        <v>263890.89518663933</v>
      </c>
      <c r="Q245" s="76">
        <f t="shared" ref="Q245:W245" si="111">SUM(Q239:Q244)</f>
        <v>9191.3252628323298</v>
      </c>
      <c r="R245" s="76">
        <f t="shared" si="111"/>
        <v>9919.1735843844763</v>
      </c>
      <c r="S245" s="76">
        <f t="shared" si="111"/>
        <v>24.745852397597158</v>
      </c>
      <c r="T245" s="76">
        <f t="shared" si="111"/>
        <v>70.508630065065432</v>
      </c>
      <c r="U245" s="76">
        <f t="shared" si="111"/>
        <v>0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44158941.515751213</v>
      </c>
      <c r="AB245" s="58" t="str">
        <f t="shared" si="109"/>
        <v>ok</v>
      </c>
    </row>
    <row r="246" spans="1:28">
      <c r="A246" s="44"/>
      <c r="F246" s="79"/>
      <c r="G246" s="79"/>
    </row>
    <row r="247" spans="1:28" ht="14.1">
      <c r="A247" s="45" t="s">
        <v>1055</v>
      </c>
      <c r="F247" s="79"/>
      <c r="G247" s="79"/>
    </row>
    <row r="248" spans="1:28">
      <c r="A248" s="458" t="s">
        <v>1225</v>
      </c>
      <c r="C248" s="60" t="s">
        <v>98</v>
      </c>
      <c r="D248" s="60" t="s">
        <v>466</v>
      </c>
      <c r="E248" s="60" t="s">
        <v>1229</v>
      </c>
      <c r="F248" s="76">
        <f>VLOOKUP(C248,'Functional Assignment'!$C$2:$AP$780,'Functional Assignment'!$N$2,)</f>
        <v>5515515.3771884199</v>
      </c>
      <c r="G248" s="76">
        <f t="shared" ref="G248:P250" si="112">IF(VLOOKUP($E248,$D$6:$AN$1150,3,)=0,0,(VLOOKUP($E248,$D$6:$AN$1150,G$2,)/VLOOKUP($E248,$D$6:$AN$1150,3,))*$F248)</f>
        <v>2601887.4172291486</v>
      </c>
      <c r="H248" s="76">
        <f t="shared" si="112"/>
        <v>7978.5622923767451</v>
      </c>
      <c r="I248" s="76">
        <f t="shared" si="112"/>
        <v>637336.80550145311</v>
      </c>
      <c r="J248" s="76">
        <f t="shared" si="112"/>
        <v>41836.788073781841</v>
      </c>
      <c r="K248" s="76">
        <f t="shared" si="112"/>
        <v>709159.33991971624</v>
      </c>
      <c r="L248" s="76">
        <f t="shared" si="112"/>
        <v>594718.13165823813</v>
      </c>
      <c r="M248" s="76">
        <f t="shared" si="112"/>
        <v>563043.1912077748</v>
      </c>
      <c r="N248" s="76">
        <f t="shared" si="112"/>
        <v>293617.12541297579</v>
      </c>
      <c r="O248" s="76">
        <f t="shared" si="112"/>
        <v>18868.041488413361</v>
      </c>
      <c r="P248" s="76">
        <f t="shared" si="112"/>
        <v>44712.174668505948</v>
      </c>
      <c r="Q248" s="76">
        <f t="shared" ref="Q248:Z250" si="113">IF(VLOOKUP($E248,$D$6:$AN$1150,3,)=0,0,(VLOOKUP($E248,$D$6:$AN$1150,Q$2,)/VLOOKUP($E248,$D$6:$AN$1150,3,))*$F248)</f>
        <v>1557.3259558717114</v>
      </c>
      <c r="R248" s="76">
        <f t="shared" si="113"/>
        <v>714.8850763578547</v>
      </c>
      <c r="S248" s="76">
        <f t="shared" si="113"/>
        <v>77.798962285850493</v>
      </c>
      <c r="T248" s="76">
        <f t="shared" si="113"/>
        <v>7.7897415209563885</v>
      </c>
      <c r="U248" s="76">
        <f t="shared" si="113"/>
        <v>0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5515515.3771884199</v>
      </c>
      <c r="AB248" s="58" t="str">
        <f>IF(ABS(F248-AA248)&lt;0.01,"ok","err")</f>
        <v>ok</v>
      </c>
    </row>
    <row r="249" spans="1:28" hidden="1">
      <c r="A249" s="458" t="s">
        <v>1226</v>
      </c>
      <c r="C249" s="60" t="s">
        <v>98</v>
      </c>
      <c r="D249" s="60" t="s">
        <v>467</v>
      </c>
      <c r="E249" s="60" t="s">
        <v>1229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458" t="s">
        <v>1226</v>
      </c>
      <c r="C250" s="60" t="s">
        <v>98</v>
      </c>
      <c r="D250" s="60" t="s">
        <v>468</v>
      </c>
      <c r="E250" s="60" t="s">
        <v>1229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44" t="s">
        <v>1057</v>
      </c>
      <c r="D251" s="60" t="s">
        <v>469</v>
      </c>
      <c r="F251" s="76">
        <f>SUM(F248:F250)</f>
        <v>5515515.3771884199</v>
      </c>
      <c r="G251" s="76">
        <f t="shared" ref="G251:W251" si="114">SUM(G248:G250)</f>
        <v>2601887.4172291486</v>
      </c>
      <c r="H251" s="76">
        <f t="shared" si="114"/>
        <v>7978.5622923767451</v>
      </c>
      <c r="I251" s="76">
        <f t="shared" si="114"/>
        <v>637336.80550145311</v>
      </c>
      <c r="J251" s="76">
        <f t="shared" si="114"/>
        <v>41836.788073781841</v>
      </c>
      <c r="K251" s="76">
        <f t="shared" si="114"/>
        <v>709159.33991971624</v>
      </c>
      <c r="L251" s="76">
        <f t="shared" si="114"/>
        <v>594718.13165823813</v>
      </c>
      <c r="M251" s="76">
        <f t="shared" si="114"/>
        <v>563043.1912077748</v>
      </c>
      <c r="N251" s="76">
        <f t="shared" si="114"/>
        <v>293617.12541297579</v>
      </c>
      <c r="O251" s="76">
        <f>SUM(O248:O250)</f>
        <v>18868.041488413361</v>
      </c>
      <c r="P251" s="76">
        <f t="shared" si="114"/>
        <v>44712.174668505948</v>
      </c>
      <c r="Q251" s="76">
        <f t="shared" si="114"/>
        <v>1557.3259558717114</v>
      </c>
      <c r="R251" s="76">
        <f t="shared" si="114"/>
        <v>714.8850763578547</v>
      </c>
      <c r="S251" s="76">
        <f t="shared" si="114"/>
        <v>77.798962285850493</v>
      </c>
      <c r="T251" s="76">
        <f t="shared" si="114"/>
        <v>7.7897415209563885</v>
      </c>
      <c r="U251" s="76">
        <f t="shared" si="114"/>
        <v>0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5515515.3771884199</v>
      </c>
      <c r="AB251" s="58" t="str">
        <f>IF(ABS(F251-AA251)&lt;0.01,"ok","err")</f>
        <v>ok</v>
      </c>
    </row>
    <row r="252" spans="1:28">
      <c r="A252" s="44"/>
      <c r="F252" s="79"/>
      <c r="G252" s="79"/>
    </row>
    <row r="253" spans="1:28" ht="14.1">
      <c r="A253" s="45" t="s">
        <v>337</v>
      </c>
      <c r="F253" s="79"/>
      <c r="G253" s="79"/>
    </row>
    <row r="254" spans="1:28">
      <c r="A254" s="458" t="s">
        <v>359</v>
      </c>
      <c r="C254" s="60" t="s">
        <v>98</v>
      </c>
      <c r="D254" s="60" t="s">
        <v>470</v>
      </c>
      <c r="E254" s="60" t="s">
        <v>1230</v>
      </c>
      <c r="F254" s="76">
        <f>VLOOKUP(C254,'Functional Assignment'!$C$2:$AP$780,'Functional Assignment'!$Q$2,)</f>
        <v>0</v>
      </c>
      <c r="G254" s="76">
        <f t="shared" ref="G254:Z254" si="115">IF(VLOOKUP($E254,$D$6:$AN$1150,3,)=0,0,(VLOOKUP($E254,$D$6:$AN$1150,G$2,)/VLOOKUP($E254,$D$6:$AN$1150,3,))*$F254)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A255" s="44"/>
      <c r="F255" s="79"/>
    </row>
    <row r="256" spans="1:28" ht="14.1">
      <c r="A256" s="45" t="s">
        <v>338</v>
      </c>
      <c r="F256" s="79"/>
      <c r="G256" s="79"/>
    </row>
    <row r="257" spans="1:28">
      <c r="A257" s="458" t="s">
        <v>361</v>
      </c>
      <c r="C257" s="60" t="s">
        <v>98</v>
      </c>
      <c r="D257" s="60" t="s">
        <v>471</v>
      </c>
      <c r="E257" s="60" t="s">
        <v>1230</v>
      </c>
      <c r="F257" s="76">
        <f>VLOOKUP(C257,'Functional Assignment'!$C$2:$AP$780,'Functional Assignment'!$R$2,)</f>
        <v>2294468.860985558</v>
      </c>
      <c r="G257" s="76">
        <f t="shared" ref="G257:Z257" si="116">IF(VLOOKUP($E257,$D$6:$AN$1150,3,)=0,0,(VLOOKUP($E257,$D$6:$AN$1150,G$2,)/VLOOKUP($E257,$D$6:$AN$1150,3,))*$F257)</f>
        <v>1143252.7733746322</v>
      </c>
      <c r="H257" s="76">
        <f t="shared" si="116"/>
        <v>3505.7294977104862</v>
      </c>
      <c r="I257" s="76">
        <f t="shared" si="116"/>
        <v>280041.7364865152</v>
      </c>
      <c r="J257" s="76">
        <f t="shared" si="116"/>
        <v>18382.818440843181</v>
      </c>
      <c r="K257" s="76">
        <f t="shared" si="116"/>
        <v>311600.10104939004</v>
      </c>
      <c r="L257" s="76">
        <f t="shared" si="116"/>
        <v>261315.36241430708</v>
      </c>
      <c r="M257" s="76">
        <f t="shared" si="116"/>
        <v>247397.59515171254</v>
      </c>
      <c r="N257" s="76">
        <f t="shared" si="116"/>
        <v>0</v>
      </c>
      <c r="O257" s="76">
        <f t="shared" si="116"/>
        <v>8290.4973585474872</v>
      </c>
      <c r="P257" s="76">
        <f t="shared" si="116"/>
        <v>19646.245012329255</v>
      </c>
      <c r="Q257" s="76">
        <f t="shared" si="116"/>
        <v>684.27911458008816</v>
      </c>
      <c r="R257" s="76">
        <f t="shared" si="116"/>
        <v>314.11595320316428</v>
      </c>
      <c r="S257" s="76">
        <f t="shared" si="116"/>
        <v>34.184368935411818</v>
      </c>
      <c r="T257" s="76">
        <f t="shared" si="116"/>
        <v>3.4227628523561884</v>
      </c>
      <c r="U257" s="76">
        <f t="shared" si="116"/>
        <v>0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2294468.8609855589</v>
      </c>
      <c r="AB257" s="58" t="str">
        <f>IF(ABS(F257-AA257)&lt;0.01,"ok","err")</f>
        <v>ok</v>
      </c>
    </row>
    <row r="258" spans="1:28">
      <c r="A258" s="44"/>
      <c r="F258" s="79"/>
    </row>
    <row r="259" spans="1:28" ht="14.1">
      <c r="A259" s="45" t="s">
        <v>360</v>
      </c>
      <c r="F259" s="79"/>
    </row>
    <row r="260" spans="1:28">
      <c r="A260" s="458" t="s">
        <v>603</v>
      </c>
      <c r="C260" s="60" t="s">
        <v>98</v>
      </c>
      <c r="D260" s="60" t="s">
        <v>472</v>
      </c>
      <c r="E260" s="60" t="s">
        <v>1230</v>
      </c>
      <c r="F260" s="76">
        <f>VLOOKUP(C260,'Functional Assignment'!$C$2:$AP$780,'Functional Assignment'!$S$2,)</f>
        <v>0</v>
      </c>
      <c r="G260" s="76">
        <f t="shared" ref="G260:P264" si="117">IF(VLOOKUP($E260,$D$6:$AN$1150,3,)=0,0,(VLOOKUP($E260,$D$6:$AN$1150,G$2,)/VLOOKUP($E260,$D$6:$AN$1150,3,))*$F260)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IF(VLOOKUP($E260,$D$6:$AN$1150,3,)=0,0,(VLOOKUP($E260,$D$6:$AN$1150,Q$2,)/VLOOKUP($E260,$D$6:$AN$1150,3,))*$F260)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458" t="s">
        <v>604</v>
      </c>
      <c r="C261" s="60" t="s">
        <v>98</v>
      </c>
      <c r="D261" s="60" t="s">
        <v>473</v>
      </c>
      <c r="E261" s="60" t="s">
        <v>1230</v>
      </c>
      <c r="F261" s="79">
        <f>VLOOKUP(C261,'Functional Assignment'!$C$2:$AP$780,'Functional Assignment'!$T$2,)</f>
        <v>2285840.7198717846</v>
      </c>
      <c r="G261" s="79">
        <f t="shared" si="117"/>
        <v>1138953.6754765888</v>
      </c>
      <c r="H261" s="79">
        <f t="shared" si="117"/>
        <v>3492.5465213244083</v>
      </c>
      <c r="I261" s="79">
        <f t="shared" si="117"/>
        <v>278988.66504970606</v>
      </c>
      <c r="J261" s="79">
        <f t="shared" si="117"/>
        <v>18313.691526866085</v>
      </c>
      <c r="K261" s="79">
        <f t="shared" si="117"/>
        <v>310428.35725777224</v>
      </c>
      <c r="L261" s="79">
        <f t="shared" si="117"/>
        <v>260332.70980112712</v>
      </c>
      <c r="M261" s="79">
        <f t="shared" si="117"/>
        <v>246467.27903434311</v>
      </c>
      <c r="N261" s="79">
        <f t="shared" si="117"/>
        <v>0</v>
      </c>
      <c r="O261" s="79">
        <f t="shared" si="117"/>
        <v>8259.3216985377931</v>
      </c>
      <c r="P261" s="79">
        <f t="shared" si="117"/>
        <v>19572.367097834773</v>
      </c>
      <c r="Q261" s="79">
        <f t="shared" si="118"/>
        <v>681.70594531107088</v>
      </c>
      <c r="R261" s="79">
        <f t="shared" si="118"/>
        <v>312.93474877872933</v>
      </c>
      <c r="S261" s="79">
        <f t="shared" si="118"/>
        <v>34.055821730402755</v>
      </c>
      <c r="T261" s="79">
        <f t="shared" si="118"/>
        <v>3.4098918644812755</v>
      </c>
      <c r="U261" s="79">
        <f t="shared" si="118"/>
        <v>0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2285840.7198717846</v>
      </c>
      <c r="AB261" s="58" t="str">
        <f t="shared" si="120"/>
        <v>ok</v>
      </c>
    </row>
    <row r="262" spans="1:28">
      <c r="A262" s="458" t="s">
        <v>605</v>
      </c>
      <c r="C262" s="60" t="s">
        <v>98</v>
      </c>
      <c r="D262" s="60" t="s">
        <v>474</v>
      </c>
      <c r="E262" s="60" t="s">
        <v>658</v>
      </c>
      <c r="F262" s="79">
        <f>VLOOKUP(C262,'Functional Assignment'!$C$2:$AP$780,'Functional Assignment'!$U$2,)</f>
        <v>3861146.3975803666</v>
      </c>
      <c r="G262" s="79">
        <f t="shared" si="117"/>
        <v>3330364.655525364</v>
      </c>
      <c r="H262" s="79">
        <f t="shared" si="117"/>
        <v>8220.4962577965962</v>
      </c>
      <c r="I262" s="79">
        <f t="shared" si="117"/>
        <v>401049.90303037089</v>
      </c>
      <c r="J262" s="79">
        <f t="shared" si="117"/>
        <v>618.91340472789648</v>
      </c>
      <c r="K262" s="79">
        <f t="shared" si="117"/>
        <v>24600.899452310507</v>
      </c>
      <c r="L262" s="79">
        <f t="shared" si="117"/>
        <v>1163.5087536551985</v>
      </c>
      <c r="M262" s="79">
        <f t="shared" si="117"/>
        <v>4465.0665813416426</v>
      </c>
      <c r="N262" s="79">
        <f t="shared" si="117"/>
        <v>0</v>
      </c>
      <c r="O262" s="79">
        <f t="shared" si="117"/>
        <v>17.683240135082755</v>
      </c>
      <c r="P262" s="79">
        <f t="shared" si="117"/>
        <v>89407.44452520815</v>
      </c>
      <c r="Q262" s="79">
        <f t="shared" si="118"/>
        <v>158.16675898601801</v>
      </c>
      <c r="R262" s="79">
        <f t="shared" si="118"/>
        <v>982.40222972681977</v>
      </c>
      <c r="S262" s="79">
        <f t="shared" si="118"/>
        <v>8.8416200675413776</v>
      </c>
      <c r="T262" s="79">
        <f t="shared" si="118"/>
        <v>88.416200675413791</v>
      </c>
      <c r="U262" s="79">
        <f t="shared" si="118"/>
        <v>0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3861146.3975803657</v>
      </c>
      <c r="AB262" s="58" t="str">
        <f t="shared" si="120"/>
        <v>ok</v>
      </c>
    </row>
    <row r="263" spans="1:28">
      <c r="A263" s="458" t="s">
        <v>606</v>
      </c>
      <c r="C263" s="60" t="s">
        <v>98</v>
      </c>
      <c r="D263" s="60" t="s">
        <v>475</v>
      </c>
      <c r="E263" s="60" t="s">
        <v>646</v>
      </c>
      <c r="F263" s="79">
        <f>VLOOKUP(C263,'Functional Assignment'!$C$2:$AP$780,'Functional Assignment'!$V$2,)</f>
        <v>756972.84189520229</v>
      </c>
      <c r="G263" s="79">
        <f t="shared" si="117"/>
        <v>572104.98777317652</v>
      </c>
      <c r="H263" s="79">
        <f t="shared" si="117"/>
        <v>1707.5388819776135</v>
      </c>
      <c r="I263" s="79">
        <f t="shared" si="117"/>
        <v>91688.761826715228</v>
      </c>
      <c r="J263" s="79">
        <f t="shared" si="117"/>
        <v>0</v>
      </c>
      <c r="K263" s="79">
        <f t="shared" si="117"/>
        <v>86842.04616928607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4397.6088609252274</v>
      </c>
      <c r="Q263" s="79">
        <f t="shared" si="118"/>
        <v>153.16880634111033</v>
      </c>
      <c r="R263" s="79">
        <f t="shared" si="118"/>
        <v>70.311609078341419</v>
      </c>
      <c r="S263" s="79">
        <f t="shared" si="118"/>
        <v>7.6518176191512879</v>
      </c>
      <c r="T263" s="79">
        <f t="shared" si="118"/>
        <v>0.76615008307802446</v>
      </c>
      <c r="U263" s="79">
        <f t="shared" si="118"/>
        <v>0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756972.84189520217</v>
      </c>
      <c r="AB263" s="58" t="str">
        <f t="shared" si="120"/>
        <v>ok</v>
      </c>
    </row>
    <row r="264" spans="1:28">
      <c r="A264" s="458" t="s">
        <v>607</v>
      </c>
      <c r="C264" s="60" t="s">
        <v>98</v>
      </c>
      <c r="D264" s="60" t="s">
        <v>476</v>
      </c>
      <c r="E264" s="60" t="s">
        <v>657</v>
      </c>
      <c r="F264" s="79">
        <f>VLOOKUP(C264,'Functional Assignment'!$C$2:$AP$780,'Functional Assignment'!$W$2,)</f>
        <v>1317944.1506281546</v>
      </c>
      <c r="G264" s="79">
        <f t="shared" si="117"/>
        <v>1145933.032407267</v>
      </c>
      <c r="H264" s="79">
        <f t="shared" si="117"/>
        <v>2828.5605868896723</v>
      </c>
      <c r="I264" s="79">
        <f t="shared" si="117"/>
        <v>137995.79897767541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30763.881623165395</v>
      </c>
      <c r="Q264" s="79">
        <f t="shared" si="118"/>
        <v>54.423023451852323</v>
      </c>
      <c r="R264" s="79">
        <f t="shared" si="118"/>
        <v>338.03120156430009</v>
      </c>
      <c r="S264" s="79">
        <f t="shared" si="118"/>
        <v>0</v>
      </c>
      <c r="T264" s="79">
        <f t="shared" si="118"/>
        <v>30.422808140787009</v>
      </c>
      <c r="U264" s="79">
        <f t="shared" si="118"/>
        <v>0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1317944.1506281544</v>
      </c>
      <c r="AB264" s="58" t="str">
        <f t="shared" si="120"/>
        <v>ok</v>
      </c>
    </row>
    <row r="265" spans="1:28">
      <c r="A265" s="44" t="s">
        <v>365</v>
      </c>
      <c r="D265" s="60" t="s">
        <v>477</v>
      </c>
      <c r="F265" s="76">
        <f>SUM(F260:F264)</f>
        <v>8221904.1099755075</v>
      </c>
      <c r="G265" s="76">
        <f t="shared" ref="G265:W265" si="121">SUM(G260:G264)</f>
        <v>6187356.3511823956</v>
      </c>
      <c r="H265" s="76">
        <f t="shared" si="121"/>
        <v>16249.142247988291</v>
      </c>
      <c r="I265" s="76">
        <f t="shared" si="121"/>
        <v>909723.12888446753</v>
      </c>
      <c r="J265" s="76">
        <f t="shared" si="121"/>
        <v>18932.604931593982</v>
      </c>
      <c r="K265" s="76">
        <f t="shared" si="121"/>
        <v>421871.30287936883</v>
      </c>
      <c r="L265" s="76">
        <f t="shared" si="121"/>
        <v>261496.2185547823</v>
      </c>
      <c r="M265" s="76">
        <f t="shared" si="121"/>
        <v>250932.34561568475</v>
      </c>
      <c r="N265" s="76">
        <f t="shared" si="121"/>
        <v>0</v>
      </c>
      <c r="O265" s="76">
        <f>SUM(O260:O264)</f>
        <v>8277.0049386728751</v>
      </c>
      <c r="P265" s="76">
        <f t="shared" si="121"/>
        <v>144141.30210713355</v>
      </c>
      <c r="Q265" s="76">
        <f t="shared" si="121"/>
        <v>1047.4645340900515</v>
      </c>
      <c r="R265" s="76">
        <f t="shared" si="121"/>
        <v>1703.6797891481906</v>
      </c>
      <c r="S265" s="76">
        <f t="shared" si="121"/>
        <v>50.549259417095421</v>
      </c>
      <c r="T265" s="76">
        <f t="shared" si="121"/>
        <v>123.01505076376012</v>
      </c>
      <c r="U265" s="76">
        <f t="shared" si="121"/>
        <v>0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8221904.1099755075</v>
      </c>
      <c r="AB265" s="58" t="str">
        <f t="shared" si="120"/>
        <v>ok</v>
      </c>
    </row>
    <row r="266" spans="1:28">
      <c r="A266" s="44"/>
      <c r="F266" s="79"/>
    </row>
    <row r="267" spans="1:28" ht="14.1">
      <c r="A267" s="45" t="s">
        <v>613</v>
      </c>
      <c r="F267" s="79"/>
    </row>
    <row r="268" spans="1:28">
      <c r="A268" s="458" t="s">
        <v>1014</v>
      </c>
      <c r="C268" s="60" t="s">
        <v>98</v>
      </c>
      <c r="D268" s="60" t="s">
        <v>478</v>
      </c>
      <c r="E268" s="60" t="s">
        <v>1207</v>
      </c>
      <c r="F268" s="76">
        <f>VLOOKUP(C268,'Functional Assignment'!$C$2:$AP$780,'Functional Assignment'!$X$2,)</f>
        <v>214386.23873627349</v>
      </c>
      <c r="G268" s="76">
        <f t="shared" ref="G268:P269" si="122">IF(VLOOKUP($E268,$D$6:$AN$1150,3,)=0,0,(VLOOKUP($E268,$D$6:$AN$1150,G$2,)/VLOOKUP($E268,$D$6:$AN$1150,3,))*$F268)</f>
        <v>147877.42429713203</v>
      </c>
      <c r="H268" s="76">
        <f t="shared" si="122"/>
        <v>441.36383557307096</v>
      </c>
      <c r="I268" s="76">
        <f t="shared" si="122"/>
        <v>23699.667413673196</v>
      </c>
      <c r="J268" s="76">
        <f t="shared" si="122"/>
        <v>0</v>
      </c>
      <c r="K268" s="76">
        <f t="shared" si="122"/>
        <v>22446.890662834299</v>
      </c>
      <c r="L268" s="76">
        <f t="shared" si="122"/>
        <v>0</v>
      </c>
      <c r="M268" s="76">
        <f t="shared" si="122"/>
        <v>18724.259703286218</v>
      </c>
      <c r="N268" s="76">
        <f t="shared" si="122"/>
        <v>0</v>
      </c>
      <c r="O268" s="76">
        <f t="shared" si="122"/>
        <v>0</v>
      </c>
      <c r="P268" s="76">
        <f t="shared" si="122"/>
        <v>1136.6918403404934</v>
      </c>
      <c r="Q268" s="76">
        <f t="shared" ref="Q268:Z269" si="123">IF(VLOOKUP($E268,$D$6:$AN$1150,3,)=0,0,(VLOOKUP($E268,$D$6:$AN$1150,Q$2,)/VLOOKUP($E268,$D$6:$AN$1150,3,))*$F268)</f>
        <v>39.590999988571667</v>
      </c>
      <c r="R268" s="76">
        <f t="shared" si="123"/>
        <v>18.174111169983874</v>
      </c>
      <c r="S268" s="76">
        <f t="shared" si="123"/>
        <v>1.9778381676338854</v>
      </c>
      <c r="T268" s="76">
        <f t="shared" si="123"/>
        <v>0.1980341079556027</v>
      </c>
      <c r="U268" s="76">
        <f t="shared" si="123"/>
        <v>0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214386.23873627349</v>
      </c>
      <c r="AB268" s="58" t="str">
        <f>IF(ABS(F268-AA268)&lt;0.01,"ok","err")</f>
        <v>ok</v>
      </c>
    </row>
    <row r="269" spans="1:28">
      <c r="A269" s="458" t="s">
        <v>1017</v>
      </c>
      <c r="C269" s="60" t="s">
        <v>98</v>
      </c>
      <c r="D269" s="60" t="s">
        <v>479</v>
      </c>
      <c r="E269" s="60" t="s">
        <v>1205</v>
      </c>
      <c r="F269" s="79">
        <f>VLOOKUP(C269,'Functional Assignment'!$C$2:$AP$780,'Functional Assignment'!$Y$2,)</f>
        <v>119500.58441743354</v>
      </c>
      <c r="G269" s="79">
        <f t="shared" si="122"/>
        <v>103121.22637573702</v>
      </c>
      <c r="H269" s="79">
        <f t="shared" si="122"/>
        <v>254.53898993154436</v>
      </c>
      <c r="I269" s="79">
        <f t="shared" si="122"/>
        <v>12418.08694124465</v>
      </c>
      <c r="J269" s="79">
        <f t="shared" si="122"/>
        <v>0</v>
      </c>
      <c r="K269" s="79">
        <f t="shared" si="122"/>
        <v>761.74088541912704</v>
      </c>
      <c r="L269" s="79">
        <f t="shared" si="122"/>
        <v>0</v>
      </c>
      <c r="M269" s="79">
        <f t="shared" si="122"/>
        <v>138.25607383664567</v>
      </c>
      <c r="N269" s="79">
        <f t="shared" si="122"/>
        <v>0</v>
      </c>
      <c r="O269" s="79">
        <f t="shared" si="122"/>
        <v>0</v>
      </c>
      <c r="P269" s="79">
        <f t="shared" si="122"/>
        <v>2768.4071506294908</v>
      </c>
      <c r="Q269" s="79">
        <f t="shared" si="123"/>
        <v>4.8974667478089868</v>
      </c>
      <c r="R269" s="79">
        <f t="shared" si="123"/>
        <v>30.419048123037182</v>
      </c>
      <c r="S269" s="79">
        <f t="shared" si="123"/>
        <v>0.27377143310733465</v>
      </c>
      <c r="T269" s="79">
        <f t="shared" si="123"/>
        <v>2.7377143310733465</v>
      </c>
      <c r="U269" s="79">
        <f t="shared" si="123"/>
        <v>0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119500.58441743349</v>
      </c>
      <c r="AB269" s="58" t="str">
        <f>IF(ABS(F269-AA269)&lt;0.01,"ok","err")</f>
        <v>ok</v>
      </c>
    </row>
    <row r="270" spans="1:28">
      <c r="A270" s="44" t="s">
        <v>672</v>
      </c>
      <c r="D270" s="60" t="s">
        <v>480</v>
      </c>
      <c r="F270" s="76">
        <f>F268+F269</f>
        <v>333886.82315370702</v>
      </c>
      <c r="G270" s="76">
        <f t="shared" ref="G270:W270" si="124">G268+G269</f>
        <v>250998.65067286906</v>
      </c>
      <c r="H270" s="76">
        <f t="shared" si="124"/>
        <v>695.90282550461529</v>
      </c>
      <c r="I270" s="76">
        <f t="shared" si="124"/>
        <v>36117.754354917844</v>
      </c>
      <c r="J270" s="76">
        <f t="shared" si="124"/>
        <v>0</v>
      </c>
      <c r="K270" s="76">
        <f t="shared" si="124"/>
        <v>23208.631548253426</v>
      </c>
      <c r="L270" s="76">
        <f t="shared" si="124"/>
        <v>0</v>
      </c>
      <c r="M270" s="76">
        <f t="shared" si="124"/>
        <v>18862.515777122862</v>
      </c>
      <c r="N270" s="76">
        <f t="shared" si="124"/>
        <v>0</v>
      </c>
      <c r="O270" s="76">
        <f>O268+O269</f>
        <v>0</v>
      </c>
      <c r="P270" s="76">
        <f t="shared" si="124"/>
        <v>3905.0989909699842</v>
      </c>
      <c r="Q270" s="76">
        <f t="shared" si="124"/>
        <v>44.488466736380651</v>
      </c>
      <c r="R270" s="76">
        <f t="shared" si="124"/>
        <v>48.59315929302106</v>
      </c>
      <c r="S270" s="76">
        <f t="shared" si="124"/>
        <v>2.2516096007412201</v>
      </c>
      <c r="T270" s="76">
        <f t="shared" si="124"/>
        <v>2.935748439028949</v>
      </c>
      <c r="U270" s="76">
        <f t="shared" si="124"/>
        <v>0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333886.82315370697</v>
      </c>
      <c r="AB270" s="58" t="str">
        <f>IF(ABS(F270-AA270)&lt;0.01,"ok","err")</f>
        <v>ok</v>
      </c>
    </row>
    <row r="271" spans="1:28">
      <c r="A271" s="44"/>
      <c r="F271" s="79"/>
    </row>
    <row r="272" spans="1:28" ht="14.1">
      <c r="A272" s="45" t="s">
        <v>343</v>
      </c>
      <c r="F272" s="79"/>
    </row>
    <row r="273" spans="1:28">
      <c r="A273" s="458" t="s">
        <v>1017</v>
      </c>
      <c r="C273" s="60" t="s">
        <v>98</v>
      </c>
      <c r="D273" s="60" t="s">
        <v>481</v>
      </c>
      <c r="E273" s="60" t="s">
        <v>1019</v>
      </c>
      <c r="F273" s="76">
        <f>VLOOKUP(C273,'Functional Assignment'!$C$2:$AP$780,'Functional Assignment'!$Z$2,)</f>
        <v>54624.483716633593</v>
      </c>
      <c r="G273" s="76">
        <f t="shared" ref="G273:Z273" si="125">IF(VLOOKUP($E273,$D$6:$AN$1150,3,)=0,0,(VLOOKUP($E273,$D$6:$AN$1150,G$2,)/VLOOKUP($E273,$D$6:$AN$1150,3,))*$F273)</f>
        <v>46933.406299534858</v>
      </c>
      <c r="H273" s="76">
        <f t="shared" si="125"/>
        <v>115.8479418194856</v>
      </c>
      <c r="I273" s="76">
        <f t="shared" si="125"/>
        <v>6700.9494209746181</v>
      </c>
      <c r="J273" s="76">
        <f t="shared" si="125"/>
        <v>0</v>
      </c>
      <c r="K273" s="76">
        <f t="shared" si="125"/>
        <v>689.25187437710895</v>
      </c>
      <c r="L273" s="76">
        <f t="shared" si="125"/>
        <v>0</v>
      </c>
      <c r="M273" s="76">
        <f t="shared" si="125"/>
        <v>184.78046121235536</v>
      </c>
      <c r="N273" s="76">
        <f t="shared" si="125"/>
        <v>0</v>
      </c>
      <c r="O273" s="76">
        <f t="shared" si="125"/>
        <v>0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0.24771871515904262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54624.483716633586</v>
      </c>
      <c r="AB273" s="58" t="str">
        <f>IF(ABS(F273-AA273)&lt;0.01,"ok","err")</f>
        <v>ok</v>
      </c>
    </row>
    <row r="274" spans="1:28">
      <c r="A274" s="44"/>
      <c r="F274" s="79"/>
    </row>
    <row r="275" spans="1:28" ht="14.1">
      <c r="A275" s="45" t="s">
        <v>342</v>
      </c>
      <c r="F275" s="79"/>
    </row>
    <row r="276" spans="1:28">
      <c r="A276" s="458" t="s">
        <v>1017</v>
      </c>
      <c r="C276" s="60" t="s">
        <v>98</v>
      </c>
      <c r="D276" s="60" t="s">
        <v>482</v>
      </c>
      <c r="E276" s="60" t="s">
        <v>1020</v>
      </c>
      <c r="F276" s="76">
        <f>VLOOKUP(C276,'Functional Assignment'!$C$2:$AP$780,'Functional Assignment'!$AA$2,)</f>
        <v>4648097.8497791598</v>
      </c>
      <c r="G276" s="76">
        <f t="shared" ref="G276:Z276" si="126">IF(VLOOKUP($E276,$D$6:$AN$1150,3,)=0,0,(VLOOKUP($E276,$D$6:$AN$1150,G$2,)/VLOOKUP($E276,$D$6:$AN$1150,3,))*$F276)</f>
        <v>3169366.7479149508</v>
      </c>
      <c r="H276" s="76">
        <f t="shared" si="126"/>
        <v>7823.097524048716</v>
      </c>
      <c r="I276" s="76">
        <f t="shared" si="126"/>
        <v>987164.95570222056</v>
      </c>
      <c r="J276" s="76">
        <f t="shared" si="126"/>
        <v>32266.707592283525</v>
      </c>
      <c r="K276" s="76">
        <f t="shared" si="126"/>
        <v>276058.25487258285</v>
      </c>
      <c r="L276" s="76">
        <f t="shared" si="126"/>
        <v>64449.421625424366</v>
      </c>
      <c r="M276" s="76">
        <f t="shared" si="126"/>
        <v>54575.007598517128</v>
      </c>
      <c r="N276" s="76">
        <f t="shared" si="126"/>
        <v>45546.045649013242</v>
      </c>
      <c r="O276" s="76">
        <f t="shared" si="126"/>
        <v>979.51527703530553</v>
      </c>
      <c r="P276" s="76">
        <f t="shared" si="126"/>
        <v>0</v>
      </c>
      <c r="Q276" s="76">
        <f t="shared" si="126"/>
        <v>1354.6853469984869</v>
      </c>
      <c r="R276" s="76">
        <f t="shared" si="126"/>
        <v>8414.1947018539558</v>
      </c>
      <c r="S276" s="76">
        <f t="shared" si="126"/>
        <v>99.215974229862624</v>
      </c>
      <c r="T276" s="76">
        <f t="shared" si="126"/>
        <v>0</v>
      </c>
      <c r="U276" s="76">
        <f t="shared" si="126"/>
        <v>0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4648097.8497791598</v>
      </c>
      <c r="AB276" s="58" t="str">
        <f>IF(ABS(F276-AA276)&lt;0.01,"ok","err")</f>
        <v>ok</v>
      </c>
    </row>
    <row r="277" spans="1:28">
      <c r="A277" s="44"/>
      <c r="F277" s="79"/>
    </row>
    <row r="278" spans="1:28" ht="14.1">
      <c r="A278" s="45" t="s">
        <v>358</v>
      </c>
      <c r="F278" s="79"/>
    </row>
    <row r="279" spans="1:28">
      <c r="A279" s="458" t="s">
        <v>1017</v>
      </c>
      <c r="C279" s="60" t="s">
        <v>98</v>
      </c>
      <c r="D279" s="60" t="s">
        <v>483</v>
      </c>
      <c r="E279" s="60" t="s">
        <v>1021</v>
      </c>
      <c r="F279" s="76">
        <f>VLOOKUP(C279,'Functional Assignment'!$C$2:$AP$780,'Functional Assignment'!$AB$2,)</f>
        <v>187932.13640545908</v>
      </c>
      <c r="G279" s="76">
        <f t="shared" ref="G279:Z279" si="127">IF(VLOOKUP($E279,$D$6:$AN$1150,3,)=0,0,(VLOOKUP($E279,$D$6:$AN$1150,G$2,)/VLOOKUP($E279,$D$6:$AN$1150,3,))*$F279)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187932.13640545908</v>
      </c>
      <c r="Q279" s="76">
        <f t="shared" si="127"/>
        <v>0</v>
      </c>
      <c r="R279" s="76">
        <f t="shared" si="127"/>
        <v>0</v>
      </c>
      <c r="S279" s="76">
        <f t="shared" si="127"/>
        <v>0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187932.13640545908</v>
      </c>
      <c r="AB279" s="58" t="str">
        <f>IF(ABS(F279-AA279)&lt;0.01,"ok","err")</f>
        <v>ok</v>
      </c>
    </row>
    <row r="280" spans="1:28">
      <c r="A280" s="44"/>
      <c r="F280" s="79"/>
    </row>
    <row r="281" spans="1:28" ht="14.1">
      <c r="A281" s="45" t="s">
        <v>949</v>
      </c>
      <c r="F281" s="79"/>
    </row>
    <row r="282" spans="1:28">
      <c r="A282" s="458" t="s">
        <v>1017</v>
      </c>
      <c r="C282" s="60" t="s">
        <v>98</v>
      </c>
      <c r="D282" s="60" t="s">
        <v>484</v>
      </c>
      <c r="E282" s="60" t="s">
        <v>1022</v>
      </c>
      <c r="F282" s="76">
        <f>VLOOKUP(C282,'Functional Assignment'!$C$2:$AP$780,'Functional Assignment'!$AC$2,)</f>
        <v>6530471.1273467047</v>
      </c>
      <c r="G282" s="76">
        <f t="shared" ref="G282:Z282" si="128">IF(VLOOKUP($E282,$D$6:$AN$1150,3,)=0,0,(VLOOKUP($E282,$D$6:$AN$1150,G$2,)/VLOOKUP($E282,$D$6:$AN$1150,3,))*$F282)</f>
        <v>4831757.7894631028</v>
      </c>
      <c r="H282" s="76">
        <f t="shared" si="128"/>
        <v>11926.455789447255</v>
      </c>
      <c r="I282" s="76">
        <f t="shared" si="128"/>
        <v>1163701.9926424443</v>
      </c>
      <c r="J282" s="76">
        <f t="shared" si="128"/>
        <v>4489.65800086748</v>
      </c>
      <c r="K282" s="76">
        <f t="shared" si="128"/>
        <v>178457.31601686854</v>
      </c>
      <c r="L282" s="76">
        <f t="shared" si="128"/>
        <v>42201.028003457293</v>
      </c>
      <c r="M282" s="76">
        <f t="shared" si="128"/>
        <v>161950.1350931311</v>
      </c>
      <c r="N282" s="76">
        <f t="shared" si="128"/>
        <v>4168.9681436626597</v>
      </c>
      <c r="O282" s="76">
        <f t="shared" si="128"/>
        <v>128.27594288192802</v>
      </c>
      <c r="P282" s="76">
        <f t="shared" si="128"/>
        <v>129714.05873045983</v>
      </c>
      <c r="Q282" s="76">
        <f t="shared" si="128"/>
        <v>229.47140893322674</v>
      </c>
      <c r="R282" s="76">
        <f t="shared" si="128"/>
        <v>1425.2882542436444</v>
      </c>
      <c r="S282" s="76">
        <f t="shared" si="128"/>
        <v>64.137971440964009</v>
      </c>
      <c r="T282" s="76">
        <f t="shared" si="128"/>
        <v>256.55188576385603</v>
      </c>
      <c r="U282" s="76">
        <f t="shared" si="128"/>
        <v>0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6530471.1273467047</v>
      </c>
      <c r="AB282" s="58" t="str">
        <f>IF(ABS(F282-AA282)&lt;0.01,"ok","err")</f>
        <v>ok</v>
      </c>
    </row>
    <row r="283" spans="1:28">
      <c r="A283" s="44"/>
      <c r="F283" s="79"/>
    </row>
    <row r="284" spans="1:28" ht="14.1">
      <c r="A284" s="45" t="s">
        <v>340</v>
      </c>
      <c r="F284" s="79"/>
    </row>
    <row r="285" spans="1:28">
      <c r="A285" s="458" t="s">
        <v>1017</v>
      </c>
      <c r="C285" s="60" t="s">
        <v>98</v>
      </c>
      <c r="D285" s="60" t="s">
        <v>485</v>
      </c>
      <c r="E285" s="60" t="s">
        <v>1022</v>
      </c>
      <c r="F285" s="76">
        <f>VLOOKUP(C285,'Functional Assignment'!$C$2:$AP$780,'Functional Assignment'!$AD$2,)</f>
        <v>1422705.1256976379</v>
      </c>
      <c r="G285" s="76">
        <f t="shared" ref="G285:Z285" si="129">IF(VLOOKUP($E285,$D$6:$AN$1150,3,)=0,0,(VLOOKUP($E285,$D$6:$AN$1150,G$2,)/VLOOKUP($E285,$D$6:$AN$1150,3,))*$F285)</f>
        <v>1052629.5023972616</v>
      </c>
      <c r="H285" s="76">
        <f t="shared" si="129"/>
        <v>2598.2550802497485</v>
      </c>
      <c r="I285" s="76">
        <f t="shared" si="129"/>
        <v>253519.96164319979</v>
      </c>
      <c r="J285" s="76">
        <f t="shared" si="129"/>
        <v>978.10086376704703</v>
      </c>
      <c r="K285" s="76">
        <f t="shared" si="129"/>
        <v>38878.073765957684</v>
      </c>
      <c r="L285" s="76">
        <f t="shared" si="129"/>
        <v>9193.7653010682589</v>
      </c>
      <c r="M285" s="76">
        <f t="shared" si="129"/>
        <v>35281.878261367609</v>
      </c>
      <c r="N285" s="76">
        <f t="shared" si="129"/>
        <v>908.2365163551151</v>
      </c>
      <c r="O285" s="76">
        <f t="shared" si="129"/>
        <v>27.945738964772776</v>
      </c>
      <c r="P285" s="76">
        <f t="shared" si="129"/>
        <v>28259.041749388947</v>
      </c>
      <c r="Q285" s="76">
        <f t="shared" si="129"/>
        <v>49.991821925871292</v>
      </c>
      <c r="R285" s="76">
        <f t="shared" si="129"/>
        <v>310.5082107196975</v>
      </c>
      <c r="S285" s="76">
        <f t="shared" si="129"/>
        <v>13.972869482386388</v>
      </c>
      <c r="T285" s="76">
        <f t="shared" si="129"/>
        <v>55.891477929545552</v>
      </c>
      <c r="U285" s="76">
        <f t="shared" si="129"/>
        <v>0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1422705.1256976381</v>
      </c>
      <c r="AB285" s="58" t="str">
        <f>IF(ABS(F285-AA285)&lt;0.01,"ok","err")</f>
        <v>ok</v>
      </c>
    </row>
    <row r="286" spans="1:28">
      <c r="A286" s="44"/>
      <c r="F286" s="79"/>
    </row>
    <row r="287" spans="1:28" ht="14.1">
      <c r="A287" s="45" t="s">
        <v>339</v>
      </c>
      <c r="F287" s="79"/>
    </row>
    <row r="288" spans="1:28">
      <c r="A288" s="458" t="s">
        <v>1017</v>
      </c>
      <c r="C288" s="60" t="s">
        <v>98</v>
      </c>
      <c r="D288" s="60" t="s">
        <v>486</v>
      </c>
      <c r="E288" s="60" t="s">
        <v>1023</v>
      </c>
      <c r="F288" s="76">
        <f>VLOOKUP(C288,'Functional Assignment'!$C$2:$AP$780,'Functional Assignment'!$AE$2,)</f>
        <v>0</v>
      </c>
      <c r="G288" s="76">
        <f t="shared" ref="G288:Z288" si="130">IF(VLOOKUP($E288,$D$6:$AN$1150,3,)=0,0,(VLOOKUP($E288,$D$6:$AN$1150,G$2,)/VLOOKUP($E288,$D$6:$AN$1150,3,))*$F288)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A289" s="44"/>
      <c r="F289" s="79"/>
    </row>
    <row r="290" spans="1:28">
      <c r="A290" s="44" t="s">
        <v>846</v>
      </c>
      <c r="D290" s="60" t="s">
        <v>1032</v>
      </c>
      <c r="F290" s="76">
        <f>F245+F251+F254+F257+F265+F270+F273+F276+F279+F282+F285+F288</f>
        <v>73368547.410000011</v>
      </c>
      <c r="G290" s="76">
        <f t="shared" ref="G290:Z290" si="131">G245+G251+G254+G257+G265+G270+G273+G276+G279+G282+G285+G288</f>
        <v>37008054.668150648</v>
      </c>
      <c r="H290" s="76">
        <f t="shared" si="131"/>
        <v>89978.215406486925</v>
      </c>
      <c r="I290" s="76">
        <f t="shared" si="131"/>
        <v>9353558.6635688879</v>
      </c>
      <c r="J290" s="76">
        <f t="shared" si="131"/>
        <v>497342.15499515948</v>
      </c>
      <c r="K290" s="76">
        <f t="shared" si="131"/>
        <v>7933933.9408009686</v>
      </c>
      <c r="L290" s="76">
        <f t="shared" si="131"/>
        <v>7677196.5685902787</v>
      </c>
      <c r="M290" s="76">
        <f t="shared" si="131"/>
        <v>6151217.3420489626</v>
      </c>
      <c r="N290" s="76">
        <f t="shared" si="131"/>
        <v>3577144.5956857363</v>
      </c>
      <c r="O290" s="76">
        <f>O245+O251+O254+O257+O265+O270+O273+O276+O279+O282+O285+O288</f>
        <v>220023.61737697478</v>
      </c>
      <c r="P290" s="76">
        <f t="shared" si="131"/>
        <v>822200.95285088592</v>
      </c>
      <c r="Q290" s="76">
        <f t="shared" si="131"/>
        <v>14159.031911968144</v>
      </c>
      <c r="R290" s="76">
        <f t="shared" si="131"/>
        <v>22850.438729204005</v>
      </c>
      <c r="S290" s="76">
        <f t="shared" si="131"/>
        <v>367.1045865050682</v>
      </c>
      <c r="T290" s="76">
        <f t="shared" si="131"/>
        <v>520.11529733456871</v>
      </c>
      <c r="U290" s="76">
        <f t="shared" si="131"/>
        <v>0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73368547.409999996</v>
      </c>
      <c r="AB290" s="58" t="str">
        <f>IF(ABS(F290-AA290)&lt;0.01,"ok","err")</f>
        <v>ok</v>
      </c>
    </row>
    <row r="291" spans="1:28">
      <c r="A291" s="44"/>
    </row>
    <row r="292" spans="1:28">
      <c r="A292" s="44"/>
    </row>
    <row r="293" spans="1:28" ht="14.1">
      <c r="A293" s="45" t="s">
        <v>995</v>
      </c>
    </row>
    <row r="294" spans="1:28">
      <c r="A294" s="44"/>
    </row>
    <row r="295" spans="1:28" ht="14.1">
      <c r="A295" s="45" t="s">
        <v>352</v>
      </c>
    </row>
    <row r="296" spans="1:28">
      <c r="A296" s="458" t="s">
        <v>1441</v>
      </c>
      <c r="C296" s="60" t="s">
        <v>997</v>
      </c>
      <c r="D296" s="44" t="s">
        <v>1437</v>
      </c>
      <c r="E296" s="44" t="s">
        <v>1426</v>
      </c>
      <c r="F296" s="76">
        <f>VLOOKUP(C296,'Functional Assignment'!$C$2:$AP$780,'Functional Assignment'!$H$2,)</f>
        <v>212733072.11107191</v>
      </c>
      <c r="G296" s="76">
        <f t="shared" ref="G296:P301" si="132">IF(VLOOKUP($E296,$D$6:$AN$1150,3,)=0,0,(VLOOKUP($E296,$D$6:$AN$1150,G$2,)/VLOOKUP($E296,$D$6:$AN$1150,3,))*$F296)</f>
        <v>92983987.651086539</v>
      </c>
      <c r="H296" s="76">
        <f t="shared" si="132"/>
        <v>174330.74043004954</v>
      </c>
      <c r="I296" s="76">
        <f t="shared" si="132"/>
        <v>26017736.225685559</v>
      </c>
      <c r="J296" s="76">
        <f t="shared" si="132"/>
        <v>1763072.0178129254</v>
      </c>
      <c r="K296" s="76">
        <f t="shared" si="132"/>
        <v>29006159.751298692</v>
      </c>
      <c r="L296" s="76">
        <f t="shared" si="132"/>
        <v>26182978.603174038</v>
      </c>
      <c r="M296" s="76">
        <f t="shared" si="132"/>
        <v>22276125.729507271</v>
      </c>
      <c r="N296" s="76">
        <f t="shared" si="132"/>
        <v>12656251.061032001</v>
      </c>
      <c r="O296" s="76">
        <f t="shared" si="132"/>
        <v>751289.04715277825</v>
      </c>
      <c r="P296" s="76">
        <f t="shared" si="132"/>
        <v>769993.36310124025</v>
      </c>
      <c r="Q296" s="76">
        <f t="shared" ref="Q296:Z301" si="133">IF(VLOOKUP($E296,$D$6:$AN$1150,3,)=0,0,(VLOOKUP($E296,$D$6:$AN$1150,Q$2,)/VLOOKUP($E296,$D$6:$AN$1150,3,))*$F296)</f>
        <v>26818.884545357352</v>
      </c>
      <c r="R296" s="76">
        <f t="shared" si="133"/>
        <v>36933.347679243954</v>
      </c>
      <c r="S296" s="76">
        <f t="shared" si="133"/>
        <v>36.384331942817994</v>
      </c>
      <c r="T296" s="76">
        <f t="shared" si="133"/>
        <v>335.3700259425899</v>
      </c>
      <c r="U296" s="76">
        <f t="shared" si="133"/>
        <v>83869.534208333309</v>
      </c>
      <c r="V296" s="76">
        <f t="shared" si="133"/>
        <v>3154.4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212733072.11107188</v>
      </c>
      <c r="AB296" s="58" t="str">
        <f t="shared" ref="AB296:AB302" si="135">IF(ABS(F296-AA296)&lt;0.01,"ok","err")</f>
        <v>ok</v>
      </c>
    </row>
    <row r="297" spans="1:28" hidden="1">
      <c r="A297" s="458" t="s">
        <v>1256</v>
      </c>
      <c r="C297" s="60" t="s">
        <v>997</v>
      </c>
      <c r="D297" s="44" t="s">
        <v>487</v>
      </c>
      <c r="E297" s="44" t="s">
        <v>1426</v>
      </c>
      <c r="F297" s="79">
        <f>VLOOKUP(C297,'Functional Assignment'!$C$2:$AP$780,'Functional Assignment'!$I$2,)</f>
        <v>0</v>
      </c>
      <c r="G297" s="79">
        <f t="shared" si="132"/>
        <v>0</v>
      </c>
      <c r="H297" s="79">
        <f t="shared" si="132"/>
        <v>0</v>
      </c>
      <c r="I297" s="79">
        <f t="shared" si="132"/>
        <v>0</v>
      </c>
      <c r="J297" s="79">
        <f t="shared" si="132"/>
        <v>0</v>
      </c>
      <c r="K297" s="79">
        <f t="shared" si="132"/>
        <v>0</v>
      </c>
      <c r="L297" s="79">
        <f t="shared" si="132"/>
        <v>0</v>
      </c>
      <c r="M297" s="79">
        <f t="shared" si="132"/>
        <v>0</v>
      </c>
      <c r="N297" s="79">
        <f t="shared" si="132"/>
        <v>0</v>
      </c>
      <c r="O297" s="79">
        <f t="shared" si="132"/>
        <v>0</v>
      </c>
      <c r="P297" s="79">
        <f t="shared" si="132"/>
        <v>0</v>
      </c>
      <c r="Q297" s="79">
        <f t="shared" si="133"/>
        <v>0</v>
      </c>
      <c r="R297" s="79">
        <f t="shared" si="133"/>
        <v>0</v>
      </c>
      <c r="S297" s="79">
        <f t="shared" si="133"/>
        <v>0</v>
      </c>
      <c r="T297" s="79">
        <f t="shared" si="133"/>
        <v>0</v>
      </c>
      <c r="U297" s="79">
        <f t="shared" si="133"/>
        <v>0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0</v>
      </c>
      <c r="AB297" s="58" t="str">
        <f t="shared" si="135"/>
        <v>ok</v>
      </c>
    </row>
    <row r="298" spans="1:28" hidden="1">
      <c r="A298" s="458" t="s">
        <v>1256</v>
      </c>
      <c r="C298" s="60" t="s">
        <v>997</v>
      </c>
      <c r="D298" s="44" t="s">
        <v>488</v>
      </c>
      <c r="E298" s="44" t="s">
        <v>1426</v>
      </c>
      <c r="F298" s="79">
        <f>VLOOKUP(C298,'Functional Assignment'!$C$2:$AP$780,'Functional Assignment'!$J$2,)</f>
        <v>0</v>
      </c>
      <c r="G298" s="79">
        <f t="shared" si="132"/>
        <v>0</v>
      </c>
      <c r="H298" s="79">
        <f t="shared" si="132"/>
        <v>0</v>
      </c>
      <c r="I298" s="79">
        <f t="shared" si="132"/>
        <v>0</v>
      </c>
      <c r="J298" s="79">
        <f t="shared" si="132"/>
        <v>0</v>
      </c>
      <c r="K298" s="79">
        <f t="shared" si="132"/>
        <v>0</v>
      </c>
      <c r="L298" s="79">
        <f t="shared" si="132"/>
        <v>0</v>
      </c>
      <c r="M298" s="79">
        <f t="shared" si="132"/>
        <v>0</v>
      </c>
      <c r="N298" s="79">
        <f t="shared" si="132"/>
        <v>0</v>
      </c>
      <c r="O298" s="79">
        <f t="shared" si="132"/>
        <v>0</v>
      </c>
      <c r="P298" s="79">
        <f t="shared" si="132"/>
        <v>0</v>
      </c>
      <c r="Q298" s="79">
        <f t="shared" si="133"/>
        <v>0</v>
      </c>
      <c r="R298" s="79">
        <f t="shared" si="133"/>
        <v>0</v>
      </c>
      <c r="S298" s="79">
        <f t="shared" si="133"/>
        <v>0</v>
      </c>
      <c r="T298" s="79">
        <f t="shared" si="133"/>
        <v>0</v>
      </c>
      <c r="U298" s="79">
        <f t="shared" si="133"/>
        <v>0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0</v>
      </c>
      <c r="AB298" s="58" t="str">
        <f t="shared" si="135"/>
        <v>ok</v>
      </c>
    </row>
    <row r="299" spans="1:28">
      <c r="A299" s="458" t="s">
        <v>1160</v>
      </c>
      <c r="C299" s="60" t="s">
        <v>997</v>
      </c>
      <c r="D299" s="44" t="s">
        <v>489</v>
      </c>
      <c r="E299" s="44" t="s">
        <v>1015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 hidden="1">
      <c r="A300" s="458" t="s">
        <v>1161</v>
      </c>
      <c r="C300" s="60" t="s">
        <v>997</v>
      </c>
      <c r="D300" s="44" t="s">
        <v>490</v>
      </c>
      <c r="E300" s="44" t="s">
        <v>1015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 hidden="1">
      <c r="A301" s="458" t="s">
        <v>1161</v>
      </c>
      <c r="C301" s="60" t="s">
        <v>997</v>
      </c>
      <c r="D301" s="44" t="s">
        <v>491</v>
      </c>
      <c r="E301" s="44" t="s">
        <v>1015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44" t="s">
        <v>374</v>
      </c>
      <c r="D302" s="44" t="s">
        <v>492</v>
      </c>
      <c r="E302" s="44"/>
      <c r="F302" s="76">
        <f>SUM(F296:F301)</f>
        <v>212733072.11107191</v>
      </c>
      <c r="G302" s="76">
        <f t="shared" ref="G302:P302" si="136">SUM(G296:G301)</f>
        <v>92983987.651086539</v>
      </c>
      <c r="H302" s="76">
        <f t="shared" si="136"/>
        <v>174330.74043004954</v>
      </c>
      <c r="I302" s="76">
        <f t="shared" si="136"/>
        <v>26017736.225685559</v>
      </c>
      <c r="J302" s="76">
        <f t="shared" si="136"/>
        <v>1763072.0178129254</v>
      </c>
      <c r="K302" s="76">
        <f t="shared" si="136"/>
        <v>29006159.751298692</v>
      </c>
      <c r="L302" s="76">
        <f t="shared" si="136"/>
        <v>26182978.603174038</v>
      </c>
      <c r="M302" s="76">
        <f t="shared" si="136"/>
        <v>22276125.729507271</v>
      </c>
      <c r="N302" s="76">
        <f t="shared" si="136"/>
        <v>12656251.061032001</v>
      </c>
      <c r="O302" s="76">
        <f>SUM(O296:O301)</f>
        <v>751289.04715277825</v>
      </c>
      <c r="P302" s="76">
        <f t="shared" si="136"/>
        <v>769993.36310124025</v>
      </c>
      <c r="Q302" s="76">
        <f t="shared" ref="Q302:W302" si="137">SUM(Q296:Q301)</f>
        <v>26818.884545357352</v>
      </c>
      <c r="R302" s="76">
        <f t="shared" si="137"/>
        <v>36933.347679243954</v>
      </c>
      <c r="S302" s="76">
        <f t="shared" si="137"/>
        <v>36.384331942817994</v>
      </c>
      <c r="T302" s="76">
        <f t="shared" si="137"/>
        <v>335.3700259425899</v>
      </c>
      <c r="U302" s="76">
        <f t="shared" si="137"/>
        <v>83869.534208333309</v>
      </c>
      <c r="V302" s="76">
        <f t="shared" si="137"/>
        <v>3154.4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212733072.11107188</v>
      </c>
      <c r="AB302" s="58" t="str">
        <f t="shared" si="135"/>
        <v>ok</v>
      </c>
    </row>
    <row r="303" spans="1:28">
      <c r="A303" s="44"/>
      <c r="F303" s="79"/>
      <c r="G303" s="79"/>
    </row>
    <row r="304" spans="1:28" ht="14.1">
      <c r="A304" s="45" t="s">
        <v>1055</v>
      </c>
      <c r="F304" s="79"/>
      <c r="G304" s="79"/>
    </row>
    <row r="305" spans="1:28">
      <c r="A305" s="458" t="s">
        <v>1225</v>
      </c>
      <c r="C305" s="60" t="s">
        <v>997</v>
      </c>
      <c r="D305" s="60" t="s">
        <v>493</v>
      </c>
      <c r="E305" s="60" t="s">
        <v>1229</v>
      </c>
      <c r="F305" s="76">
        <f>VLOOKUP(C305,'Functional Assignment'!$C$2:$AP$780,'Functional Assignment'!$N$2,)</f>
        <v>14573794.862699246</v>
      </c>
      <c r="G305" s="76">
        <f t="shared" ref="G305:P307" si="138">IF(VLOOKUP($E305,$D$6:$AN$1150,3,)=0,0,(VLOOKUP($E305,$D$6:$AN$1150,G$2,)/VLOOKUP($E305,$D$6:$AN$1150,3,))*$F305)</f>
        <v>6875037.2143583233</v>
      </c>
      <c r="H305" s="76">
        <f t="shared" si="138"/>
        <v>21081.970078313836</v>
      </c>
      <c r="I305" s="76">
        <f t="shared" si="138"/>
        <v>1684052.2102870238</v>
      </c>
      <c r="J305" s="76">
        <f t="shared" si="138"/>
        <v>110546.47216165123</v>
      </c>
      <c r="K305" s="76">
        <f t="shared" si="138"/>
        <v>1873830.827795747</v>
      </c>
      <c r="L305" s="76">
        <f t="shared" si="138"/>
        <v>1571439.7402937082</v>
      </c>
      <c r="M305" s="76">
        <f t="shared" si="138"/>
        <v>1487744.1918554797</v>
      </c>
      <c r="N305" s="76">
        <f t="shared" si="138"/>
        <v>775832.44018176629</v>
      </c>
      <c r="O305" s="76">
        <f t="shared" si="138"/>
        <v>49855.534307875998</v>
      </c>
      <c r="P305" s="76">
        <f t="shared" si="138"/>
        <v>118144.18362045348</v>
      </c>
      <c r="Q305" s="76">
        <f t="shared" ref="Q305:Z307" si="139">IF(VLOOKUP($E305,$D$6:$AN$1150,3,)=0,0,(VLOOKUP($E305,$D$6:$AN$1150,Q$2,)/VLOOKUP($E305,$D$6:$AN$1150,3,))*$F305)</f>
        <v>4114.9643257455464</v>
      </c>
      <c r="R305" s="76">
        <f t="shared" si="139"/>
        <v>1888.9600954309051</v>
      </c>
      <c r="S305" s="76">
        <f t="shared" si="139"/>
        <v>205.57029386124887</v>
      </c>
      <c r="T305" s="76">
        <f t="shared" si="139"/>
        <v>20.583043867378372</v>
      </c>
      <c r="U305" s="76">
        <f t="shared" si="139"/>
        <v>0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14573794.862699246</v>
      </c>
      <c r="AB305" s="58" t="str">
        <f>IF(ABS(F305-AA305)&lt;0.01,"ok","err")</f>
        <v>ok</v>
      </c>
    </row>
    <row r="306" spans="1:28" hidden="1">
      <c r="A306" s="458" t="s">
        <v>1226</v>
      </c>
      <c r="C306" s="60" t="s">
        <v>997</v>
      </c>
      <c r="D306" s="60" t="s">
        <v>494</v>
      </c>
      <c r="E306" s="60" t="s">
        <v>1229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458" t="s">
        <v>1226</v>
      </c>
      <c r="C307" s="60" t="s">
        <v>997</v>
      </c>
      <c r="D307" s="60" t="s">
        <v>495</v>
      </c>
      <c r="E307" s="60" t="s">
        <v>1229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44" t="s">
        <v>1057</v>
      </c>
      <c r="D308" s="60" t="s">
        <v>496</v>
      </c>
      <c r="F308" s="76">
        <f>SUM(F305:F307)</f>
        <v>14573794.862699246</v>
      </c>
      <c r="G308" s="76">
        <f t="shared" ref="G308:W308" si="140">SUM(G305:G307)</f>
        <v>6875037.2143583233</v>
      </c>
      <c r="H308" s="76">
        <f t="shared" si="140"/>
        <v>21081.970078313836</v>
      </c>
      <c r="I308" s="76">
        <f t="shared" si="140"/>
        <v>1684052.2102870238</v>
      </c>
      <c r="J308" s="76">
        <f t="shared" si="140"/>
        <v>110546.47216165123</v>
      </c>
      <c r="K308" s="76">
        <f t="shared" si="140"/>
        <v>1873830.827795747</v>
      </c>
      <c r="L308" s="76">
        <f t="shared" si="140"/>
        <v>1571439.7402937082</v>
      </c>
      <c r="M308" s="76">
        <f t="shared" si="140"/>
        <v>1487744.1918554797</v>
      </c>
      <c r="N308" s="76">
        <f t="shared" si="140"/>
        <v>775832.44018176629</v>
      </c>
      <c r="O308" s="76">
        <f>SUM(O305:O307)</f>
        <v>49855.534307875998</v>
      </c>
      <c r="P308" s="76">
        <f t="shared" si="140"/>
        <v>118144.18362045348</v>
      </c>
      <c r="Q308" s="76">
        <f t="shared" si="140"/>
        <v>4114.9643257455464</v>
      </c>
      <c r="R308" s="76">
        <f t="shared" si="140"/>
        <v>1888.9600954309051</v>
      </c>
      <c r="S308" s="76">
        <f t="shared" si="140"/>
        <v>205.57029386124887</v>
      </c>
      <c r="T308" s="76">
        <f t="shared" si="140"/>
        <v>20.583043867378372</v>
      </c>
      <c r="U308" s="76">
        <f t="shared" si="140"/>
        <v>0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14573794.862699246</v>
      </c>
      <c r="AB308" s="58" t="str">
        <f>IF(ABS(F308-AA308)&lt;0.01,"ok","err")</f>
        <v>ok</v>
      </c>
    </row>
    <row r="309" spans="1:28">
      <c r="A309" s="44"/>
      <c r="F309" s="79"/>
      <c r="G309" s="79"/>
    </row>
    <row r="310" spans="1:28" ht="14.1">
      <c r="A310" s="45" t="s">
        <v>337</v>
      </c>
      <c r="F310" s="79"/>
      <c r="G310" s="79"/>
    </row>
    <row r="311" spans="1:28">
      <c r="A311" s="458" t="s">
        <v>359</v>
      </c>
      <c r="C311" s="60" t="s">
        <v>997</v>
      </c>
      <c r="D311" s="60" t="s">
        <v>497</v>
      </c>
      <c r="E311" s="60" t="s">
        <v>1230</v>
      </c>
      <c r="F311" s="76">
        <f>VLOOKUP(C311,'Functional Assignment'!$C$2:$AP$780,'Functional Assignment'!$Q$2,)</f>
        <v>0</v>
      </c>
      <c r="G311" s="76">
        <f t="shared" ref="G311:Z311" si="141">IF(VLOOKUP($E311,$D$6:$AN$1150,3,)=0,0,(VLOOKUP($E311,$D$6:$AN$1150,G$2,)/VLOOKUP($E311,$D$6:$AN$1150,3,))*$F311)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A312" s="44"/>
      <c r="F312" s="79"/>
    </row>
    <row r="313" spans="1:28" ht="14.1">
      <c r="A313" s="45" t="s">
        <v>338</v>
      </c>
      <c r="F313" s="79"/>
      <c r="G313" s="79"/>
    </row>
    <row r="314" spans="1:28">
      <c r="A314" s="458" t="s">
        <v>361</v>
      </c>
      <c r="C314" s="60" t="s">
        <v>997</v>
      </c>
      <c r="D314" s="60" t="s">
        <v>498</v>
      </c>
      <c r="E314" s="60" t="s">
        <v>1230</v>
      </c>
      <c r="F314" s="76">
        <f>VLOOKUP(C314,'Functional Assignment'!$C$2:$AP$780,'Functional Assignment'!$R$2,)</f>
        <v>6212135.672551712</v>
      </c>
      <c r="G314" s="76">
        <f t="shared" ref="G314:Z314" si="142">IF(VLOOKUP($E314,$D$6:$AN$1150,3,)=0,0,(VLOOKUP($E314,$D$6:$AN$1150,G$2,)/VLOOKUP($E314,$D$6:$AN$1150,3,))*$F314)</f>
        <v>3095287.7404375165</v>
      </c>
      <c r="H314" s="76">
        <f t="shared" si="142"/>
        <v>9491.5505899215532</v>
      </c>
      <c r="I314" s="76">
        <f t="shared" si="142"/>
        <v>758196.06472408655</v>
      </c>
      <c r="J314" s="76">
        <f t="shared" si="142"/>
        <v>49770.369143014555</v>
      </c>
      <c r="K314" s="76">
        <f t="shared" si="142"/>
        <v>843638.42814069812</v>
      </c>
      <c r="L314" s="76">
        <f t="shared" si="142"/>
        <v>707495.53948725981</v>
      </c>
      <c r="M314" s="76">
        <f t="shared" si="142"/>
        <v>669814.02636482916</v>
      </c>
      <c r="N314" s="76">
        <f t="shared" si="142"/>
        <v>0</v>
      </c>
      <c r="O314" s="76">
        <f t="shared" si="142"/>
        <v>22446.020192275231</v>
      </c>
      <c r="P314" s="76">
        <f t="shared" si="142"/>
        <v>53191.020173775156</v>
      </c>
      <c r="Q314" s="76">
        <f t="shared" si="142"/>
        <v>1852.6443177961357</v>
      </c>
      <c r="R314" s="76">
        <f t="shared" si="142"/>
        <v>850.44994568930144</v>
      </c>
      <c r="S314" s="76">
        <f t="shared" si="142"/>
        <v>92.552111435552405</v>
      </c>
      <c r="T314" s="76">
        <f t="shared" si="142"/>
        <v>9.2669234154145972</v>
      </c>
      <c r="U314" s="76">
        <f t="shared" si="142"/>
        <v>0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6212135.672551713</v>
      </c>
      <c r="AB314" s="58" t="str">
        <f>IF(ABS(F314-AA314)&lt;0.01,"ok","err")</f>
        <v>ok</v>
      </c>
    </row>
    <row r="315" spans="1:28">
      <c r="A315" s="44"/>
      <c r="F315" s="79"/>
    </row>
    <row r="316" spans="1:28" ht="14.1">
      <c r="A316" s="45" t="s">
        <v>360</v>
      </c>
      <c r="F316" s="79"/>
    </row>
    <row r="317" spans="1:28">
      <c r="A317" s="458" t="s">
        <v>603</v>
      </c>
      <c r="C317" s="60" t="s">
        <v>997</v>
      </c>
      <c r="D317" s="60" t="s">
        <v>499</v>
      </c>
      <c r="E317" s="60" t="s">
        <v>1230</v>
      </c>
      <c r="F317" s="76">
        <f>VLOOKUP(C317,'Functional Assignment'!$C$2:$AP$780,'Functional Assignment'!$S$2,)</f>
        <v>0</v>
      </c>
      <c r="G317" s="76">
        <f t="shared" ref="G317:P321" si="143">IF(VLOOKUP($E317,$D$6:$AN$1150,3,)=0,0,(VLOOKUP($E317,$D$6:$AN$1150,G$2,)/VLOOKUP($E317,$D$6:$AN$1150,3,))*$F317)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IF(VLOOKUP($E317,$D$6:$AN$1150,3,)=0,0,(VLOOKUP($E317,$D$6:$AN$1150,Q$2,)/VLOOKUP($E317,$D$6:$AN$1150,3,))*$F317)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458" t="s">
        <v>604</v>
      </c>
      <c r="C318" s="60" t="s">
        <v>997</v>
      </c>
      <c r="D318" s="60" t="s">
        <v>500</v>
      </c>
      <c r="E318" s="60" t="s">
        <v>1230</v>
      </c>
      <c r="F318" s="79">
        <f>VLOOKUP(C318,'Functional Assignment'!$C$2:$AP$780,'Functional Assignment'!$T$2,)</f>
        <v>9536738.2354523409</v>
      </c>
      <c r="G318" s="79">
        <f t="shared" si="143"/>
        <v>4751819.744437756</v>
      </c>
      <c r="H318" s="79">
        <f t="shared" si="143"/>
        <v>14571.226096137969</v>
      </c>
      <c r="I318" s="79">
        <f t="shared" si="143"/>
        <v>1163966.4330533829</v>
      </c>
      <c r="J318" s="79">
        <f t="shared" si="143"/>
        <v>76406.409553479229</v>
      </c>
      <c r="K318" s="79">
        <f t="shared" si="143"/>
        <v>1295135.727652499</v>
      </c>
      <c r="L318" s="79">
        <f t="shared" si="143"/>
        <v>1086132.0676965569</v>
      </c>
      <c r="M318" s="79">
        <f t="shared" si="143"/>
        <v>1028284.2121591757</v>
      </c>
      <c r="N318" s="79">
        <f t="shared" si="143"/>
        <v>0</v>
      </c>
      <c r="O318" s="79">
        <f t="shared" si="143"/>
        <v>34458.651627207284</v>
      </c>
      <c r="P318" s="79">
        <f t="shared" si="143"/>
        <v>81657.720084144807</v>
      </c>
      <c r="Q318" s="79">
        <f t="shared" si="144"/>
        <v>2844.1400564200007</v>
      </c>
      <c r="R318" s="79">
        <f t="shared" si="144"/>
        <v>1305.5926241646348</v>
      </c>
      <c r="S318" s="79">
        <f t="shared" si="144"/>
        <v>142.08402817073713</v>
      </c>
      <c r="T318" s="79">
        <f t="shared" si="144"/>
        <v>14.226383247114653</v>
      </c>
      <c r="U318" s="79">
        <f t="shared" si="144"/>
        <v>0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9536738.2354523428</v>
      </c>
      <c r="AB318" s="58" t="str">
        <f t="shared" si="146"/>
        <v>ok</v>
      </c>
    </row>
    <row r="319" spans="1:28">
      <c r="A319" s="458" t="s">
        <v>605</v>
      </c>
      <c r="C319" s="60" t="s">
        <v>997</v>
      </c>
      <c r="D319" s="60" t="s">
        <v>501</v>
      </c>
      <c r="E319" s="60" t="s">
        <v>658</v>
      </c>
      <c r="F319" s="79">
        <f>VLOOKUP(C319,'Functional Assignment'!$C$2:$AP$780,'Functional Assignment'!$U$2,)</f>
        <v>15606193.407375533</v>
      </c>
      <c r="G319" s="79">
        <f t="shared" si="143"/>
        <v>13460850.633321427</v>
      </c>
      <c r="H319" s="79">
        <f t="shared" si="143"/>
        <v>33226.05291117046</v>
      </c>
      <c r="I319" s="79">
        <f t="shared" si="143"/>
        <v>1620985.5074708802</v>
      </c>
      <c r="J319" s="79">
        <f t="shared" si="143"/>
        <v>2501.5581648636003</v>
      </c>
      <c r="K319" s="79">
        <f t="shared" si="143"/>
        <v>99433.265490463833</v>
      </c>
      <c r="L319" s="79">
        <f t="shared" si="143"/>
        <v>4702.733533257473</v>
      </c>
      <c r="M319" s="79">
        <f t="shared" si="143"/>
        <v>18047.151148916353</v>
      </c>
      <c r="N319" s="79">
        <f t="shared" si="143"/>
        <v>0</v>
      </c>
      <c r="O319" s="79">
        <f t="shared" si="143"/>
        <v>71.473090424674297</v>
      </c>
      <c r="P319" s="79">
        <f t="shared" si="143"/>
        <v>361371.91591439908</v>
      </c>
      <c r="Q319" s="79">
        <f t="shared" si="144"/>
        <v>639.2870865762535</v>
      </c>
      <c r="R319" s="79">
        <f t="shared" si="144"/>
        <v>3970.7272458152383</v>
      </c>
      <c r="S319" s="79">
        <f t="shared" si="144"/>
        <v>35.736545212337148</v>
      </c>
      <c r="T319" s="79">
        <f t="shared" si="144"/>
        <v>357.36545212337148</v>
      </c>
      <c r="U319" s="79">
        <f t="shared" si="144"/>
        <v>0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15606193.407375529</v>
      </c>
      <c r="AB319" s="58" t="str">
        <f t="shared" si="146"/>
        <v>ok</v>
      </c>
    </row>
    <row r="320" spans="1:28">
      <c r="A320" s="458" t="s">
        <v>606</v>
      </c>
      <c r="C320" s="60" t="s">
        <v>997</v>
      </c>
      <c r="D320" s="60" t="s">
        <v>502</v>
      </c>
      <c r="E320" s="60" t="s">
        <v>646</v>
      </c>
      <c r="F320" s="79">
        <f>VLOOKUP(C320,'Functional Assignment'!$C$2:$AP$780,'Functional Assignment'!$V$2,)</f>
        <v>2660836.9943457851</v>
      </c>
      <c r="G320" s="79">
        <f t="shared" si="143"/>
        <v>2011007.5710316701</v>
      </c>
      <c r="H320" s="79">
        <f t="shared" si="143"/>
        <v>6002.1738891907162</v>
      </c>
      <c r="I320" s="79">
        <f t="shared" si="143"/>
        <v>322295.37961159687</v>
      </c>
      <c r="J320" s="79">
        <f t="shared" si="143"/>
        <v>0</v>
      </c>
      <c r="K320" s="79">
        <f t="shared" si="143"/>
        <v>305258.67814939586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15458.045118919394</v>
      </c>
      <c r="Q320" s="79">
        <f t="shared" si="144"/>
        <v>538.40402684966489</v>
      </c>
      <c r="R320" s="79">
        <f t="shared" si="144"/>
        <v>247.15250034496063</v>
      </c>
      <c r="S320" s="79">
        <f t="shared" si="144"/>
        <v>26.896921881701235</v>
      </c>
      <c r="T320" s="79">
        <f t="shared" si="144"/>
        <v>2.6930959361383988</v>
      </c>
      <c r="U320" s="79">
        <f t="shared" si="144"/>
        <v>0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2660836.9943457847</v>
      </c>
      <c r="AB320" s="58" t="str">
        <f t="shared" si="146"/>
        <v>ok</v>
      </c>
    </row>
    <row r="321" spans="1:28">
      <c r="A321" s="458" t="s">
        <v>607</v>
      </c>
      <c r="C321" s="60" t="s">
        <v>997</v>
      </c>
      <c r="D321" s="60" t="s">
        <v>503</v>
      </c>
      <c r="E321" s="60" t="s">
        <v>657</v>
      </c>
      <c r="F321" s="79">
        <f>VLOOKUP(C321,'Functional Assignment'!$C$2:$AP$780,'Functional Assignment'!$W$2,)</f>
        <v>4546719.1268392131</v>
      </c>
      <c r="G321" s="79">
        <f t="shared" si="143"/>
        <v>3953305.3309123106</v>
      </c>
      <c r="H321" s="79">
        <f t="shared" si="143"/>
        <v>9758.1301269141095</v>
      </c>
      <c r="I321" s="79">
        <f t="shared" si="143"/>
        <v>476065.80167772132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106130.9987416362</v>
      </c>
      <c r="Q321" s="79">
        <f t="shared" si="144"/>
        <v>187.75165969743023</v>
      </c>
      <c r="R321" s="79">
        <f t="shared" si="144"/>
        <v>1166.159377002672</v>
      </c>
      <c r="S321" s="79">
        <f t="shared" si="144"/>
        <v>0</v>
      </c>
      <c r="T321" s="79">
        <f t="shared" si="144"/>
        <v>104.95434393024048</v>
      </c>
      <c r="U321" s="79">
        <f t="shared" si="144"/>
        <v>0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4546719.1268392131</v>
      </c>
      <c r="AB321" s="58" t="str">
        <f t="shared" si="146"/>
        <v>ok</v>
      </c>
    </row>
    <row r="322" spans="1:28">
      <c r="A322" s="44" t="s">
        <v>365</v>
      </c>
      <c r="D322" s="60" t="s">
        <v>504</v>
      </c>
      <c r="F322" s="76">
        <f>SUM(F317:F321)</f>
        <v>32350487.764012873</v>
      </c>
      <c r="G322" s="76">
        <f t="shared" ref="G322:W322" si="147">SUM(G317:G321)</f>
        <v>24176983.279703163</v>
      </c>
      <c r="H322" s="76">
        <f t="shared" si="147"/>
        <v>63557.583023413259</v>
      </c>
      <c r="I322" s="76">
        <f t="shared" si="147"/>
        <v>3583313.1218135813</v>
      </c>
      <c r="J322" s="76">
        <f t="shared" si="147"/>
        <v>78907.967718342828</v>
      </c>
      <c r="K322" s="76">
        <f t="shared" si="147"/>
        <v>1699827.6712923588</v>
      </c>
      <c r="L322" s="76">
        <f t="shared" si="147"/>
        <v>1090834.8012298143</v>
      </c>
      <c r="M322" s="76">
        <f t="shared" si="147"/>
        <v>1046331.363308092</v>
      </c>
      <c r="N322" s="76">
        <f t="shared" si="147"/>
        <v>0</v>
      </c>
      <c r="O322" s="76">
        <f>SUM(O317:O321)</f>
        <v>34530.124717631959</v>
      </c>
      <c r="P322" s="76">
        <f t="shared" si="147"/>
        <v>564618.67985909944</v>
      </c>
      <c r="Q322" s="76">
        <f t="shared" si="147"/>
        <v>4209.5828295433494</v>
      </c>
      <c r="R322" s="76">
        <f t="shared" si="147"/>
        <v>6689.6317473275058</v>
      </c>
      <c r="S322" s="76">
        <f t="shared" si="147"/>
        <v>204.71749526477552</v>
      </c>
      <c r="T322" s="76">
        <f t="shared" si="147"/>
        <v>479.23927523686501</v>
      </c>
      <c r="U322" s="76">
        <f t="shared" si="147"/>
        <v>0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32350487.764012866</v>
      </c>
      <c r="AB322" s="58" t="str">
        <f t="shared" si="146"/>
        <v>ok</v>
      </c>
    </row>
    <row r="323" spans="1:28">
      <c r="A323" s="44"/>
      <c r="F323" s="79"/>
    </row>
    <row r="324" spans="1:28" ht="14.1">
      <c r="A324" s="45" t="s">
        <v>613</v>
      </c>
      <c r="F324" s="79"/>
    </row>
    <row r="325" spans="1:28">
      <c r="A325" s="458" t="s">
        <v>1014</v>
      </c>
      <c r="C325" s="60" t="s">
        <v>997</v>
      </c>
      <c r="D325" s="60" t="s">
        <v>505</v>
      </c>
      <c r="E325" s="60" t="s">
        <v>1207</v>
      </c>
      <c r="F325" s="76">
        <f>VLOOKUP(C325,'Functional Assignment'!$C$2:$AP$780,'Functional Assignment'!$X$2,)</f>
        <v>3259675.1829248848</v>
      </c>
      <c r="G325" s="76">
        <f t="shared" ref="G325:P326" si="148">IF(VLOOKUP($E325,$D$6:$AN$1150,3,)=0,0,(VLOOKUP($E325,$D$6:$AN$1150,G$2,)/VLOOKUP($E325,$D$6:$AN$1150,3,))*$F325)</f>
        <v>2248429.6237371149</v>
      </c>
      <c r="H325" s="76">
        <f t="shared" si="148"/>
        <v>6710.7979968242935</v>
      </c>
      <c r="I325" s="76">
        <f t="shared" si="148"/>
        <v>360345.97261140856</v>
      </c>
      <c r="J325" s="76">
        <f t="shared" si="148"/>
        <v>0</v>
      </c>
      <c r="K325" s="76">
        <f t="shared" si="148"/>
        <v>341297.89700484736</v>
      </c>
      <c r="L325" s="76">
        <f t="shared" si="148"/>
        <v>0</v>
      </c>
      <c r="M325" s="76">
        <f t="shared" si="148"/>
        <v>284696.46668191499</v>
      </c>
      <c r="N325" s="76">
        <f t="shared" si="148"/>
        <v>0</v>
      </c>
      <c r="O325" s="76">
        <f t="shared" si="148"/>
        <v>0</v>
      </c>
      <c r="P325" s="76">
        <f t="shared" si="148"/>
        <v>17283.041133760074</v>
      </c>
      <c r="Q325" s="76">
        <f t="shared" ref="Q325:Z326" si="149">IF(VLOOKUP($E325,$D$6:$AN$1150,3,)=0,0,(VLOOKUP($E325,$D$6:$AN$1150,Q$2,)/VLOOKUP($E325,$D$6:$AN$1150,3,))*$F325)</f>
        <v>601.96867527808797</v>
      </c>
      <c r="R325" s="76">
        <f t="shared" si="149"/>
        <v>276.33163164633135</v>
      </c>
      <c r="S325" s="76">
        <f t="shared" si="149"/>
        <v>30.0724059010555</v>
      </c>
      <c r="T325" s="76">
        <f t="shared" si="149"/>
        <v>3.0110461887884434</v>
      </c>
      <c r="U325" s="76">
        <f t="shared" si="149"/>
        <v>0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3259675.1829248848</v>
      </c>
      <c r="AB325" s="58" t="str">
        <f>IF(ABS(F325-AA325)&lt;0.01,"ok","err")</f>
        <v>ok</v>
      </c>
    </row>
    <row r="326" spans="1:28">
      <c r="A326" s="458" t="s">
        <v>1017</v>
      </c>
      <c r="C326" s="60" t="s">
        <v>997</v>
      </c>
      <c r="D326" s="60" t="s">
        <v>506</v>
      </c>
      <c r="E326" s="60" t="s">
        <v>1205</v>
      </c>
      <c r="F326" s="79">
        <f>VLOOKUP(C326,'Functional Assignment'!$C$2:$AP$780,'Functional Assignment'!$Y$2,)</f>
        <v>1816968.7180794806</v>
      </c>
      <c r="G326" s="79">
        <f t="shared" si="148"/>
        <v>1567925.7420214955</v>
      </c>
      <c r="H326" s="79">
        <f t="shared" si="148"/>
        <v>3870.1851082302569</v>
      </c>
      <c r="I326" s="79">
        <f t="shared" si="148"/>
        <v>188813.0976147858</v>
      </c>
      <c r="J326" s="79">
        <f t="shared" si="148"/>
        <v>0</v>
      </c>
      <c r="K326" s="79">
        <f t="shared" si="148"/>
        <v>11582.03005312503</v>
      </c>
      <c r="L326" s="79">
        <f t="shared" si="148"/>
        <v>0</v>
      </c>
      <c r="M326" s="79">
        <f t="shared" si="148"/>
        <v>2102.1400227480758</v>
      </c>
      <c r="N326" s="79">
        <f t="shared" si="148"/>
        <v>0</v>
      </c>
      <c r="O326" s="79">
        <f t="shared" si="148"/>
        <v>0</v>
      </c>
      <c r="P326" s="79">
        <f t="shared" si="148"/>
        <v>42092.758090875985</v>
      </c>
      <c r="Q326" s="79">
        <f t="shared" si="149"/>
        <v>74.464438161401986</v>
      </c>
      <c r="R326" s="79">
        <f t="shared" si="149"/>
        <v>462.51203826957754</v>
      </c>
      <c r="S326" s="79">
        <f t="shared" si="149"/>
        <v>4.1626083444261974</v>
      </c>
      <c r="T326" s="79">
        <f t="shared" si="149"/>
        <v>41.62608344426198</v>
      </c>
      <c r="U326" s="79">
        <f t="shared" si="149"/>
        <v>0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1816968.7180794803</v>
      </c>
      <c r="AB326" s="58" t="str">
        <f>IF(ABS(F326-AA326)&lt;0.01,"ok","err")</f>
        <v>ok</v>
      </c>
    </row>
    <row r="327" spans="1:28">
      <c r="A327" s="44" t="s">
        <v>672</v>
      </c>
      <c r="D327" s="60" t="s">
        <v>507</v>
      </c>
      <c r="F327" s="76">
        <f>F325+F326</f>
        <v>5076643.9010043656</v>
      </c>
      <c r="G327" s="76">
        <f t="shared" ref="G327:W327" si="150">G325+G326</f>
        <v>3816355.3657586104</v>
      </c>
      <c r="H327" s="76">
        <f t="shared" si="150"/>
        <v>10580.983105054551</v>
      </c>
      <c r="I327" s="76">
        <f t="shared" si="150"/>
        <v>549159.07022619434</v>
      </c>
      <c r="J327" s="76">
        <f t="shared" si="150"/>
        <v>0</v>
      </c>
      <c r="K327" s="76">
        <f t="shared" si="150"/>
        <v>352879.92705797241</v>
      </c>
      <c r="L327" s="76">
        <f t="shared" si="150"/>
        <v>0</v>
      </c>
      <c r="M327" s="76">
        <f t="shared" si="150"/>
        <v>286798.60670466308</v>
      </c>
      <c r="N327" s="76">
        <f t="shared" si="150"/>
        <v>0</v>
      </c>
      <c r="O327" s="76">
        <f>O325+O326</f>
        <v>0</v>
      </c>
      <c r="P327" s="76">
        <f t="shared" si="150"/>
        <v>59375.799224636059</v>
      </c>
      <c r="Q327" s="76">
        <f t="shared" si="150"/>
        <v>676.43311343948994</v>
      </c>
      <c r="R327" s="76">
        <f t="shared" si="150"/>
        <v>738.84366991590889</v>
      </c>
      <c r="S327" s="76">
        <f t="shared" si="150"/>
        <v>34.2350142454817</v>
      </c>
      <c r="T327" s="76">
        <f t="shared" si="150"/>
        <v>44.637129633050421</v>
      </c>
      <c r="U327" s="76">
        <f t="shared" si="150"/>
        <v>0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5076643.9010043656</v>
      </c>
      <c r="AB327" s="58" t="str">
        <f>IF(ABS(F327-AA327)&lt;0.01,"ok","err")</f>
        <v>ok</v>
      </c>
    </row>
    <row r="328" spans="1:28">
      <c r="A328" s="44"/>
      <c r="F328" s="79"/>
    </row>
    <row r="329" spans="1:28" ht="14.1">
      <c r="A329" s="45" t="s">
        <v>343</v>
      </c>
      <c r="F329" s="79"/>
    </row>
    <row r="330" spans="1:28">
      <c r="A330" s="458" t="s">
        <v>1017</v>
      </c>
      <c r="C330" s="60" t="s">
        <v>997</v>
      </c>
      <c r="D330" s="60" t="s">
        <v>508</v>
      </c>
      <c r="E330" s="60" t="s">
        <v>1019</v>
      </c>
      <c r="F330" s="76">
        <f>VLOOKUP(C330,'Functional Assignment'!$C$2:$AP$780,'Functional Assignment'!$Z$2,)</f>
        <v>1161717.0543709998</v>
      </c>
      <c r="G330" s="76">
        <f t="shared" ref="G330:Z330" si="151">IF(VLOOKUP($E330,$D$6:$AN$1150,3,)=0,0,(VLOOKUP($E330,$D$6:$AN$1150,G$2,)/VLOOKUP($E330,$D$6:$AN$1150,3,))*$F330)</f>
        <v>998148.3541471014</v>
      </c>
      <c r="H330" s="76">
        <f t="shared" si="151"/>
        <v>2463.7766907533132</v>
      </c>
      <c r="I330" s="76">
        <f t="shared" si="151"/>
        <v>142511.3189756925</v>
      </c>
      <c r="J330" s="76">
        <f t="shared" si="151"/>
        <v>0</v>
      </c>
      <c r="K330" s="76">
        <f t="shared" si="151"/>
        <v>14658.548744823029</v>
      </c>
      <c r="L330" s="76">
        <f t="shared" si="151"/>
        <v>0</v>
      </c>
      <c r="M330" s="76">
        <f t="shared" si="151"/>
        <v>3929.7874963633894</v>
      </c>
      <c r="N330" s="76">
        <f t="shared" si="151"/>
        <v>0</v>
      </c>
      <c r="O330" s="76">
        <f t="shared" si="151"/>
        <v>0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5.2683162660171865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1161717.0543709996</v>
      </c>
      <c r="AB330" s="58" t="str">
        <f>IF(ABS(F330-AA330)&lt;0.01,"ok","err")</f>
        <v>ok</v>
      </c>
    </row>
    <row r="331" spans="1:28">
      <c r="A331" s="44"/>
      <c r="F331" s="79"/>
    </row>
    <row r="332" spans="1:28" ht="14.1">
      <c r="A332" s="45" t="s">
        <v>342</v>
      </c>
      <c r="F332" s="79"/>
    </row>
    <row r="333" spans="1:28">
      <c r="A333" s="458" t="s">
        <v>1017</v>
      </c>
      <c r="C333" s="60" t="s">
        <v>997</v>
      </c>
      <c r="D333" s="60" t="s">
        <v>509</v>
      </c>
      <c r="E333" s="60" t="s">
        <v>1313</v>
      </c>
      <c r="F333" s="76">
        <f>VLOOKUP(C333,'Functional Assignment'!$C$2:$AP$780,'Functional Assignment'!$AA$2,)</f>
        <v>1184750.9707206148</v>
      </c>
      <c r="G333" s="76">
        <f t="shared" ref="G333:Z333" si="152">IF(VLOOKUP($E333,$D$6:$AN$1150,3,)=0,0,(VLOOKUP($E333,$D$6:$AN$1150,G$2,)/VLOOKUP($E333,$D$6:$AN$1150,3,))*$F333)</f>
        <v>795333.53094008658</v>
      </c>
      <c r="H333" s="76">
        <f t="shared" si="152"/>
        <v>1963.1592906638518</v>
      </c>
      <c r="I333" s="76">
        <f t="shared" si="152"/>
        <v>247723.11073039309</v>
      </c>
      <c r="J333" s="76">
        <f t="shared" si="152"/>
        <v>8097.1362806355819</v>
      </c>
      <c r="K333" s="76">
        <f t="shared" si="152"/>
        <v>69275.159379207791</v>
      </c>
      <c r="L333" s="76">
        <f t="shared" si="152"/>
        <v>16173.194882579317</v>
      </c>
      <c r="M333" s="76">
        <f t="shared" si="152"/>
        <v>13695.270048177917</v>
      </c>
      <c r="N333" s="76">
        <f t="shared" si="152"/>
        <v>11429.506329685308</v>
      </c>
      <c r="O333" s="76">
        <f t="shared" si="152"/>
        <v>245.80346985932093</v>
      </c>
      <c r="P333" s="76">
        <f t="shared" si="152"/>
        <v>0</v>
      </c>
      <c r="Q333" s="76">
        <f t="shared" si="152"/>
        <v>339.95014336851858</v>
      </c>
      <c r="R333" s="76">
        <f t="shared" si="152"/>
        <v>2111.491573717507</v>
      </c>
      <c r="S333" s="76">
        <f t="shared" si="152"/>
        <v>24.897652239776324</v>
      </c>
      <c r="T333" s="76">
        <f t="shared" si="152"/>
        <v>18338.759999999998</v>
      </c>
      <c r="U333" s="76">
        <f t="shared" si="152"/>
        <v>0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1184750.9707206143</v>
      </c>
      <c r="AB333" s="58" t="str">
        <f>IF(ABS(F333-AA333)&lt;0.01,"ok","err")</f>
        <v>ok</v>
      </c>
    </row>
    <row r="334" spans="1:28">
      <c r="A334" s="44"/>
      <c r="F334" s="79"/>
    </row>
    <row r="335" spans="1:28" ht="14.1">
      <c r="A335" s="45" t="s">
        <v>358</v>
      </c>
      <c r="F335" s="79"/>
    </row>
    <row r="336" spans="1:28">
      <c r="A336" s="458" t="s">
        <v>1017</v>
      </c>
      <c r="C336" s="60" t="s">
        <v>997</v>
      </c>
      <c r="D336" s="60" t="s">
        <v>510</v>
      </c>
      <c r="E336" s="60" t="s">
        <v>1021</v>
      </c>
      <c r="F336" s="76">
        <f>VLOOKUP(C336,'Functional Assignment'!$C$2:$AP$780,'Functional Assignment'!$AB$2,)</f>
        <v>3830233.2811966836</v>
      </c>
      <c r="G336" s="76">
        <f t="shared" ref="G336:Z336" si="153">IF(VLOOKUP($E336,$D$6:$AN$1150,3,)=0,0,(VLOOKUP($E336,$D$6:$AN$1150,G$2,)/VLOOKUP($E336,$D$6:$AN$1150,3,))*$F336)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3830233.2811966836</v>
      </c>
      <c r="Q336" s="76">
        <f t="shared" si="153"/>
        <v>0</v>
      </c>
      <c r="R336" s="76">
        <f t="shared" si="153"/>
        <v>0</v>
      </c>
      <c r="S336" s="76">
        <f t="shared" si="153"/>
        <v>0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3830233.2811966836</v>
      </c>
      <c r="AB336" s="58" t="str">
        <f>IF(ABS(F336-AA336)&lt;0.01,"ok","err")</f>
        <v>ok</v>
      </c>
    </row>
    <row r="337" spans="1:28">
      <c r="A337" s="44"/>
      <c r="F337" s="79"/>
    </row>
    <row r="338" spans="1:28" ht="14.1">
      <c r="A338" s="45" t="s">
        <v>949</v>
      </c>
      <c r="F338" s="79"/>
    </row>
    <row r="339" spans="1:28">
      <c r="A339" s="458" t="s">
        <v>1017</v>
      </c>
      <c r="C339" s="60" t="s">
        <v>997</v>
      </c>
      <c r="D339" s="60" t="s">
        <v>511</v>
      </c>
      <c r="E339" s="60" t="s">
        <v>1022</v>
      </c>
      <c r="F339" s="76">
        <f>VLOOKUP(C339,'Functional Assignment'!$C$2:$AP$780,'Functional Assignment'!$AC$2,)</f>
        <v>0</v>
      </c>
      <c r="G339" s="76">
        <f t="shared" ref="G339:Z339" si="154">IF(VLOOKUP($E339,$D$6:$AN$1150,3,)=0,0,(VLOOKUP($E339,$D$6:$AN$1150,G$2,)/VLOOKUP($E339,$D$6:$AN$1150,3,))*$F339)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A340" s="44"/>
      <c r="F340" s="79"/>
    </row>
    <row r="341" spans="1:28" ht="14.1">
      <c r="A341" s="45" t="s">
        <v>340</v>
      </c>
      <c r="F341" s="79"/>
    </row>
    <row r="342" spans="1:28">
      <c r="A342" s="458" t="s">
        <v>1017</v>
      </c>
      <c r="C342" s="60" t="s">
        <v>997</v>
      </c>
      <c r="D342" s="60" t="s">
        <v>512</v>
      </c>
      <c r="E342" s="60" t="s">
        <v>1022</v>
      </c>
      <c r="F342" s="76">
        <f>VLOOKUP(C342,'Functional Assignment'!$C$2:$AP$780,'Functional Assignment'!$AD$2,)</f>
        <v>0</v>
      </c>
      <c r="G342" s="76">
        <f t="shared" ref="G342:Z342" si="155">IF(VLOOKUP($E342,$D$6:$AN$1150,3,)=0,0,(VLOOKUP($E342,$D$6:$AN$1150,G$2,)/VLOOKUP($E342,$D$6:$AN$1150,3,))*$F342)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A343" s="44"/>
      <c r="F343" s="79"/>
    </row>
    <row r="344" spans="1:28" ht="14.1">
      <c r="A344" s="45" t="s">
        <v>339</v>
      </c>
      <c r="F344" s="79"/>
    </row>
    <row r="345" spans="1:28">
      <c r="A345" s="458" t="s">
        <v>1017</v>
      </c>
      <c r="C345" s="60" t="s">
        <v>997</v>
      </c>
      <c r="D345" s="60" t="s">
        <v>513</v>
      </c>
      <c r="E345" s="60" t="s">
        <v>1023</v>
      </c>
      <c r="F345" s="76">
        <f>VLOOKUP(C345,'Functional Assignment'!$C$2:$AP$780,'Functional Assignment'!$AE$2,)</f>
        <v>0</v>
      </c>
      <c r="G345" s="76">
        <f t="shared" ref="G345:Z345" si="156">IF(VLOOKUP($E345,$D$6:$AN$1150,3,)=0,0,(VLOOKUP($E345,$D$6:$AN$1150,G$2,)/VLOOKUP($E345,$D$6:$AN$1150,3,))*$F345)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A346" s="44"/>
      <c r="F346" s="79"/>
    </row>
    <row r="347" spans="1:28">
      <c r="A347" s="44" t="s">
        <v>846</v>
      </c>
      <c r="D347" s="60" t="s">
        <v>514</v>
      </c>
      <c r="F347" s="76">
        <f>F302+F308+F311+F314+F322+F327+F330+F333+F336+F339+F342+F345</f>
        <v>277122835.61762834</v>
      </c>
      <c r="G347" s="76">
        <f t="shared" ref="G347:Z347" si="157">G302+G308+G311+G314+G322+G327+G330+G333+G336+G339+G342+G345</f>
        <v>132741133.13643135</v>
      </c>
      <c r="H347" s="76">
        <f t="shared" si="157"/>
        <v>283469.76320816984</v>
      </c>
      <c r="I347" s="76">
        <f t="shared" si="157"/>
        <v>32982691.122442532</v>
      </c>
      <c r="J347" s="76">
        <f t="shared" si="157"/>
        <v>2010393.9631165694</v>
      </c>
      <c r="K347" s="76">
        <f t="shared" si="157"/>
        <v>33860270.313709497</v>
      </c>
      <c r="L347" s="76">
        <f t="shared" si="157"/>
        <v>29568921.879067402</v>
      </c>
      <c r="M347" s="76">
        <f t="shared" si="157"/>
        <v>25784438.975284874</v>
      </c>
      <c r="N347" s="76">
        <f t="shared" si="157"/>
        <v>13443513.007543452</v>
      </c>
      <c r="O347" s="76">
        <f>O302+O308+O311+O314+O322+O327+O330+O333+O336+O339+O342+O345</f>
        <v>858366.52984042082</v>
      </c>
      <c r="P347" s="76">
        <f t="shared" si="157"/>
        <v>5395556.3271758882</v>
      </c>
      <c r="Q347" s="76">
        <f t="shared" si="157"/>
        <v>38012.459275250396</v>
      </c>
      <c r="R347" s="76">
        <f t="shared" si="157"/>
        <v>49212.724711325078</v>
      </c>
      <c r="S347" s="76">
        <f t="shared" si="157"/>
        <v>603.62521525567001</v>
      </c>
      <c r="T347" s="76">
        <f t="shared" si="157"/>
        <v>19227.856398095297</v>
      </c>
      <c r="U347" s="76">
        <f t="shared" si="157"/>
        <v>83869.534208333309</v>
      </c>
      <c r="V347" s="76">
        <f t="shared" si="157"/>
        <v>3154.4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277122835.6176284</v>
      </c>
      <c r="AB347" s="58" t="str">
        <f>IF(ABS(F347-AA347)&lt;0.01,"ok","err")</f>
        <v>ok</v>
      </c>
    </row>
    <row r="348" spans="1:28">
      <c r="A348" s="44"/>
    </row>
    <row r="349" spans="1:28">
      <c r="A349" s="44"/>
    </row>
    <row r="350" spans="1:28" ht="14.1">
      <c r="A350" s="459" t="s">
        <v>718</v>
      </c>
    </row>
    <row r="351" spans="1:28">
      <c r="A351" s="44"/>
    </row>
    <row r="352" spans="1:28" ht="14.1">
      <c r="A352" s="45" t="s">
        <v>352</v>
      </c>
    </row>
    <row r="353" spans="1:28">
      <c r="A353" s="458" t="s">
        <v>1441</v>
      </c>
      <c r="C353" s="111" t="s">
        <v>724</v>
      </c>
      <c r="D353" s="44" t="s">
        <v>1438</v>
      </c>
      <c r="E353" s="44" t="s">
        <v>1410</v>
      </c>
      <c r="F353" s="76">
        <f>VLOOKUP(C353,'Functional Assignment'!$C$2:$AP$780,'Functional Assignment'!$H$2,)</f>
        <v>0</v>
      </c>
      <c r="G353" s="76">
        <f t="shared" ref="G353:P358" si="158">IF(VLOOKUP($E353,$D$6:$AN$1150,3,)=0,0,(VLOOKUP($E353,$D$6:$AN$1150,G$2,)/VLOOKUP($E353,$D$6:$AN$1150,3,))*$F353)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IF(VLOOKUP($E353,$D$6:$AN$1150,3,)=0,0,(VLOOKUP($E353,$D$6:$AN$1150,Q$2,)/VLOOKUP($E353,$D$6:$AN$1150,3,))*$F353)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 hidden="1">
      <c r="A354" s="458" t="s">
        <v>1256</v>
      </c>
      <c r="C354" s="111" t="s">
        <v>724</v>
      </c>
      <c r="D354" s="44" t="s">
        <v>725</v>
      </c>
      <c r="E354" s="44" t="s">
        <v>1412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 hidden="1">
      <c r="A355" s="458" t="s">
        <v>1256</v>
      </c>
      <c r="C355" s="111" t="s">
        <v>724</v>
      </c>
      <c r="D355" s="44" t="s">
        <v>726</v>
      </c>
      <c r="E355" s="44" t="s">
        <v>1412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458" t="s">
        <v>1160</v>
      </c>
      <c r="C356" s="111" t="s">
        <v>724</v>
      </c>
      <c r="D356" s="44" t="s">
        <v>727</v>
      </c>
      <c r="E356" s="44" t="s">
        <v>1015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 hidden="1">
      <c r="A357" s="458" t="s">
        <v>1161</v>
      </c>
      <c r="C357" s="111" t="s">
        <v>724</v>
      </c>
      <c r="D357" s="44" t="s">
        <v>728</v>
      </c>
      <c r="E357" s="44" t="s">
        <v>1015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 hidden="1">
      <c r="A358" s="458" t="s">
        <v>1161</v>
      </c>
      <c r="C358" s="111" t="s">
        <v>724</v>
      </c>
      <c r="D358" s="44" t="s">
        <v>729</v>
      </c>
      <c r="E358" s="44" t="s">
        <v>1015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44" t="s">
        <v>374</v>
      </c>
      <c r="D359" s="44" t="s">
        <v>730</v>
      </c>
      <c r="E359" s="44"/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A360" s="44"/>
      <c r="F360" s="79"/>
      <c r="G360" s="79"/>
    </row>
    <row r="361" spans="1:28" ht="14.1">
      <c r="A361" s="45" t="s">
        <v>1055</v>
      </c>
      <c r="F361" s="79"/>
      <c r="G361" s="79"/>
    </row>
    <row r="362" spans="1:28">
      <c r="A362" s="458" t="s">
        <v>1225</v>
      </c>
      <c r="C362" s="111" t="s">
        <v>724</v>
      </c>
      <c r="D362" s="60" t="s">
        <v>731</v>
      </c>
      <c r="E362" s="60" t="s">
        <v>1229</v>
      </c>
      <c r="F362" s="76">
        <f>VLOOKUP(C362,'Functional Assignment'!$C$2:$AP$780,'Functional Assignment'!$N$2,)</f>
        <v>0</v>
      </c>
      <c r="G362" s="76">
        <f t="shared" ref="G362:P364" si="164">IF(VLOOKUP($E362,$D$6:$AN$1150,3,)=0,0,(VLOOKUP($E362,$D$6:$AN$1150,G$2,)/VLOOKUP($E362,$D$6:$AN$1150,3,))*$F362)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IF(VLOOKUP($E362,$D$6:$AN$1150,3,)=0,0,(VLOOKUP($E362,$D$6:$AN$1150,Q$2,)/VLOOKUP($E362,$D$6:$AN$1150,3,))*$F362)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458" t="s">
        <v>1226</v>
      </c>
      <c r="C363" s="111" t="s">
        <v>724</v>
      </c>
      <c r="D363" s="60" t="s">
        <v>732</v>
      </c>
      <c r="E363" s="60" t="s">
        <v>1229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458" t="s">
        <v>1226</v>
      </c>
      <c r="C364" s="111" t="s">
        <v>724</v>
      </c>
      <c r="D364" s="60" t="s">
        <v>733</v>
      </c>
      <c r="E364" s="60" t="s">
        <v>1229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44" t="s">
        <v>1057</v>
      </c>
      <c r="D365" s="60" t="s">
        <v>734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A366" s="44"/>
      <c r="F366" s="79"/>
      <c r="G366" s="79"/>
    </row>
    <row r="367" spans="1:28" ht="14.1">
      <c r="A367" s="45" t="s">
        <v>337</v>
      </c>
      <c r="F367" s="79"/>
      <c r="G367" s="79"/>
    </row>
    <row r="368" spans="1:28">
      <c r="A368" s="458" t="s">
        <v>359</v>
      </c>
      <c r="C368" s="111" t="s">
        <v>724</v>
      </c>
      <c r="D368" s="60" t="s">
        <v>735</v>
      </c>
      <c r="E368" s="60" t="s">
        <v>1230</v>
      </c>
      <c r="F368" s="76">
        <f>VLOOKUP(C368,'Functional Assignment'!$C$2:$AP$780,'Functional Assignment'!$Q$2,)</f>
        <v>0</v>
      </c>
      <c r="G368" s="76">
        <f t="shared" ref="G368:Z368" si="168">IF(VLOOKUP($E368,$D$6:$AN$1150,3,)=0,0,(VLOOKUP($E368,$D$6:$AN$1150,G$2,)/VLOOKUP($E368,$D$6:$AN$1150,3,))*$F368)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A369" s="44"/>
      <c r="F369" s="79"/>
    </row>
    <row r="370" spans="1:28" ht="14.1">
      <c r="A370" s="45" t="s">
        <v>338</v>
      </c>
      <c r="F370" s="79"/>
      <c r="G370" s="79"/>
    </row>
    <row r="371" spans="1:28">
      <c r="A371" s="458" t="s">
        <v>361</v>
      </c>
      <c r="C371" s="111" t="s">
        <v>724</v>
      </c>
      <c r="D371" s="60" t="s">
        <v>736</v>
      </c>
      <c r="E371" s="60" t="s">
        <v>1230</v>
      </c>
      <c r="F371" s="76">
        <f>VLOOKUP(C371,'Functional Assignment'!$C$2:$AP$780,'Functional Assignment'!$R$2,)</f>
        <v>0</v>
      </c>
      <c r="G371" s="76">
        <f t="shared" ref="G371:Z371" si="169">IF(VLOOKUP($E371,$D$6:$AN$1150,3,)=0,0,(VLOOKUP($E371,$D$6:$AN$1150,G$2,)/VLOOKUP($E371,$D$6:$AN$1150,3,))*$F371)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A372" s="44"/>
      <c r="F372" s="79"/>
    </row>
    <row r="373" spans="1:28" ht="14.1">
      <c r="A373" s="45" t="s">
        <v>360</v>
      </c>
      <c r="F373" s="79"/>
    </row>
    <row r="374" spans="1:28">
      <c r="A374" s="458" t="s">
        <v>603</v>
      </c>
      <c r="C374" s="111" t="s">
        <v>724</v>
      </c>
      <c r="D374" s="60" t="s">
        <v>737</v>
      </c>
      <c r="E374" s="60" t="s">
        <v>1230</v>
      </c>
      <c r="F374" s="76">
        <f>VLOOKUP(C374,'Functional Assignment'!$C$2:$AP$780,'Functional Assignment'!$S$2,)</f>
        <v>0</v>
      </c>
      <c r="G374" s="76">
        <f t="shared" ref="G374:P378" si="170">IF(VLOOKUP($E374,$D$6:$AN$1150,3,)=0,0,(VLOOKUP($E374,$D$6:$AN$1150,G$2,)/VLOOKUP($E374,$D$6:$AN$1150,3,))*$F374)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IF(VLOOKUP($E374,$D$6:$AN$1150,3,)=0,0,(VLOOKUP($E374,$D$6:$AN$1150,Q$2,)/VLOOKUP($E374,$D$6:$AN$1150,3,))*$F374)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458" t="s">
        <v>604</v>
      </c>
      <c r="C375" s="111" t="s">
        <v>724</v>
      </c>
      <c r="D375" s="60" t="s">
        <v>738</v>
      </c>
      <c r="E375" s="60" t="s">
        <v>1230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458" t="s">
        <v>605</v>
      </c>
      <c r="C376" s="111" t="s">
        <v>724</v>
      </c>
      <c r="D376" s="60" t="s">
        <v>739</v>
      </c>
      <c r="E376" s="60" t="s">
        <v>658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458" t="s">
        <v>606</v>
      </c>
      <c r="C377" s="111" t="s">
        <v>724</v>
      </c>
      <c r="D377" s="60" t="s">
        <v>740</v>
      </c>
      <c r="E377" s="60" t="s">
        <v>646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458" t="s">
        <v>607</v>
      </c>
      <c r="C378" s="111" t="s">
        <v>724</v>
      </c>
      <c r="D378" s="60" t="s">
        <v>741</v>
      </c>
      <c r="E378" s="60" t="s">
        <v>657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44" t="s">
        <v>365</v>
      </c>
      <c r="D379" s="60" t="s">
        <v>742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A380" s="44"/>
      <c r="F380" s="79"/>
    </row>
    <row r="381" spans="1:28" ht="14.1">
      <c r="A381" s="45" t="s">
        <v>613</v>
      </c>
      <c r="F381" s="79"/>
    </row>
    <row r="382" spans="1:28">
      <c r="A382" s="458" t="s">
        <v>1014</v>
      </c>
      <c r="C382" s="111" t="s">
        <v>724</v>
      </c>
      <c r="D382" s="60" t="s">
        <v>743</v>
      </c>
      <c r="E382" s="60" t="s">
        <v>1207</v>
      </c>
      <c r="F382" s="76">
        <f>VLOOKUP(C382,'Functional Assignment'!$C$2:$AP$780,'Functional Assignment'!$X$2,)</f>
        <v>0</v>
      </c>
      <c r="G382" s="76">
        <f t="shared" ref="G382:P383" si="176">IF(VLOOKUP($E382,$D$6:$AN$1150,3,)=0,0,(VLOOKUP($E382,$D$6:$AN$1150,G$2,)/VLOOKUP($E382,$D$6:$AN$1150,3,))*$F382)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IF(VLOOKUP($E382,$D$6:$AN$1150,3,)=0,0,(VLOOKUP($E382,$D$6:$AN$1150,Q$2,)/VLOOKUP($E382,$D$6:$AN$1150,3,))*$F382)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458" t="s">
        <v>1017</v>
      </c>
      <c r="C383" s="111" t="s">
        <v>724</v>
      </c>
      <c r="D383" s="60" t="s">
        <v>744</v>
      </c>
      <c r="E383" s="60" t="s">
        <v>1205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44" t="s">
        <v>672</v>
      </c>
      <c r="D384" s="60" t="s">
        <v>745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A385" s="44"/>
      <c r="F385" s="79"/>
    </row>
    <row r="386" spans="1:28" ht="14.1">
      <c r="A386" s="45" t="s">
        <v>343</v>
      </c>
      <c r="F386" s="79"/>
    </row>
    <row r="387" spans="1:28">
      <c r="A387" s="458" t="s">
        <v>1017</v>
      </c>
      <c r="C387" s="111" t="s">
        <v>724</v>
      </c>
      <c r="D387" s="60" t="s">
        <v>746</v>
      </c>
      <c r="E387" s="60" t="s">
        <v>1019</v>
      </c>
      <c r="F387" s="76">
        <f>VLOOKUP(C387,'Functional Assignment'!$C$2:$AP$780,'Functional Assignment'!$Z$2,)</f>
        <v>0</v>
      </c>
      <c r="G387" s="76">
        <f t="shared" ref="G387:Z387" si="180">IF(VLOOKUP($E387,$D$6:$AN$1150,3,)=0,0,(VLOOKUP($E387,$D$6:$AN$1150,G$2,)/VLOOKUP($E387,$D$6:$AN$1150,3,))*$F387)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458"/>
      <c r="C388" s="111"/>
      <c r="F388" s="79"/>
      <c r="AB388" s="58"/>
    </row>
    <row r="389" spans="1:28" hidden="1">
      <c r="A389" s="44"/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4.1">
      <c r="A390" s="45" t="s">
        <v>342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458" t="s">
        <v>1017</v>
      </c>
      <c r="C391" s="111" t="s">
        <v>724</v>
      </c>
      <c r="D391" s="60" t="s">
        <v>747</v>
      </c>
      <c r="E391" s="60" t="s">
        <v>1020</v>
      </c>
      <c r="F391" s="76">
        <f>VLOOKUP(C391,'Functional Assignment'!$C$2:$AP$780,'Functional Assignment'!$AA$2,)</f>
        <v>0</v>
      </c>
      <c r="G391" s="76">
        <f t="shared" ref="G391:Z391" si="181">IF(VLOOKUP($E391,$D$6:$AN$1150,3,)=0,0,(VLOOKUP($E391,$D$6:$AN$1150,G$2,)/VLOOKUP($E391,$D$6:$AN$1150,3,))*$F391)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A392" s="44"/>
      <c r="F392" s="79"/>
    </row>
    <row r="393" spans="1:28" ht="14.1">
      <c r="A393" s="45" t="s">
        <v>358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458" t="s">
        <v>1017</v>
      </c>
      <c r="C394" s="111" t="s">
        <v>724</v>
      </c>
      <c r="D394" s="60" t="s">
        <v>748</v>
      </c>
      <c r="E394" s="60" t="s">
        <v>1021</v>
      </c>
      <c r="F394" s="76">
        <f>VLOOKUP(C394,'Functional Assignment'!$C$2:$AP$780,'Functional Assignment'!$AB$2,)</f>
        <v>0</v>
      </c>
      <c r="G394" s="76">
        <f t="shared" ref="G394:Z394" si="182">IF(VLOOKUP($E394,$D$6:$AN$1150,3,)=0,0,(VLOOKUP($E394,$D$6:$AN$1150,G$2,)/VLOOKUP($E394,$D$6:$AN$1150,3,))*$F394)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A395" s="44"/>
      <c r="F395" s="79"/>
    </row>
    <row r="396" spans="1:28" ht="14.1">
      <c r="A396" s="45" t="s">
        <v>949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458" t="s">
        <v>1017</v>
      </c>
      <c r="C397" s="111" t="s">
        <v>724</v>
      </c>
      <c r="D397" s="60" t="s">
        <v>749</v>
      </c>
      <c r="E397" s="60" t="s">
        <v>1022</v>
      </c>
      <c r="F397" s="76">
        <f>VLOOKUP(C397,'Functional Assignment'!$C$2:$AP$780,'Functional Assignment'!$AC$2,)</f>
        <v>0</v>
      </c>
      <c r="G397" s="76">
        <f t="shared" ref="G397:Z397" si="183">IF(VLOOKUP($E397,$D$6:$AN$1150,3,)=0,0,(VLOOKUP($E397,$D$6:$AN$1150,G$2,)/VLOOKUP($E397,$D$6:$AN$1150,3,))*$F397)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A398" s="44"/>
      <c r="F398" s="79"/>
    </row>
    <row r="399" spans="1:28" ht="14.1">
      <c r="A399" s="45" t="s">
        <v>340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458" t="s">
        <v>1017</v>
      </c>
      <c r="C400" s="111" t="s">
        <v>724</v>
      </c>
      <c r="D400" s="60" t="s">
        <v>750</v>
      </c>
      <c r="E400" s="60" t="s">
        <v>1022</v>
      </c>
      <c r="F400" s="76">
        <f>VLOOKUP(C400,'Functional Assignment'!$C$2:$AP$780,'Functional Assignment'!$AD$2,)</f>
        <v>0</v>
      </c>
      <c r="G400" s="76">
        <f t="shared" ref="G400:Z400" si="184">IF(VLOOKUP($E400,$D$6:$AN$1150,3,)=0,0,(VLOOKUP($E400,$D$6:$AN$1150,G$2,)/VLOOKUP($E400,$D$6:$AN$1150,3,))*$F400)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A401" s="44"/>
      <c r="F401" s="79"/>
    </row>
    <row r="402" spans="1:28" ht="14.1">
      <c r="A402" s="45" t="s">
        <v>339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458" t="s">
        <v>1017</v>
      </c>
      <c r="C403" s="111" t="s">
        <v>724</v>
      </c>
      <c r="D403" s="60" t="s">
        <v>751</v>
      </c>
      <c r="E403" s="60" t="s">
        <v>1023</v>
      </c>
      <c r="F403" s="76">
        <f>VLOOKUP(C403,'Functional Assignment'!$C$2:$AP$780,'Functional Assignment'!$AE$2,)</f>
        <v>0</v>
      </c>
      <c r="G403" s="76">
        <f t="shared" ref="G403:Z403" si="185">IF(VLOOKUP($E403,$D$6:$AN$1150,3,)=0,0,(VLOOKUP($E403,$D$6:$AN$1150,G$2,)/VLOOKUP($E403,$D$6:$AN$1150,3,))*$F403)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A404" s="44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44" t="s">
        <v>846</v>
      </c>
      <c r="D405" s="60" t="s">
        <v>752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6" spans="1:28">
      <c r="A406" s="44"/>
    </row>
    <row r="407" spans="1:28">
      <c r="A407" s="44"/>
    </row>
    <row r="408" spans="1:28" ht="14.1">
      <c r="A408" s="45" t="s">
        <v>693</v>
      </c>
    </row>
    <row r="409" spans="1:28">
      <c r="A409" s="44"/>
    </row>
    <row r="410" spans="1:28" ht="14.1">
      <c r="A410" s="45" t="s">
        <v>352</v>
      </c>
    </row>
    <row r="411" spans="1:28">
      <c r="A411" s="458" t="s">
        <v>1441</v>
      </c>
      <c r="C411" s="60" t="s">
        <v>694</v>
      </c>
      <c r="D411" s="44" t="s">
        <v>1439</v>
      </c>
      <c r="E411" s="44" t="s">
        <v>1410</v>
      </c>
      <c r="F411" s="76">
        <f>VLOOKUP(C411,'Functional Assignment'!$C$2:$AP$780,'Functional Assignment'!$H$2,)</f>
        <v>0</v>
      </c>
      <c r="G411" s="76">
        <f t="shared" ref="G411:P416" si="188">IF(VLOOKUP($E411,$D$6:$AN$1150,3,)=0,0,(VLOOKUP($E411,$D$6:$AN$1150,G$2,)/VLOOKUP($E411,$D$6:$AN$1150,3,))*$F411)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IF(VLOOKUP($E411,$D$6:$AN$1150,3,)=0,0,(VLOOKUP($E411,$D$6:$AN$1150,Q$2,)/VLOOKUP($E411,$D$6:$AN$1150,3,))*$F411)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 hidden="1">
      <c r="A412" s="458" t="s">
        <v>1256</v>
      </c>
      <c r="C412" s="60" t="s">
        <v>694</v>
      </c>
      <c r="D412" s="44" t="s">
        <v>695</v>
      </c>
      <c r="E412" s="44" t="s">
        <v>1412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 hidden="1">
      <c r="A413" s="458" t="s">
        <v>1256</v>
      </c>
      <c r="C413" s="60" t="s">
        <v>694</v>
      </c>
      <c r="D413" s="44" t="s">
        <v>696</v>
      </c>
      <c r="E413" s="44" t="s">
        <v>1412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458" t="s">
        <v>1160</v>
      </c>
      <c r="C414" s="60" t="s">
        <v>694</v>
      </c>
      <c r="D414" s="44" t="s">
        <v>697</v>
      </c>
      <c r="E414" s="44" t="s">
        <v>1015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 hidden="1">
      <c r="A415" s="458" t="s">
        <v>1161</v>
      </c>
      <c r="C415" s="60" t="s">
        <v>694</v>
      </c>
      <c r="D415" s="44" t="s">
        <v>698</v>
      </c>
      <c r="E415" s="44" t="s">
        <v>1015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 hidden="1">
      <c r="A416" s="458" t="s">
        <v>1161</v>
      </c>
      <c r="C416" s="60" t="s">
        <v>694</v>
      </c>
      <c r="D416" s="44" t="s">
        <v>699</v>
      </c>
      <c r="E416" s="44" t="s">
        <v>1015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44" t="s">
        <v>374</v>
      </c>
      <c r="D417" s="44" t="s">
        <v>700</v>
      </c>
      <c r="E417" s="44"/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A418" s="44"/>
      <c r="F418" s="79"/>
      <c r="G418" s="79"/>
    </row>
    <row r="419" spans="1:28" ht="14.1">
      <c r="A419" s="45" t="s">
        <v>1055</v>
      </c>
      <c r="F419" s="79"/>
      <c r="G419" s="79"/>
    </row>
    <row r="420" spans="1:28">
      <c r="A420" s="458" t="s">
        <v>1225</v>
      </c>
      <c r="C420" s="60" t="s">
        <v>694</v>
      </c>
      <c r="D420" s="60" t="s">
        <v>701</v>
      </c>
      <c r="E420" s="60" t="s">
        <v>1229</v>
      </c>
      <c r="F420" s="76">
        <f>VLOOKUP(C420,'Functional Assignment'!$C$2:$AP$780,'Functional Assignment'!$N$2,)</f>
        <v>0</v>
      </c>
      <c r="G420" s="76">
        <f t="shared" ref="G420:P422" si="193">IF(VLOOKUP($E420,$D$6:$AN$1150,3,)=0,0,(VLOOKUP($E420,$D$6:$AN$1150,G$2,)/VLOOKUP($E420,$D$6:$AN$1150,3,))*$F420)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IF(VLOOKUP($E420,$D$6:$AN$1150,3,)=0,0,(VLOOKUP($E420,$D$6:$AN$1150,Q$2,)/VLOOKUP($E420,$D$6:$AN$1150,3,))*$F420)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458" t="s">
        <v>1226</v>
      </c>
      <c r="C421" s="60" t="s">
        <v>694</v>
      </c>
      <c r="D421" s="60" t="s">
        <v>702</v>
      </c>
      <c r="E421" s="60" t="s">
        <v>1229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458" t="s">
        <v>1226</v>
      </c>
      <c r="C422" s="60" t="s">
        <v>694</v>
      </c>
      <c r="D422" s="60" t="s">
        <v>703</v>
      </c>
      <c r="E422" s="60" t="s">
        <v>1229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44" t="s">
        <v>1057</v>
      </c>
      <c r="D423" s="60" t="s">
        <v>704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A424" s="44"/>
      <c r="F424" s="79"/>
      <c r="G424" s="79"/>
    </row>
    <row r="425" spans="1:28" ht="14.1">
      <c r="A425" s="45" t="s">
        <v>337</v>
      </c>
      <c r="F425" s="79"/>
      <c r="G425" s="79"/>
    </row>
    <row r="426" spans="1:28">
      <c r="A426" s="458" t="s">
        <v>359</v>
      </c>
      <c r="C426" s="60" t="s">
        <v>694</v>
      </c>
      <c r="D426" s="60" t="s">
        <v>705</v>
      </c>
      <c r="E426" s="60" t="s">
        <v>1230</v>
      </c>
      <c r="F426" s="76">
        <f>VLOOKUP(C426,'Functional Assignment'!$C$2:$AP$780,'Functional Assignment'!$Q$2,)</f>
        <v>0</v>
      </c>
      <c r="G426" s="76">
        <f t="shared" ref="G426:Z426" si="196">IF(VLOOKUP($E426,$D$6:$AN$1150,3,)=0,0,(VLOOKUP($E426,$D$6:$AN$1150,G$2,)/VLOOKUP($E426,$D$6:$AN$1150,3,))*$F426)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A427" s="44"/>
      <c r="F427" s="79"/>
    </row>
    <row r="428" spans="1:28" ht="14.1">
      <c r="A428" s="45" t="s">
        <v>338</v>
      </c>
      <c r="F428" s="79"/>
      <c r="G428" s="79"/>
    </row>
    <row r="429" spans="1:28">
      <c r="A429" s="458" t="s">
        <v>361</v>
      </c>
      <c r="C429" s="60" t="s">
        <v>694</v>
      </c>
      <c r="D429" s="60" t="s">
        <v>706</v>
      </c>
      <c r="E429" s="60" t="s">
        <v>1230</v>
      </c>
      <c r="F429" s="76">
        <f>VLOOKUP(C429,'Functional Assignment'!$C$2:$AP$780,'Functional Assignment'!$R$2,)</f>
        <v>0</v>
      </c>
      <c r="G429" s="76">
        <f t="shared" ref="G429:Z429" si="197">IF(VLOOKUP($E429,$D$6:$AN$1150,3,)=0,0,(VLOOKUP($E429,$D$6:$AN$1150,G$2,)/VLOOKUP($E429,$D$6:$AN$1150,3,))*$F429)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A430" s="44"/>
      <c r="F430" s="79"/>
    </row>
    <row r="431" spans="1:28" ht="14.1">
      <c r="A431" s="45" t="s">
        <v>360</v>
      </c>
      <c r="F431" s="79"/>
    </row>
    <row r="432" spans="1:28">
      <c r="A432" s="458" t="s">
        <v>603</v>
      </c>
      <c r="C432" s="60" t="s">
        <v>694</v>
      </c>
      <c r="D432" s="60" t="s">
        <v>707</v>
      </c>
      <c r="E432" s="60" t="s">
        <v>1230</v>
      </c>
      <c r="F432" s="76">
        <f>VLOOKUP(C432,'Functional Assignment'!$C$2:$AP$780,'Functional Assignment'!$S$2,)</f>
        <v>0</v>
      </c>
      <c r="G432" s="76">
        <f t="shared" ref="G432:P436" si="198">IF(VLOOKUP($E432,$D$6:$AN$1150,3,)=0,0,(VLOOKUP($E432,$D$6:$AN$1150,G$2,)/VLOOKUP($E432,$D$6:$AN$1150,3,))*$F432)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IF(VLOOKUP($E432,$D$6:$AN$1150,3,)=0,0,(VLOOKUP($E432,$D$6:$AN$1150,Q$2,)/VLOOKUP($E432,$D$6:$AN$1150,3,))*$F432)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458" t="s">
        <v>604</v>
      </c>
      <c r="C433" s="60" t="s">
        <v>694</v>
      </c>
      <c r="D433" s="60" t="s">
        <v>708</v>
      </c>
      <c r="E433" s="60" t="s">
        <v>1230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458" t="s">
        <v>605</v>
      </c>
      <c r="C434" s="60" t="s">
        <v>694</v>
      </c>
      <c r="D434" s="60" t="s">
        <v>709</v>
      </c>
      <c r="E434" s="60" t="s">
        <v>658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458" t="s">
        <v>606</v>
      </c>
      <c r="C435" s="60" t="s">
        <v>694</v>
      </c>
      <c r="D435" s="60" t="s">
        <v>710</v>
      </c>
      <c r="E435" s="60" t="s">
        <v>646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458" t="s">
        <v>607</v>
      </c>
      <c r="C436" s="60" t="s">
        <v>694</v>
      </c>
      <c r="D436" s="60" t="s">
        <v>711</v>
      </c>
      <c r="E436" s="60" t="s">
        <v>657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44" t="s">
        <v>365</v>
      </c>
      <c r="D437" s="60" t="s">
        <v>712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A438" s="44"/>
      <c r="F438" s="79"/>
    </row>
    <row r="439" spans="1:28" ht="14.1">
      <c r="A439" s="45" t="s">
        <v>613</v>
      </c>
      <c r="F439" s="79"/>
    </row>
    <row r="440" spans="1:28">
      <c r="A440" s="458" t="s">
        <v>1014</v>
      </c>
      <c r="C440" s="60" t="s">
        <v>694</v>
      </c>
      <c r="D440" s="60" t="s">
        <v>713</v>
      </c>
      <c r="E440" s="60" t="s">
        <v>1207</v>
      </c>
      <c r="F440" s="76">
        <f>VLOOKUP(C440,'Functional Assignment'!$C$2:$AP$780,'Functional Assignment'!$X$2,)</f>
        <v>0</v>
      </c>
      <c r="G440" s="76">
        <f t="shared" ref="G440:P441" si="203">IF(VLOOKUP($E440,$D$6:$AN$1150,3,)=0,0,(VLOOKUP($E440,$D$6:$AN$1150,G$2,)/VLOOKUP($E440,$D$6:$AN$1150,3,))*$F440)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IF(VLOOKUP($E440,$D$6:$AN$1150,3,)=0,0,(VLOOKUP($E440,$D$6:$AN$1150,Q$2,)/VLOOKUP($E440,$D$6:$AN$1150,3,))*$F440)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458" t="s">
        <v>1017</v>
      </c>
      <c r="C441" s="60" t="s">
        <v>694</v>
      </c>
      <c r="D441" s="60" t="s">
        <v>753</v>
      </c>
      <c r="E441" s="60" t="s">
        <v>1205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44" t="s">
        <v>672</v>
      </c>
      <c r="D442" s="60" t="s">
        <v>754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A443" s="44"/>
      <c r="F443" s="79"/>
    </row>
    <row r="444" spans="1:28" ht="14.1">
      <c r="A444" s="45" t="s">
        <v>343</v>
      </c>
      <c r="F444" s="79"/>
    </row>
    <row r="445" spans="1:28">
      <c r="A445" s="458" t="s">
        <v>1017</v>
      </c>
      <c r="C445" s="60" t="s">
        <v>694</v>
      </c>
      <c r="D445" s="60" t="s">
        <v>755</v>
      </c>
      <c r="E445" s="60" t="s">
        <v>1019</v>
      </c>
      <c r="F445" s="76">
        <f>VLOOKUP(C445,'Functional Assignment'!$C$2:$AP$780,'Functional Assignment'!$Z$2,)</f>
        <v>0</v>
      </c>
      <c r="G445" s="76">
        <f t="shared" ref="G445:Z445" si="206">IF(VLOOKUP($E445,$D$6:$AN$1150,3,)=0,0,(VLOOKUP($E445,$D$6:$AN$1150,G$2,)/VLOOKUP($E445,$D$6:$AN$1150,3,))*$F445)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A446" s="44"/>
      <c r="F446" s="79"/>
    </row>
    <row r="447" spans="1:28" ht="14.1">
      <c r="A447" s="45" t="s">
        <v>342</v>
      </c>
      <c r="F447" s="79"/>
    </row>
    <row r="448" spans="1:28">
      <c r="A448" s="458" t="s">
        <v>1017</v>
      </c>
      <c r="C448" s="60" t="s">
        <v>694</v>
      </c>
      <c r="D448" s="60" t="s">
        <v>756</v>
      </c>
      <c r="E448" s="60" t="s">
        <v>1020</v>
      </c>
      <c r="F448" s="76">
        <f>VLOOKUP(C448,'Functional Assignment'!$C$2:$AP$780,'Functional Assignment'!$AA$2,)</f>
        <v>0</v>
      </c>
      <c r="G448" s="76">
        <f t="shared" ref="G448:Z448" si="207">IF(VLOOKUP($E448,$D$6:$AN$1150,3,)=0,0,(VLOOKUP($E448,$D$6:$AN$1150,G$2,)/VLOOKUP($E448,$D$6:$AN$1150,3,))*$F448)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A449" s="44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4.1">
      <c r="A450" s="45" t="s">
        <v>358</v>
      </c>
      <c r="F450" s="79"/>
    </row>
    <row r="451" spans="1:28">
      <c r="A451" s="458" t="s">
        <v>1017</v>
      </c>
      <c r="C451" s="60" t="s">
        <v>694</v>
      </c>
      <c r="D451" s="60" t="s">
        <v>757</v>
      </c>
      <c r="E451" s="60" t="s">
        <v>1021</v>
      </c>
      <c r="F451" s="76">
        <f>VLOOKUP(C451,'Functional Assignment'!$C$2:$AP$780,'Functional Assignment'!$AB$2,)</f>
        <v>0</v>
      </c>
      <c r="G451" s="76">
        <f t="shared" ref="G451:Z451" si="208">IF(VLOOKUP($E451,$D$6:$AN$1150,3,)=0,0,(VLOOKUP($E451,$D$6:$AN$1150,G$2,)/VLOOKUP($E451,$D$6:$AN$1150,3,))*$F451)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A452" s="44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4.1">
      <c r="A453" s="45" t="s">
        <v>949</v>
      </c>
      <c r="F453" s="79"/>
    </row>
    <row r="454" spans="1:28">
      <c r="A454" s="458" t="s">
        <v>1017</v>
      </c>
      <c r="C454" s="60" t="s">
        <v>694</v>
      </c>
      <c r="D454" s="60" t="s">
        <v>758</v>
      </c>
      <c r="E454" s="60" t="s">
        <v>1022</v>
      </c>
      <c r="F454" s="76">
        <f>VLOOKUP(C454,'Functional Assignment'!$C$2:$AP$780,'Functional Assignment'!$AC$2,)</f>
        <v>0</v>
      </c>
      <c r="G454" s="76">
        <f t="shared" ref="G454:Z454" si="209">IF(VLOOKUP($E454,$D$6:$AN$1150,3,)=0,0,(VLOOKUP($E454,$D$6:$AN$1150,G$2,)/VLOOKUP($E454,$D$6:$AN$1150,3,))*$F454)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A455" s="44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4.1">
      <c r="A456" s="45" t="s">
        <v>340</v>
      </c>
      <c r="F456" s="79"/>
    </row>
    <row r="457" spans="1:28">
      <c r="A457" s="458" t="s">
        <v>1017</v>
      </c>
      <c r="C457" s="60" t="s">
        <v>694</v>
      </c>
      <c r="D457" s="60" t="s">
        <v>759</v>
      </c>
      <c r="E457" s="60" t="s">
        <v>1022</v>
      </c>
      <c r="F457" s="76">
        <f>VLOOKUP(C457,'Functional Assignment'!$C$2:$AP$780,'Functional Assignment'!$AD$2,)</f>
        <v>0</v>
      </c>
      <c r="G457" s="76">
        <f t="shared" ref="G457:Z457" si="210">IF(VLOOKUP($E457,$D$6:$AN$1150,3,)=0,0,(VLOOKUP($E457,$D$6:$AN$1150,G$2,)/VLOOKUP($E457,$D$6:$AN$1150,3,))*$F457)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A458" s="44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4.1">
      <c r="A459" s="45" t="s">
        <v>339</v>
      </c>
      <c r="F459" s="79"/>
    </row>
    <row r="460" spans="1:28">
      <c r="A460" s="458" t="s">
        <v>1017</v>
      </c>
      <c r="C460" s="60" t="s">
        <v>694</v>
      </c>
      <c r="D460" s="60" t="s">
        <v>760</v>
      </c>
      <c r="E460" s="60" t="s">
        <v>1023</v>
      </c>
      <c r="F460" s="76">
        <f>VLOOKUP(C460,'Functional Assignment'!$C$2:$AP$780,'Functional Assignment'!$AE$2,)</f>
        <v>0</v>
      </c>
      <c r="G460" s="76">
        <f t="shared" ref="G460:Z460" si="211">IF(VLOOKUP($E460,$D$6:$AN$1150,3,)=0,0,(VLOOKUP($E460,$D$6:$AN$1150,G$2,)/VLOOKUP($E460,$D$6:$AN$1150,3,))*$F460)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A461" s="44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44" t="s">
        <v>846</v>
      </c>
      <c r="D462" s="60" t="s">
        <v>761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A463" s="44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4" spans="1:28">
      <c r="A464" s="44"/>
    </row>
    <row r="465" spans="1:28" ht="14.1">
      <c r="A465" s="45" t="s">
        <v>763</v>
      </c>
    </row>
    <row r="466" spans="1:28">
      <c r="A466" s="44"/>
    </row>
    <row r="467" spans="1:28" ht="14.1">
      <c r="A467" s="45" t="s">
        <v>352</v>
      </c>
    </row>
    <row r="468" spans="1:28">
      <c r="A468" s="458" t="s">
        <v>1441</v>
      </c>
      <c r="C468" s="60" t="s">
        <v>998</v>
      </c>
      <c r="D468" s="44" t="s">
        <v>1440</v>
      </c>
      <c r="E468" s="44" t="s">
        <v>1429</v>
      </c>
      <c r="F468" s="76">
        <f>VLOOKUP(C468,'Functional Assignment'!$C$2:$AP$780,'Functional Assignment'!$H$2,)</f>
        <v>25721710.883164674</v>
      </c>
      <c r="G468" s="76">
        <f t="shared" ref="G468:P473" si="213">IF(VLOOKUP($E468,$D$6:$AN$1150,3,)=0,0,(VLOOKUP($E468,$D$6:$AN$1150,G$2,)/VLOOKUP($E468,$D$6:$AN$1150,3,))*$F468)</f>
        <v>11245919.17457773</v>
      </c>
      <c r="H468" s="76">
        <f t="shared" si="213"/>
        <v>21084.376633504362</v>
      </c>
      <c r="I468" s="76">
        <f t="shared" si="213"/>
        <v>3146706.9340741895</v>
      </c>
      <c r="J468" s="76">
        <f t="shared" si="213"/>
        <v>213234.19130704636</v>
      </c>
      <c r="K468" s="76">
        <f t="shared" si="213"/>
        <v>3508140.8785352632</v>
      </c>
      <c r="L468" s="76">
        <f t="shared" si="213"/>
        <v>3166692.1215069289</v>
      </c>
      <c r="M468" s="76">
        <f t="shared" si="213"/>
        <v>2694179.0280796029</v>
      </c>
      <c r="N468" s="76">
        <f t="shared" si="213"/>
        <v>1530706.3084841396</v>
      </c>
      <c r="O468" s="76">
        <f t="shared" si="213"/>
        <v>90864.417782656077</v>
      </c>
      <c r="P468" s="76">
        <f t="shared" si="213"/>
        <v>93126.605398888205</v>
      </c>
      <c r="Q468" s="76">
        <f t="shared" ref="Q468:Z473" si="214">IF(VLOOKUP($E468,$D$6:$AN$1150,3,)=0,0,(VLOOKUP($E468,$D$6:$AN$1150,Q$2,)/VLOOKUP($E468,$D$6:$AN$1150,3,))*$F468)</f>
        <v>3243.6015659078507</v>
      </c>
      <c r="R468" s="76">
        <f t="shared" si="214"/>
        <v>4466.8921320723975</v>
      </c>
      <c r="S468" s="76">
        <f t="shared" si="214"/>
        <v>4.4004915963093412</v>
      </c>
      <c r="T468" s="76">
        <f t="shared" si="214"/>
        <v>40.561222427658819</v>
      </c>
      <c r="U468" s="76">
        <f t="shared" si="214"/>
        <v>3190.2719496980626</v>
      </c>
      <c r="V468" s="76">
        <f t="shared" si="214"/>
        <v>111.11942302474998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25721710.883164678</v>
      </c>
      <c r="AB468" s="58" t="str">
        <f t="shared" ref="AB468:AB474" si="216">IF(ABS(F468-AA468)&lt;0.01,"ok","err")</f>
        <v>ok</v>
      </c>
    </row>
    <row r="469" spans="1:28" hidden="1">
      <c r="A469" s="458" t="s">
        <v>1256</v>
      </c>
      <c r="C469" s="60" t="s">
        <v>998</v>
      </c>
      <c r="D469" s="44" t="s">
        <v>516</v>
      </c>
      <c r="E469" s="44" t="s">
        <v>1412</v>
      </c>
      <c r="F469" s="79">
        <f>VLOOKUP(C469,'Functional Assignment'!$C$2:$AP$780,'Functional Assignment'!$I$2,)</f>
        <v>0</v>
      </c>
      <c r="G469" s="79">
        <f t="shared" si="213"/>
        <v>0</v>
      </c>
      <c r="H469" s="79">
        <f t="shared" si="213"/>
        <v>0</v>
      </c>
      <c r="I469" s="79">
        <f t="shared" si="213"/>
        <v>0</v>
      </c>
      <c r="J469" s="79">
        <f t="shared" si="213"/>
        <v>0</v>
      </c>
      <c r="K469" s="79">
        <f t="shared" si="213"/>
        <v>0</v>
      </c>
      <c r="L469" s="79">
        <f t="shared" si="213"/>
        <v>0</v>
      </c>
      <c r="M469" s="79">
        <f t="shared" si="213"/>
        <v>0</v>
      </c>
      <c r="N469" s="79">
        <f t="shared" si="213"/>
        <v>0</v>
      </c>
      <c r="O469" s="79">
        <f t="shared" si="213"/>
        <v>0</v>
      </c>
      <c r="P469" s="79">
        <f t="shared" si="213"/>
        <v>0</v>
      </c>
      <c r="Q469" s="79">
        <f t="shared" si="214"/>
        <v>0</v>
      </c>
      <c r="R469" s="79">
        <f t="shared" si="214"/>
        <v>0</v>
      </c>
      <c r="S469" s="79">
        <f t="shared" si="214"/>
        <v>0</v>
      </c>
      <c r="T469" s="79">
        <f t="shared" si="214"/>
        <v>0</v>
      </c>
      <c r="U469" s="79">
        <f t="shared" si="214"/>
        <v>0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0</v>
      </c>
      <c r="AB469" s="58" t="str">
        <f t="shared" si="216"/>
        <v>ok</v>
      </c>
    </row>
    <row r="470" spans="1:28" hidden="1">
      <c r="A470" s="458" t="s">
        <v>1256</v>
      </c>
      <c r="C470" s="60" t="s">
        <v>998</v>
      </c>
      <c r="D470" s="44" t="s">
        <v>517</v>
      </c>
      <c r="E470" s="44" t="s">
        <v>1412</v>
      </c>
      <c r="F470" s="79">
        <f>VLOOKUP(C470,'Functional Assignment'!$C$2:$AP$780,'Functional Assignment'!$J$2,)</f>
        <v>0</v>
      </c>
      <c r="G470" s="79">
        <f t="shared" si="213"/>
        <v>0</v>
      </c>
      <c r="H470" s="79">
        <f t="shared" si="213"/>
        <v>0</v>
      </c>
      <c r="I470" s="79">
        <f t="shared" si="213"/>
        <v>0</v>
      </c>
      <c r="J470" s="79">
        <f t="shared" si="213"/>
        <v>0</v>
      </c>
      <c r="K470" s="79">
        <f t="shared" si="213"/>
        <v>0</v>
      </c>
      <c r="L470" s="79">
        <f t="shared" si="213"/>
        <v>0</v>
      </c>
      <c r="M470" s="79">
        <f t="shared" si="213"/>
        <v>0</v>
      </c>
      <c r="N470" s="79">
        <f t="shared" si="213"/>
        <v>0</v>
      </c>
      <c r="O470" s="79">
        <f t="shared" si="213"/>
        <v>0</v>
      </c>
      <c r="P470" s="79">
        <f t="shared" si="213"/>
        <v>0</v>
      </c>
      <c r="Q470" s="79">
        <f t="shared" si="214"/>
        <v>0</v>
      </c>
      <c r="R470" s="79">
        <f t="shared" si="214"/>
        <v>0</v>
      </c>
      <c r="S470" s="79">
        <f t="shared" si="214"/>
        <v>0</v>
      </c>
      <c r="T470" s="79">
        <f t="shared" si="214"/>
        <v>0</v>
      </c>
      <c r="U470" s="79">
        <f t="shared" si="214"/>
        <v>0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0</v>
      </c>
      <c r="AB470" s="58" t="str">
        <f t="shared" si="216"/>
        <v>ok</v>
      </c>
    </row>
    <row r="471" spans="1:28">
      <c r="A471" s="458" t="s">
        <v>1160</v>
      </c>
      <c r="C471" s="60" t="s">
        <v>998</v>
      </c>
      <c r="D471" s="44" t="s">
        <v>518</v>
      </c>
      <c r="E471" s="44" t="s">
        <v>1015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 hidden="1">
      <c r="A472" s="458" t="s">
        <v>1161</v>
      </c>
      <c r="C472" s="60" t="s">
        <v>998</v>
      </c>
      <c r="D472" s="44" t="s">
        <v>519</v>
      </c>
      <c r="E472" s="44" t="s">
        <v>1015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 hidden="1">
      <c r="A473" s="458" t="s">
        <v>1161</v>
      </c>
      <c r="C473" s="60" t="s">
        <v>998</v>
      </c>
      <c r="D473" s="44" t="s">
        <v>520</v>
      </c>
      <c r="E473" s="44" t="s">
        <v>1015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44" t="s">
        <v>374</v>
      </c>
      <c r="D474" s="44" t="s">
        <v>521</v>
      </c>
      <c r="E474" s="44"/>
      <c r="F474" s="76">
        <f>SUM(F468:F473)</f>
        <v>25721710.883164674</v>
      </c>
      <c r="G474" s="76">
        <f t="shared" ref="G474:P474" si="217">SUM(G468:G473)</f>
        <v>11245919.17457773</v>
      </c>
      <c r="H474" s="76">
        <f t="shared" si="217"/>
        <v>21084.376633504362</v>
      </c>
      <c r="I474" s="76">
        <f t="shared" si="217"/>
        <v>3146706.9340741895</v>
      </c>
      <c r="J474" s="76">
        <f t="shared" si="217"/>
        <v>213234.19130704636</v>
      </c>
      <c r="K474" s="76">
        <f t="shared" si="217"/>
        <v>3508140.8785352632</v>
      </c>
      <c r="L474" s="76">
        <f t="shared" si="217"/>
        <v>3166692.1215069289</v>
      </c>
      <c r="M474" s="76">
        <f t="shared" si="217"/>
        <v>2694179.0280796029</v>
      </c>
      <c r="N474" s="76">
        <f t="shared" si="217"/>
        <v>1530706.3084841396</v>
      </c>
      <c r="O474" s="76">
        <f>SUM(O468:O473)</f>
        <v>90864.417782656077</v>
      </c>
      <c r="P474" s="76">
        <f t="shared" si="217"/>
        <v>93126.605398888205</v>
      </c>
      <c r="Q474" s="76">
        <f t="shared" ref="Q474:W474" si="218">SUM(Q468:Q473)</f>
        <v>3243.6015659078507</v>
      </c>
      <c r="R474" s="76">
        <f t="shared" si="218"/>
        <v>4466.8921320723975</v>
      </c>
      <c r="S474" s="76">
        <f t="shared" si="218"/>
        <v>4.4004915963093412</v>
      </c>
      <c r="T474" s="76">
        <f t="shared" si="218"/>
        <v>40.561222427658819</v>
      </c>
      <c r="U474" s="76">
        <f t="shared" si="218"/>
        <v>3190.2719496980626</v>
      </c>
      <c r="V474" s="76">
        <f t="shared" si="218"/>
        <v>111.11942302474998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25721710.883164678</v>
      </c>
      <c r="AB474" s="58" t="str">
        <f t="shared" si="216"/>
        <v>ok</v>
      </c>
    </row>
    <row r="475" spans="1:28">
      <c r="A475" s="44"/>
      <c r="F475" s="79"/>
      <c r="G475" s="79"/>
    </row>
    <row r="476" spans="1:28" ht="14.1">
      <c r="A476" s="45" t="s">
        <v>1055</v>
      </c>
      <c r="F476" s="79"/>
      <c r="G476" s="79"/>
    </row>
    <row r="477" spans="1:28">
      <c r="A477" s="458" t="s">
        <v>1225</v>
      </c>
      <c r="C477" s="60" t="s">
        <v>998</v>
      </c>
      <c r="D477" s="60" t="s">
        <v>522</v>
      </c>
      <c r="E477" s="60" t="s">
        <v>1229</v>
      </c>
      <c r="F477" s="76">
        <f>VLOOKUP(C477,'Functional Assignment'!$C$2:$AP$780,'Functional Assignment'!$N$2,)</f>
        <v>4076188.9791705641</v>
      </c>
      <c r="G477" s="76">
        <f t="shared" ref="G477:P479" si="219">IF(VLOOKUP($E477,$D$6:$AN$1150,3,)=0,0,(VLOOKUP($E477,$D$6:$AN$1150,G$2,)/VLOOKUP($E477,$D$6:$AN$1150,3,))*$F477)</f>
        <v>1922900.0537314077</v>
      </c>
      <c r="H477" s="76">
        <f t="shared" si="219"/>
        <v>5896.4802854724967</v>
      </c>
      <c r="I477" s="76">
        <f t="shared" si="219"/>
        <v>471017.681022059</v>
      </c>
      <c r="J477" s="76">
        <f t="shared" si="219"/>
        <v>30919.078781931617</v>
      </c>
      <c r="K477" s="76">
        <f t="shared" si="219"/>
        <v>524097.43934576085</v>
      </c>
      <c r="L477" s="76">
        <f t="shared" si="219"/>
        <v>439520.75702741789</v>
      </c>
      <c r="M477" s="76">
        <f t="shared" si="219"/>
        <v>416111.69470949558</v>
      </c>
      <c r="N477" s="76">
        <f t="shared" si="219"/>
        <v>216994.93317598401</v>
      </c>
      <c r="O477" s="76">
        <f t="shared" si="219"/>
        <v>13944.245916110358</v>
      </c>
      <c r="P477" s="76">
        <f t="shared" si="219"/>
        <v>33044.105791509799</v>
      </c>
      <c r="Q477" s="76">
        <f t="shared" ref="Q477:Z479" si="220">IF(VLOOKUP($E477,$D$6:$AN$1150,3,)=0,0,(VLOOKUP($E477,$D$6:$AN$1150,Q$2,)/VLOOKUP($E477,$D$6:$AN$1150,3,))*$F477)</f>
        <v>1150.9268788470783</v>
      </c>
      <c r="R477" s="76">
        <f t="shared" si="220"/>
        <v>528.32899019290448</v>
      </c>
      <c r="S477" s="76">
        <f t="shared" si="220"/>
        <v>57.496580278259763</v>
      </c>
      <c r="T477" s="76">
        <f t="shared" si="220"/>
        <v>5.7569340971533762</v>
      </c>
      <c r="U477" s="76">
        <f t="shared" si="220"/>
        <v>0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4076188.9791705646</v>
      </c>
      <c r="AB477" s="58" t="str">
        <f>IF(ABS(F477-AA477)&lt;0.01,"ok","err")</f>
        <v>ok</v>
      </c>
    </row>
    <row r="478" spans="1:28" hidden="1">
      <c r="A478" s="458" t="s">
        <v>1226</v>
      </c>
      <c r="C478" s="60" t="s">
        <v>998</v>
      </c>
      <c r="D478" s="60" t="s">
        <v>523</v>
      </c>
      <c r="E478" s="60" t="s">
        <v>1229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458" t="s">
        <v>1226</v>
      </c>
      <c r="C479" s="60" t="s">
        <v>998</v>
      </c>
      <c r="D479" s="60" t="s">
        <v>524</v>
      </c>
      <c r="E479" s="60" t="s">
        <v>1229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44" t="s">
        <v>1057</v>
      </c>
      <c r="D480" s="60" t="s">
        <v>525</v>
      </c>
      <c r="F480" s="76">
        <f>SUM(F477:F479)</f>
        <v>4076188.9791705641</v>
      </c>
      <c r="G480" s="76">
        <f t="shared" ref="G480:W480" si="221">SUM(G477:G479)</f>
        <v>1922900.0537314077</v>
      </c>
      <c r="H480" s="76">
        <f t="shared" si="221"/>
        <v>5896.4802854724967</v>
      </c>
      <c r="I480" s="76">
        <f t="shared" si="221"/>
        <v>471017.681022059</v>
      </c>
      <c r="J480" s="76">
        <f t="shared" si="221"/>
        <v>30919.078781931617</v>
      </c>
      <c r="K480" s="76">
        <f t="shared" si="221"/>
        <v>524097.43934576085</v>
      </c>
      <c r="L480" s="76">
        <f t="shared" si="221"/>
        <v>439520.75702741789</v>
      </c>
      <c r="M480" s="76">
        <f t="shared" si="221"/>
        <v>416111.69470949558</v>
      </c>
      <c r="N480" s="76">
        <f t="shared" si="221"/>
        <v>216994.93317598401</v>
      </c>
      <c r="O480" s="76">
        <f>SUM(O477:O479)</f>
        <v>13944.245916110358</v>
      </c>
      <c r="P480" s="76">
        <f t="shared" si="221"/>
        <v>33044.105791509799</v>
      </c>
      <c r="Q480" s="76">
        <f t="shared" si="221"/>
        <v>1150.9268788470783</v>
      </c>
      <c r="R480" s="76">
        <f t="shared" si="221"/>
        <v>528.32899019290448</v>
      </c>
      <c r="S480" s="76">
        <f t="shared" si="221"/>
        <v>57.496580278259763</v>
      </c>
      <c r="T480" s="76">
        <f t="shared" si="221"/>
        <v>5.7569340971533762</v>
      </c>
      <c r="U480" s="76">
        <f t="shared" si="221"/>
        <v>0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4076188.9791705646</v>
      </c>
      <c r="AB480" s="58" t="str">
        <f>IF(ABS(F480-AA480)&lt;0.01,"ok","err")</f>
        <v>ok</v>
      </c>
    </row>
    <row r="481" spans="1:28">
      <c r="A481" s="44"/>
      <c r="F481" s="79"/>
      <c r="G481" s="79"/>
    </row>
    <row r="482" spans="1:28" ht="14.1">
      <c r="A482" s="45" t="s">
        <v>337</v>
      </c>
      <c r="F482" s="79"/>
      <c r="G482" s="79"/>
    </row>
    <row r="483" spans="1:28">
      <c r="A483" s="458" t="s">
        <v>359</v>
      </c>
      <c r="C483" s="60" t="s">
        <v>998</v>
      </c>
      <c r="D483" s="60" t="s">
        <v>526</v>
      </c>
      <c r="E483" s="60" t="s">
        <v>1230</v>
      </c>
      <c r="F483" s="76">
        <f>VLOOKUP(C483,'Functional Assignment'!$C$2:$AP$780,'Functional Assignment'!$Q$2,)</f>
        <v>0</v>
      </c>
      <c r="G483" s="76">
        <f t="shared" ref="G483:Z483" si="222">IF(VLOOKUP($E483,$D$6:$AN$1150,3,)=0,0,(VLOOKUP($E483,$D$6:$AN$1150,G$2,)/VLOOKUP($E483,$D$6:$AN$1150,3,))*$F483)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A484" s="44"/>
      <c r="F484" s="79"/>
    </row>
    <row r="485" spans="1:28" ht="14.1">
      <c r="A485" s="45" t="s">
        <v>338</v>
      </c>
      <c r="F485" s="79"/>
      <c r="G485" s="79"/>
    </row>
    <row r="486" spans="1:28">
      <c r="A486" s="458" t="s">
        <v>361</v>
      </c>
      <c r="C486" s="60" t="s">
        <v>998</v>
      </c>
      <c r="D486" s="60" t="s">
        <v>527</v>
      </c>
      <c r="E486" s="60" t="s">
        <v>1230</v>
      </c>
      <c r="F486" s="76">
        <f>VLOOKUP(C486,'Functional Assignment'!$C$2:$AP$780,'Functional Assignment'!$R$2,)</f>
        <v>1563612.3741103811</v>
      </c>
      <c r="G486" s="76">
        <f t="shared" ref="G486:Z486" si="223">IF(VLOOKUP($E486,$D$6:$AN$1150,3,)=0,0,(VLOOKUP($E486,$D$6:$AN$1150,G$2,)/VLOOKUP($E486,$D$6:$AN$1150,3,))*$F486)</f>
        <v>779092.80599987961</v>
      </c>
      <c r="H486" s="76">
        <f t="shared" si="223"/>
        <v>2389.0505188853772</v>
      </c>
      <c r="I486" s="76">
        <f t="shared" si="223"/>
        <v>190840.12508654824</v>
      </c>
      <c r="J486" s="76">
        <f t="shared" si="223"/>
        <v>12527.344726212792</v>
      </c>
      <c r="K486" s="76">
        <f t="shared" si="223"/>
        <v>212346.21312994935</v>
      </c>
      <c r="L486" s="76">
        <f t="shared" si="223"/>
        <v>178078.65740249903</v>
      </c>
      <c r="M486" s="76">
        <f t="shared" si="223"/>
        <v>168594.11242487244</v>
      </c>
      <c r="N486" s="76">
        <f t="shared" si="223"/>
        <v>0</v>
      </c>
      <c r="O486" s="76">
        <f t="shared" si="223"/>
        <v>5649.7276898262826</v>
      </c>
      <c r="P486" s="76">
        <f t="shared" si="223"/>
        <v>13388.332405996307</v>
      </c>
      <c r="Q486" s="76">
        <f t="shared" si="223"/>
        <v>466.3158908345959</v>
      </c>
      <c r="R486" s="76">
        <f t="shared" si="223"/>
        <v>214.06069164215018</v>
      </c>
      <c r="S486" s="76">
        <f t="shared" si="223"/>
        <v>23.295632020739319</v>
      </c>
      <c r="T486" s="76">
        <f t="shared" si="223"/>
        <v>2.3325112145085529</v>
      </c>
      <c r="U486" s="76">
        <f t="shared" si="223"/>
        <v>0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1563612.3741103816</v>
      </c>
      <c r="AB486" s="58" t="str">
        <f>IF(ABS(F486-AA486)&lt;0.01,"ok","err")</f>
        <v>ok</v>
      </c>
    </row>
    <row r="487" spans="1:28">
      <c r="A487" s="44"/>
      <c r="F487" s="79"/>
    </row>
    <row r="488" spans="1:28" ht="14.1">
      <c r="A488" s="45" t="s">
        <v>360</v>
      </c>
      <c r="F488" s="79"/>
    </row>
    <row r="489" spans="1:28">
      <c r="A489" s="458" t="s">
        <v>603</v>
      </c>
      <c r="C489" s="60" t="s">
        <v>998</v>
      </c>
      <c r="D489" s="60" t="s">
        <v>528</v>
      </c>
      <c r="E489" s="60" t="s">
        <v>1230</v>
      </c>
      <c r="F489" s="76">
        <f>VLOOKUP(C489,'Functional Assignment'!$C$2:$AP$780,'Functional Assignment'!$S$2,)</f>
        <v>0</v>
      </c>
      <c r="G489" s="76">
        <f t="shared" ref="G489:P493" si="224">IF(VLOOKUP($E489,$D$6:$AN$1150,3,)=0,0,(VLOOKUP($E489,$D$6:$AN$1150,G$2,)/VLOOKUP($E489,$D$6:$AN$1150,3,))*$F489)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IF(VLOOKUP($E489,$D$6:$AN$1150,3,)=0,0,(VLOOKUP($E489,$D$6:$AN$1150,Q$2,)/VLOOKUP($E489,$D$6:$AN$1150,3,))*$F489)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458" t="s">
        <v>604</v>
      </c>
      <c r="C490" s="60" t="s">
        <v>998</v>
      </c>
      <c r="D490" s="60" t="s">
        <v>529</v>
      </c>
      <c r="E490" s="60" t="s">
        <v>1230</v>
      </c>
      <c r="F490" s="79">
        <f>VLOOKUP(C490,'Functional Assignment'!$C$2:$AP$780,'Functional Assignment'!$T$2,)</f>
        <v>2400424.3789285575</v>
      </c>
      <c r="G490" s="79">
        <f t="shared" si="224"/>
        <v>1196046.6647202084</v>
      </c>
      <c r="H490" s="79">
        <f t="shared" si="224"/>
        <v>3667.6194196065776</v>
      </c>
      <c r="I490" s="79">
        <f t="shared" si="224"/>
        <v>292973.69112735544</v>
      </c>
      <c r="J490" s="79">
        <f t="shared" si="224"/>
        <v>19231.712527954489</v>
      </c>
      <c r="K490" s="79">
        <f t="shared" si="224"/>
        <v>325989.37895992037</v>
      </c>
      <c r="L490" s="79">
        <f t="shared" si="224"/>
        <v>273382.55802627001</v>
      </c>
      <c r="M490" s="79">
        <f t="shared" si="224"/>
        <v>258822.0867967605</v>
      </c>
      <c r="N490" s="79">
        <f t="shared" si="224"/>
        <v>0</v>
      </c>
      <c r="O490" s="79">
        <f t="shared" si="224"/>
        <v>8673.3414914823097</v>
      </c>
      <c r="P490" s="79">
        <f t="shared" si="224"/>
        <v>20553.482456825357</v>
      </c>
      <c r="Q490" s="79">
        <f t="shared" si="225"/>
        <v>715.87821328032828</v>
      </c>
      <c r="R490" s="79">
        <f t="shared" si="225"/>
        <v>328.6214098174259</v>
      </c>
      <c r="S490" s="79">
        <f t="shared" si="225"/>
        <v>35.762957591677285</v>
      </c>
      <c r="T490" s="79">
        <f t="shared" si="225"/>
        <v>3.580821485002736</v>
      </c>
      <c r="U490" s="79">
        <f t="shared" si="225"/>
        <v>0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2400424.3789285575</v>
      </c>
      <c r="AB490" s="58" t="str">
        <f t="shared" si="227"/>
        <v>ok</v>
      </c>
    </row>
    <row r="491" spans="1:28">
      <c r="A491" s="458" t="s">
        <v>605</v>
      </c>
      <c r="C491" s="60" t="s">
        <v>998</v>
      </c>
      <c r="D491" s="60" t="s">
        <v>530</v>
      </c>
      <c r="E491" s="60" t="s">
        <v>658</v>
      </c>
      <c r="F491" s="79">
        <f>VLOOKUP(C491,'Functional Assignment'!$C$2:$AP$780,'Functional Assignment'!$U$2,)</f>
        <v>3928123.6616180972</v>
      </c>
      <c r="G491" s="79">
        <f t="shared" si="224"/>
        <v>3388134.7294637235</v>
      </c>
      <c r="H491" s="79">
        <f t="shared" si="224"/>
        <v>8363.0928577920404</v>
      </c>
      <c r="I491" s="79">
        <f t="shared" si="224"/>
        <v>408006.70354547293</v>
      </c>
      <c r="J491" s="79">
        <f t="shared" si="224"/>
        <v>629.64936815858334</v>
      </c>
      <c r="K491" s="79">
        <f t="shared" si="224"/>
        <v>25027.638241395434</v>
      </c>
      <c r="L491" s="79">
        <f t="shared" si="224"/>
        <v>1183.691524516363</v>
      </c>
      <c r="M491" s="79">
        <f t="shared" si="224"/>
        <v>4542.5197293372676</v>
      </c>
      <c r="N491" s="79">
        <f t="shared" si="224"/>
        <v>0</v>
      </c>
      <c r="O491" s="79">
        <f t="shared" si="224"/>
        <v>17.989981947388095</v>
      </c>
      <c r="P491" s="79">
        <f t="shared" si="224"/>
        <v>90958.348169435732</v>
      </c>
      <c r="Q491" s="79">
        <f t="shared" si="225"/>
        <v>160.9103940849713</v>
      </c>
      <c r="R491" s="79">
        <f t="shared" si="225"/>
        <v>999.44344152156077</v>
      </c>
      <c r="S491" s="79">
        <f t="shared" si="225"/>
        <v>8.9949909736940477</v>
      </c>
      <c r="T491" s="79">
        <f t="shared" si="225"/>
        <v>89.949909736940484</v>
      </c>
      <c r="U491" s="79">
        <f t="shared" si="225"/>
        <v>0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3928123.6616180963</v>
      </c>
      <c r="AB491" s="58" t="str">
        <f t="shared" si="227"/>
        <v>ok</v>
      </c>
    </row>
    <row r="492" spans="1:28">
      <c r="A492" s="458" t="s">
        <v>606</v>
      </c>
      <c r="C492" s="60" t="s">
        <v>998</v>
      </c>
      <c r="D492" s="60" t="s">
        <v>531</v>
      </c>
      <c r="E492" s="60" t="s">
        <v>646</v>
      </c>
      <c r="F492" s="79">
        <f>VLOOKUP(C492,'Functional Assignment'!$C$2:$AP$780,'Functional Assignment'!$V$2,)</f>
        <v>669740.30657974328</v>
      </c>
      <c r="G492" s="79">
        <f t="shared" si="224"/>
        <v>506176.37608728587</v>
      </c>
      <c r="H492" s="79">
        <f t="shared" si="224"/>
        <v>1510.7643907664042</v>
      </c>
      <c r="I492" s="79">
        <f t="shared" si="224"/>
        <v>81122.67185437915</v>
      </c>
      <c r="J492" s="79">
        <f t="shared" si="224"/>
        <v>0</v>
      </c>
      <c r="K492" s="79">
        <f t="shared" si="224"/>
        <v>76834.485210609389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3890.8343123115742</v>
      </c>
      <c r="Q492" s="79">
        <f t="shared" si="225"/>
        <v>135.51783847425074</v>
      </c>
      <c r="R492" s="79">
        <f t="shared" si="225"/>
        <v>62.208993525243017</v>
      </c>
      <c r="S492" s="79">
        <f t="shared" si="225"/>
        <v>6.770032416634769</v>
      </c>
      <c r="T492" s="79">
        <f t="shared" si="225"/>
        <v>0.67785997479393068</v>
      </c>
      <c r="U492" s="79">
        <f t="shared" si="225"/>
        <v>0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669740.3065797434</v>
      </c>
      <c r="AB492" s="58" t="str">
        <f t="shared" si="227"/>
        <v>ok</v>
      </c>
    </row>
    <row r="493" spans="1:28">
      <c r="A493" s="458" t="s">
        <v>607</v>
      </c>
      <c r="C493" s="60" t="s">
        <v>998</v>
      </c>
      <c r="D493" s="60" t="s">
        <v>532</v>
      </c>
      <c r="E493" s="60" t="s">
        <v>657</v>
      </c>
      <c r="F493" s="79">
        <f>VLOOKUP(C493,'Functional Assignment'!$C$2:$AP$780,'Functional Assignment'!$W$2,)</f>
        <v>1144422.2507474481</v>
      </c>
      <c r="G493" s="79">
        <f t="shared" si="224"/>
        <v>995058.29554941494</v>
      </c>
      <c r="H493" s="79">
        <f t="shared" si="224"/>
        <v>2456.1493532794689</v>
      </c>
      <c r="I493" s="79">
        <f t="shared" si="224"/>
        <v>119827.12832289116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26713.476919436078</v>
      </c>
      <c r="Q493" s="79">
        <f t="shared" si="225"/>
        <v>47.257631487316729</v>
      </c>
      <c r="R493" s="79">
        <f t="shared" si="225"/>
        <v>293.52566141190511</v>
      </c>
      <c r="S493" s="79">
        <f t="shared" si="225"/>
        <v>0</v>
      </c>
      <c r="T493" s="79">
        <f t="shared" si="225"/>
        <v>26.417309527071463</v>
      </c>
      <c r="U493" s="79">
        <f t="shared" si="225"/>
        <v>0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1144422.2507474478</v>
      </c>
      <c r="AB493" s="58" t="str">
        <f t="shared" si="227"/>
        <v>ok</v>
      </c>
    </row>
    <row r="494" spans="1:28">
      <c r="A494" s="44" t="s">
        <v>365</v>
      </c>
      <c r="D494" s="60" t="s">
        <v>533</v>
      </c>
      <c r="F494" s="76">
        <f>SUM(F489:F493)</f>
        <v>8142710.5978738461</v>
      </c>
      <c r="G494" s="76">
        <f t="shared" ref="G494:W494" si="228">SUM(G489:G493)</f>
        <v>6085416.0658206325</v>
      </c>
      <c r="H494" s="76">
        <f t="shared" si="228"/>
        <v>15997.62602144449</v>
      </c>
      <c r="I494" s="76">
        <f t="shared" si="228"/>
        <v>901930.19485009869</v>
      </c>
      <c r="J494" s="76">
        <f t="shared" si="228"/>
        <v>19861.361896113071</v>
      </c>
      <c r="K494" s="76">
        <f t="shared" si="228"/>
        <v>427851.50241192518</v>
      </c>
      <c r="L494" s="76">
        <f t="shared" si="228"/>
        <v>274566.24955078639</v>
      </c>
      <c r="M494" s="76">
        <f t="shared" si="228"/>
        <v>263364.60652609775</v>
      </c>
      <c r="N494" s="76">
        <f t="shared" si="228"/>
        <v>0</v>
      </c>
      <c r="O494" s="76">
        <f>SUM(O489:O493)</f>
        <v>8691.3314734296982</v>
      </c>
      <c r="P494" s="76">
        <f t="shared" si="228"/>
        <v>142116.14185800875</v>
      </c>
      <c r="Q494" s="76">
        <f t="shared" si="228"/>
        <v>1059.5640773268672</v>
      </c>
      <c r="R494" s="76">
        <f t="shared" si="228"/>
        <v>1683.7995062761347</v>
      </c>
      <c r="S494" s="76">
        <f t="shared" si="228"/>
        <v>51.527980982006106</v>
      </c>
      <c r="T494" s="76">
        <f t="shared" si="228"/>
        <v>120.62590072380861</v>
      </c>
      <c r="U494" s="76">
        <f t="shared" si="228"/>
        <v>0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8142710.597873847</v>
      </c>
      <c r="AB494" s="58" t="str">
        <f t="shared" si="227"/>
        <v>ok</v>
      </c>
    </row>
    <row r="495" spans="1:28">
      <c r="A495" s="44"/>
      <c r="F495" s="79"/>
    </row>
    <row r="496" spans="1:28" ht="14.1">
      <c r="A496" s="45" t="s">
        <v>613</v>
      </c>
      <c r="F496" s="79"/>
    </row>
    <row r="497" spans="1:28">
      <c r="A497" s="458" t="s">
        <v>1014</v>
      </c>
      <c r="C497" s="60" t="s">
        <v>998</v>
      </c>
      <c r="D497" s="60" t="s">
        <v>534</v>
      </c>
      <c r="E497" s="60" t="s">
        <v>1207</v>
      </c>
      <c r="F497" s="76">
        <f>VLOOKUP(C497,'Functional Assignment'!$C$2:$AP$780,'Functional Assignment'!$X$2,)</f>
        <v>820469.59697328508</v>
      </c>
      <c r="G497" s="76">
        <f t="shared" ref="G497:P498" si="229">IF(VLOOKUP($E497,$D$6:$AN$1150,3,)=0,0,(VLOOKUP($E497,$D$6:$AN$1150,G$2,)/VLOOKUP($E497,$D$6:$AN$1150,3,))*$F497)</f>
        <v>565936.18802076089</v>
      </c>
      <c r="H497" s="76">
        <f t="shared" si="229"/>
        <v>1689.1271120096862</v>
      </c>
      <c r="I497" s="76">
        <f t="shared" si="229"/>
        <v>90700.115296193835</v>
      </c>
      <c r="J497" s="76">
        <f t="shared" si="229"/>
        <v>0</v>
      </c>
      <c r="K497" s="76">
        <f t="shared" si="229"/>
        <v>85905.660008778155</v>
      </c>
      <c r="L497" s="76">
        <f t="shared" si="229"/>
        <v>0</v>
      </c>
      <c r="M497" s="76">
        <f t="shared" si="229"/>
        <v>71658.917582283451</v>
      </c>
      <c r="N497" s="76">
        <f t="shared" si="229"/>
        <v>0</v>
      </c>
      <c r="O497" s="76">
        <f t="shared" si="229"/>
        <v>0</v>
      </c>
      <c r="P497" s="76">
        <f t="shared" si="229"/>
        <v>4350.1910459572318</v>
      </c>
      <c r="Q497" s="76">
        <f t="shared" ref="Q497:Z498" si="230">IF(VLOOKUP($E497,$D$6:$AN$1150,3,)=0,0,(VLOOKUP($E497,$D$6:$AN$1150,Q$2,)/VLOOKUP($E497,$D$6:$AN$1150,3,))*$F497)</f>
        <v>151.51724287840995</v>
      </c>
      <c r="R497" s="76">
        <f t="shared" si="230"/>
        <v>69.553464601463716</v>
      </c>
      <c r="S497" s="76">
        <f t="shared" si="230"/>
        <v>7.5693108561561289</v>
      </c>
      <c r="T497" s="76">
        <f t="shared" si="230"/>
        <v>0.75788896572402109</v>
      </c>
      <c r="U497" s="76">
        <f t="shared" si="230"/>
        <v>0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820469.59697328531</v>
      </c>
      <c r="AB497" s="58" t="str">
        <f>IF(ABS(F497-AA497)&lt;0.01,"ok","err")</f>
        <v>ok</v>
      </c>
    </row>
    <row r="498" spans="1:28">
      <c r="A498" s="458" t="s">
        <v>1017</v>
      </c>
      <c r="C498" s="60" t="s">
        <v>998</v>
      </c>
      <c r="D498" s="60" t="s">
        <v>535</v>
      </c>
      <c r="E498" s="60" t="s">
        <v>1205</v>
      </c>
      <c r="F498" s="79">
        <f>VLOOKUP(C498,'Functional Assignment'!$C$2:$AP$780,'Functional Assignment'!$Y$2,)</f>
        <v>457336.24001704424</v>
      </c>
      <c r="G498" s="79">
        <f t="shared" si="229"/>
        <v>394651.40833023284</v>
      </c>
      <c r="H498" s="79">
        <f t="shared" si="229"/>
        <v>974.13669699213733</v>
      </c>
      <c r="I498" s="79">
        <f t="shared" si="229"/>
        <v>47524.79845684387</v>
      </c>
      <c r="J498" s="79">
        <f t="shared" si="229"/>
        <v>0</v>
      </c>
      <c r="K498" s="79">
        <f t="shared" si="229"/>
        <v>2915.2301982718582</v>
      </c>
      <c r="L498" s="79">
        <f t="shared" si="229"/>
        <v>0</v>
      </c>
      <c r="M498" s="79">
        <f t="shared" si="229"/>
        <v>529.11467568309263</v>
      </c>
      <c r="N498" s="79">
        <f t="shared" si="229"/>
        <v>0</v>
      </c>
      <c r="O498" s="79">
        <f t="shared" si="229"/>
        <v>0</v>
      </c>
      <c r="P498" s="79">
        <f t="shared" si="229"/>
        <v>10594.867993971789</v>
      </c>
      <c r="Q498" s="79">
        <f t="shared" si="230"/>
        <v>18.742912756204969</v>
      </c>
      <c r="R498" s="79">
        <f t="shared" si="230"/>
        <v>116.41560718139732</v>
      </c>
      <c r="S498" s="79">
        <f t="shared" si="230"/>
        <v>1.0477404646325759</v>
      </c>
      <c r="T498" s="79">
        <f t="shared" si="230"/>
        <v>10.477404646325759</v>
      </c>
      <c r="U498" s="79">
        <f t="shared" si="230"/>
        <v>0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457336.24001704418</v>
      </c>
      <c r="AB498" s="58" t="str">
        <f>IF(ABS(F498-AA498)&lt;0.01,"ok","err")</f>
        <v>ok</v>
      </c>
    </row>
    <row r="499" spans="1:28">
      <c r="A499" s="44" t="s">
        <v>672</v>
      </c>
      <c r="D499" s="60" t="s">
        <v>536</v>
      </c>
      <c r="F499" s="76">
        <f>F497+F498</f>
        <v>1277805.8369903294</v>
      </c>
      <c r="G499" s="76">
        <f t="shared" ref="G499:W499" si="231">G497+G498</f>
        <v>960587.59635099373</v>
      </c>
      <c r="H499" s="76">
        <f t="shared" si="231"/>
        <v>2663.2638090018236</v>
      </c>
      <c r="I499" s="76">
        <f t="shared" si="231"/>
        <v>138224.91375303769</v>
      </c>
      <c r="J499" s="76">
        <f t="shared" si="231"/>
        <v>0</v>
      </c>
      <c r="K499" s="76">
        <f t="shared" si="231"/>
        <v>88820.890207050019</v>
      </c>
      <c r="L499" s="76">
        <f t="shared" si="231"/>
        <v>0</v>
      </c>
      <c r="M499" s="76">
        <f t="shared" si="231"/>
        <v>72188.032257966537</v>
      </c>
      <c r="N499" s="76">
        <f t="shared" si="231"/>
        <v>0</v>
      </c>
      <c r="O499" s="76">
        <f>O497+O498</f>
        <v>0</v>
      </c>
      <c r="P499" s="76">
        <f t="shared" si="231"/>
        <v>14945.059039929021</v>
      </c>
      <c r="Q499" s="76">
        <f t="shared" si="231"/>
        <v>170.2601556346149</v>
      </c>
      <c r="R499" s="76">
        <f t="shared" si="231"/>
        <v>185.96907178286102</v>
      </c>
      <c r="S499" s="76">
        <f t="shared" si="231"/>
        <v>8.6170513207887041</v>
      </c>
      <c r="T499" s="76">
        <f t="shared" si="231"/>
        <v>11.23529361204978</v>
      </c>
      <c r="U499" s="76">
        <f t="shared" si="231"/>
        <v>0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1277805.8369903292</v>
      </c>
      <c r="AB499" s="58" t="str">
        <f>IF(ABS(F499-AA499)&lt;0.01,"ok","err")</f>
        <v>ok</v>
      </c>
    </row>
    <row r="500" spans="1:28">
      <c r="A500" s="44"/>
      <c r="F500" s="79"/>
    </row>
    <row r="501" spans="1:28" ht="14.1">
      <c r="A501" s="45" t="s">
        <v>343</v>
      </c>
      <c r="F501" s="79"/>
    </row>
    <row r="502" spans="1:28">
      <c r="A502" s="458" t="s">
        <v>1017</v>
      </c>
      <c r="C502" s="60" t="s">
        <v>998</v>
      </c>
      <c r="D502" s="60" t="s">
        <v>537</v>
      </c>
      <c r="E502" s="60" t="s">
        <v>1019</v>
      </c>
      <c r="F502" s="76">
        <f>VLOOKUP(C502,'Functional Assignment'!$C$2:$AP$780,'Functional Assignment'!$Z$2,)</f>
        <v>292407.51605855033</v>
      </c>
      <c r="G502" s="76">
        <f t="shared" ref="G502:Z502" si="232">IF(VLOOKUP($E502,$D$6:$AN$1150,3,)=0,0,(VLOOKUP($E502,$D$6:$AN$1150,G$2,)/VLOOKUP($E502,$D$6:$AN$1150,3,))*$F502)</f>
        <v>251236.80486218922</v>
      </c>
      <c r="H502" s="76">
        <f t="shared" si="232"/>
        <v>620.13966271348181</v>
      </c>
      <c r="I502" s="76">
        <f t="shared" si="232"/>
        <v>35870.507913368412</v>
      </c>
      <c r="J502" s="76">
        <f t="shared" si="232"/>
        <v>0</v>
      </c>
      <c r="K502" s="76">
        <f t="shared" si="232"/>
        <v>3689.5987808474079</v>
      </c>
      <c r="L502" s="76">
        <f t="shared" si="232"/>
        <v>0</v>
      </c>
      <c r="M502" s="76">
        <f t="shared" si="232"/>
        <v>989.13878911051768</v>
      </c>
      <c r="N502" s="76">
        <f t="shared" si="232"/>
        <v>0</v>
      </c>
      <c r="O502" s="76">
        <f t="shared" si="232"/>
        <v>0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1.3260503212557453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292407.51605855033</v>
      </c>
      <c r="AB502" s="58" t="str">
        <f>IF(ABS(F502-AA502)&lt;0.01,"ok","err")</f>
        <v>ok</v>
      </c>
    </row>
    <row r="503" spans="1:28">
      <c r="A503" s="44"/>
      <c r="F503" s="79"/>
    </row>
    <row r="504" spans="1:28" ht="14.1">
      <c r="A504" s="45" t="s">
        <v>342</v>
      </c>
      <c r="F504" s="79"/>
    </row>
    <row r="505" spans="1:28">
      <c r="A505" s="458" t="s">
        <v>1017</v>
      </c>
      <c r="C505" s="60" t="s">
        <v>998</v>
      </c>
      <c r="D505" s="60" t="s">
        <v>538</v>
      </c>
      <c r="E505" s="60" t="s">
        <v>1316</v>
      </c>
      <c r="F505" s="76">
        <f>VLOOKUP(C505,'Functional Assignment'!$C$2:$AP$780,'Functional Assignment'!$AA$2,)</f>
        <v>298205.21889810968</v>
      </c>
      <c r="G505" s="76">
        <f t="shared" ref="G505:Z505" si="233">IF(VLOOKUP($E505,$D$6:$AN$1150,3,)=0,0,(VLOOKUP($E505,$D$6:$AN$1150,G$2,)/VLOOKUP($E505,$D$6:$AN$1150,3,))*$F505)</f>
        <v>201501.31133151552</v>
      </c>
      <c r="H505" s="76">
        <f t="shared" si="233"/>
        <v>497.37519673518386</v>
      </c>
      <c r="I505" s="76">
        <f t="shared" si="233"/>
        <v>62761.759334219118</v>
      </c>
      <c r="J505" s="76">
        <f t="shared" si="233"/>
        <v>2051.4457332756024</v>
      </c>
      <c r="K505" s="76">
        <f t="shared" si="233"/>
        <v>17551.171822355442</v>
      </c>
      <c r="L505" s="76">
        <f t="shared" si="233"/>
        <v>4097.5513422750273</v>
      </c>
      <c r="M505" s="76">
        <f t="shared" si="233"/>
        <v>3469.7579900663882</v>
      </c>
      <c r="N505" s="76">
        <f t="shared" si="233"/>
        <v>2895.7166065678412</v>
      </c>
      <c r="O505" s="76">
        <f t="shared" si="233"/>
        <v>62.275409723950077</v>
      </c>
      <c r="P505" s="76">
        <f t="shared" si="233"/>
        <v>0</v>
      </c>
      <c r="Q505" s="76">
        <f t="shared" si="233"/>
        <v>86.127891018407738</v>
      </c>
      <c r="R505" s="76">
        <f t="shared" si="233"/>
        <v>534.95584483483071</v>
      </c>
      <c r="S505" s="76">
        <f t="shared" si="233"/>
        <v>6.3079316792553337</v>
      </c>
      <c r="T505" s="76">
        <f t="shared" si="233"/>
        <v>2689.4624638430373</v>
      </c>
      <c r="U505" s="76">
        <f t="shared" si="233"/>
        <v>0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298205.21889810957</v>
      </c>
      <c r="AB505" s="58" t="str">
        <f>IF(ABS(F505-AA505)&lt;0.01,"ok","err")</f>
        <v>ok</v>
      </c>
    </row>
    <row r="506" spans="1:28">
      <c r="A506" s="44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4.1">
      <c r="A507" s="45" t="s">
        <v>358</v>
      </c>
      <c r="F507" s="79"/>
    </row>
    <row r="508" spans="1:28">
      <c r="A508" s="458" t="s">
        <v>1017</v>
      </c>
      <c r="C508" s="60" t="s">
        <v>998</v>
      </c>
      <c r="D508" s="60" t="s">
        <v>539</v>
      </c>
      <c r="E508" s="60" t="s">
        <v>1021</v>
      </c>
      <c r="F508" s="76">
        <f>VLOOKUP(C508,'Functional Assignment'!$C$2:$AP$780,'Functional Assignment'!$AB$2,)</f>
        <v>964080.7074885543</v>
      </c>
      <c r="G508" s="76">
        <f t="shared" ref="G508:Z508" si="234">IF(VLOOKUP($E508,$D$6:$AN$1150,3,)=0,0,(VLOOKUP($E508,$D$6:$AN$1150,G$2,)/VLOOKUP($E508,$D$6:$AN$1150,3,))*$F508)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964080.7074885543</v>
      </c>
      <c r="Q508" s="76">
        <f t="shared" si="234"/>
        <v>0</v>
      </c>
      <c r="R508" s="76">
        <f t="shared" si="234"/>
        <v>0</v>
      </c>
      <c r="S508" s="76">
        <f t="shared" si="234"/>
        <v>0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964080.7074885543</v>
      </c>
      <c r="AB508" s="58" t="str">
        <f>IF(ABS(F508-AA508)&lt;0.01,"ok","err")</f>
        <v>ok</v>
      </c>
    </row>
    <row r="509" spans="1:28">
      <c r="A509" s="44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4.1">
      <c r="A510" s="45" t="s">
        <v>949</v>
      </c>
      <c r="F510" s="79"/>
    </row>
    <row r="511" spans="1:28">
      <c r="A511" s="458" t="s">
        <v>1017</v>
      </c>
      <c r="C511" s="60" t="s">
        <v>998</v>
      </c>
      <c r="D511" s="60" t="s">
        <v>540</v>
      </c>
      <c r="E511" s="60" t="s">
        <v>1022</v>
      </c>
      <c r="F511" s="76">
        <f>VLOOKUP(C511,'Functional Assignment'!$C$2:$AP$780,'Functional Assignment'!$AC$2,)</f>
        <v>0</v>
      </c>
      <c r="G511" s="76">
        <f t="shared" ref="G511:Z511" si="235">IF(VLOOKUP($E511,$D$6:$AN$1150,3,)=0,0,(VLOOKUP($E511,$D$6:$AN$1150,G$2,)/VLOOKUP($E511,$D$6:$AN$1150,3,))*$F511)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A512" s="44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4.1">
      <c r="A513" s="45" t="s">
        <v>340</v>
      </c>
      <c r="F513" s="79"/>
    </row>
    <row r="514" spans="1:28">
      <c r="A514" s="458" t="s">
        <v>1017</v>
      </c>
      <c r="C514" s="60" t="s">
        <v>998</v>
      </c>
      <c r="D514" s="60" t="s">
        <v>541</v>
      </c>
      <c r="E514" s="60" t="s">
        <v>1022</v>
      </c>
      <c r="F514" s="76">
        <f>VLOOKUP(C514,'Functional Assignment'!$C$2:$AP$780,'Functional Assignment'!$AD$2,)</f>
        <v>0</v>
      </c>
      <c r="G514" s="76">
        <f t="shared" ref="G514:Z514" si="236">IF(VLOOKUP($E514,$D$6:$AN$1150,3,)=0,0,(VLOOKUP($E514,$D$6:$AN$1150,G$2,)/VLOOKUP($E514,$D$6:$AN$1150,3,))*$F514)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A515" s="44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4.1">
      <c r="A516" s="45" t="s">
        <v>339</v>
      </c>
      <c r="F516" s="79"/>
    </row>
    <row r="517" spans="1:28">
      <c r="A517" s="458" t="s">
        <v>1017</v>
      </c>
      <c r="C517" s="60" t="s">
        <v>998</v>
      </c>
      <c r="D517" s="60" t="s">
        <v>542</v>
      </c>
      <c r="E517" s="60" t="s">
        <v>1023</v>
      </c>
      <c r="F517" s="76">
        <f>VLOOKUP(C517,'Functional Assignment'!$C$2:$AP$780,'Functional Assignment'!$AE$2,)</f>
        <v>0</v>
      </c>
      <c r="G517" s="76">
        <f t="shared" ref="G517:Z517" si="237">IF(VLOOKUP($E517,$D$6:$AN$1150,3,)=0,0,(VLOOKUP($E517,$D$6:$AN$1150,G$2,)/VLOOKUP($E517,$D$6:$AN$1150,3,))*$F517)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A518" s="44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44" t="s">
        <v>846</v>
      </c>
      <c r="D519" s="60" t="s">
        <v>1033</v>
      </c>
      <c r="F519" s="76">
        <f>F474+F480+F483+F486+F494+F499+F502+F505+F508+F511+F514+F517</f>
        <v>42336722.113755003</v>
      </c>
      <c r="G519" s="76">
        <f t="shared" ref="G519:Z519" si="238">G474+G480+G483+G486+G494+G499+G502+G505+G508+G511+G514+G517</f>
        <v>21446653.812674347</v>
      </c>
      <c r="H519" s="76">
        <f t="shared" si="238"/>
        <v>49148.312127757221</v>
      </c>
      <c r="I519" s="76">
        <f t="shared" si="238"/>
        <v>4947352.1160335205</v>
      </c>
      <c r="J519" s="76">
        <f t="shared" si="238"/>
        <v>278593.42244457948</v>
      </c>
      <c r="K519" s="76">
        <f t="shared" si="238"/>
        <v>4782497.6942331512</v>
      </c>
      <c r="L519" s="76">
        <f t="shared" si="238"/>
        <v>4062955.3368299073</v>
      </c>
      <c r="M519" s="76">
        <f t="shared" si="238"/>
        <v>3618896.3707772121</v>
      </c>
      <c r="N519" s="76">
        <f t="shared" si="238"/>
        <v>1750596.9582666915</v>
      </c>
      <c r="O519" s="76">
        <f>O474+O480+O483+O486+O494+O499+O502+O505+O508+O511+O514+O517</f>
        <v>119211.99827174637</v>
      </c>
      <c r="P519" s="76">
        <f t="shared" si="238"/>
        <v>1260700.9519828863</v>
      </c>
      <c r="Q519" s="76">
        <f t="shared" si="238"/>
        <v>6176.7964595694148</v>
      </c>
      <c r="R519" s="76">
        <f t="shared" si="238"/>
        <v>7614.0062368012786</v>
      </c>
      <c r="S519" s="76">
        <f t="shared" si="238"/>
        <v>152.97171819861433</v>
      </c>
      <c r="T519" s="76">
        <f t="shared" si="238"/>
        <v>2869.9743259182164</v>
      </c>
      <c r="U519" s="76">
        <f t="shared" si="238"/>
        <v>3190.2719496980626</v>
      </c>
      <c r="V519" s="76">
        <f t="shared" si="238"/>
        <v>111.11942302474998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42336722.11375501</v>
      </c>
      <c r="AB519" s="58" t="str">
        <f>IF(ABS(F519-AA519)&lt;0.01,"ok","err")</f>
        <v>ok</v>
      </c>
    </row>
    <row r="520" spans="1:28">
      <c r="A520" s="44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1" spans="1:28">
      <c r="A521" s="44"/>
    </row>
    <row r="522" spans="1:28" ht="14.1">
      <c r="A522" s="45" t="s">
        <v>615</v>
      </c>
    </row>
    <row r="523" spans="1:28">
      <c r="A523" s="44"/>
    </row>
    <row r="524" spans="1:28" ht="14.1">
      <c r="A524" s="45" t="s">
        <v>352</v>
      </c>
    </row>
    <row r="525" spans="1:28">
      <c r="A525" s="458" t="s">
        <v>1441</v>
      </c>
      <c r="B525" s="44"/>
      <c r="C525" s="44" t="s">
        <v>515</v>
      </c>
      <c r="D525" s="44" t="s">
        <v>1442</v>
      </c>
      <c r="E525" s="44" t="s">
        <v>1432</v>
      </c>
      <c r="F525" s="76">
        <f>VLOOKUP(C525,'Functional Assignment'!$C$2:$AP$780,'Functional Assignment'!$H$2,)</f>
        <v>-557121.68574702344</v>
      </c>
      <c r="G525" s="76">
        <f t="shared" ref="G525:P530" si="239">IF(VLOOKUP($E525,$D$6:$AN$1150,3,)=0,0,(VLOOKUP($E525,$D$6:$AN$1150,G$2,)/VLOOKUP($E525,$D$6:$AN$1150,3,))*$F525)</f>
        <v>-237435.92503592203</v>
      </c>
      <c r="H525" s="76">
        <f t="shared" si="239"/>
        <v>-445.1560065538053</v>
      </c>
      <c r="I525" s="76">
        <f t="shared" si="239"/>
        <v>-66436.656720584113</v>
      </c>
      <c r="J525" s="76">
        <f t="shared" si="239"/>
        <v>-4502.0292851407939</v>
      </c>
      <c r="K525" s="76">
        <f t="shared" si="239"/>
        <v>-74067.638378045594</v>
      </c>
      <c r="L525" s="76">
        <f t="shared" si="239"/>
        <v>-66858.605464074615</v>
      </c>
      <c r="M525" s="76">
        <f t="shared" si="239"/>
        <v>-56882.401501741326</v>
      </c>
      <c r="N525" s="76">
        <f t="shared" si="239"/>
        <v>-32317.915740924753</v>
      </c>
      <c r="O525" s="76">
        <f t="shared" si="239"/>
        <v>-1918.4271871565822</v>
      </c>
      <c r="P525" s="76">
        <f t="shared" si="239"/>
        <v>-1966.1889219624925</v>
      </c>
      <c r="Q525" s="76">
        <f t="shared" ref="Q525:Z530" si="240">IF(VLOOKUP($E525,$D$6:$AN$1150,3,)=0,0,(VLOOKUP($E525,$D$6:$AN$1150,Q$2,)/VLOOKUP($E525,$D$6:$AN$1150,3,))*$F525)</f>
        <v>-68.48240026393519</v>
      </c>
      <c r="R525" s="76">
        <f t="shared" si="240"/>
        <v>-94.309824652827089</v>
      </c>
      <c r="S525" s="76">
        <f t="shared" si="240"/>
        <v>-9.2907905219916528E-2</v>
      </c>
      <c r="T525" s="76">
        <f t="shared" si="240"/>
        <v>-0.8563720953525864</v>
      </c>
      <c r="U525" s="76">
        <f t="shared" si="240"/>
        <v>-13727.717595343111</v>
      </c>
      <c r="V525" s="76">
        <f t="shared" si="240"/>
        <v>-399.28240465688896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-557121.68574702332</v>
      </c>
      <c r="AB525" s="58" t="str">
        <f t="shared" ref="AB525:AB531" si="242">IF(ABS(F525-AA525)&lt;0.01,"ok","err")</f>
        <v>ok</v>
      </c>
    </row>
    <row r="526" spans="1:28" hidden="1">
      <c r="A526" s="458" t="s">
        <v>1256</v>
      </c>
      <c r="B526" s="44"/>
      <c r="C526" s="44" t="s">
        <v>515</v>
      </c>
      <c r="D526" s="44" t="s">
        <v>543</v>
      </c>
      <c r="E526" s="44" t="s">
        <v>1412</v>
      </c>
      <c r="F526" s="79">
        <f>VLOOKUP(C526,'Functional Assignment'!$C$2:$AP$780,'Functional Assignment'!$I$2,)</f>
        <v>0</v>
      </c>
      <c r="G526" s="79">
        <f t="shared" si="239"/>
        <v>0</v>
      </c>
      <c r="H526" s="79">
        <f t="shared" si="239"/>
        <v>0</v>
      </c>
      <c r="I526" s="79">
        <f t="shared" si="239"/>
        <v>0</v>
      </c>
      <c r="J526" s="79">
        <f t="shared" si="239"/>
        <v>0</v>
      </c>
      <c r="K526" s="79">
        <f t="shared" si="239"/>
        <v>0</v>
      </c>
      <c r="L526" s="79">
        <f t="shared" si="239"/>
        <v>0</v>
      </c>
      <c r="M526" s="79">
        <f t="shared" si="239"/>
        <v>0</v>
      </c>
      <c r="N526" s="79">
        <f t="shared" si="239"/>
        <v>0</v>
      </c>
      <c r="O526" s="79">
        <f t="shared" si="239"/>
        <v>0</v>
      </c>
      <c r="P526" s="79">
        <f t="shared" si="239"/>
        <v>0</v>
      </c>
      <c r="Q526" s="79">
        <f t="shared" si="240"/>
        <v>0</v>
      </c>
      <c r="R526" s="79">
        <f t="shared" si="240"/>
        <v>0</v>
      </c>
      <c r="S526" s="79">
        <f t="shared" si="240"/>
        <v>0</v>
      </c>
      <c r="T526" s="79">
        <f t="shared" si="240"/>
        <v>0</v>
      </c>
      <c r="U526" s="79">
        <f t="shared" si="240"/>
        <v>0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0</v>
      </c>
      <c r="AB526" s="58" t="str">
        <f t="shared" si="242"/>
        <v>ok</v>
      </c>
    </row>
    <row r="527" spans="1:28" hidden="1">
      <c r="A527" s="458" t="s">
        <v>1256</v>
      </c>
      <c r="B527" s="44"/>
      <c r="C527" s="44" t="s">
        <v>515</v>
      </c>
      <c r="D527" s="44" t="s">
        <v>544</v>
      </c>
      <c r="E527" s="44" t="s">
        <v>1412</v>
      </c>
      <c r="F527" s="79">
        <f>VLOOKUP(C527,'Functional Assignment'!$C$2:$AP$780,'Functional Assignment'!$J$2,)</f>
        <v>0</v>
      </c>
      <c r="G527" s="79">
        <f t="shared" si="239"/>
        <v>0</v>
      </c>
      <c r="H527" s="79">
        <f t="shared" si="239"/>
        <v>0</v>
      </c>
      <c r="I527" s="79">
        <f t="shared" si="239"/>
        <v>0</v>
      </c>
      <c r="J527" s="79">
        <f t="shared" si="239"/>
        <v>0</v>
      </c>
      <c r="K527" s="79">
        <f t="shared" si="239"/>
        <v>0</v>
      </c>
      <c r="L527" s="79">
        <f t="shared" si="239"/>
        <v>0</v>
      </c>
      <c r="M527" s="79">
        <f t="shared" si="239"/>
        <v>0</v>
      </c>
      <c r="N527" s="79">
        <f t="shared" si="239"/>
        <v>0</v>
      </c>
      <c r="O527" s="79">
        <f t="shared" si="239"/>
        <v>0</v>
      </c>
      <c r="P527" s="79">
        <f t="shared" si="239"/>
        <v>0</v>
      </c>
      <c r="Q527" s="79">
        <f t="shared" si="240"/>
        <v>0</v>
      </c>
      <c r="R527" s="79">
        <f t="shared" si="240"/>
        <v>0</v>
      </c>
      <c r="S527" s="79">
        <f t="shared" si="240"/>
        <v>0</v>
      </c>
      <c r="T527" s="79">
        <f t="shared" si="240"/>
        <v>0</v>
      </c>
      <c r="U527" s="79">
        <f t="shared" si="240"/>
        <v>0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0</v>
      </c>
      <c r="AB527" s="58" t="str">
        <f t="shared" si="242"/>
        <v>ok</v>
      </c>
    </row>
    <row r="528" spans="1:28">
      <c r="A528" s="458" t="s">
        <v>1160</v>
      </c>
      <c r="B528" s="44"/>
      <c r="C528" s="44" t="s">
        <v>515</v>
      </c>
      <c r="D528" s="44" t="s">
        <v>545</v>
      </c>
      <c r="E528" s="44" t="s">
        <v>1015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 hidden="1">
      <c r="A529" s="458" t="s">
        <v>1161</v>
      </c>
      <c r="B529" s="44"/>
      <c r="C529" s="44" t="s">
        <v>515</v>
      </c>
      <c r="D529" s="44" t="s">
        <v>546</v>
      </c>
      <c r="E529" s="44" t="s">
        <v>1015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 hidden="1">
      <c r="A530" s="458" t="s">
        <v>1161</v>
      </c>
      <c r="B530" s="44"/>
      <c r="C530" s="44" t="s">
        <v>515</v>
      </c>
      <c r="D530" s="44" t="s">
        <v>547</v>
      </c>
      <c r="E530" s="44" t="s">
        <v>1015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44" t="s">
        <v>374</v>
      </c>
      <c r="B531" s="44"/>
      <c r="C531" s="44"/>
      <c r="D531" s="44" t="s">
        <v>1034</v>
      </c>
      <c r="E531" s="44"/>
      <c r="F531" s="76">
        <f>SUM(F525:F530)</f>
        <v>-557121.68574702344</v>
      </c>
      <c r="G531" s="76">
        <f t="shared" ref="G531:P531" si="243">SUM(G525:G530)</f>
        <v>-237435.92503592203</v>
      </c>
      <c r="H531" s="76">
        <f t="shared" si="243"/>
        <v>-445.1560065538053</v>
      </c>
      <c r="I531" s="76">
        <f t="shared" si="243"/>
        <v>-66436.656720584113</v>
      </c>
      <c r="J531" s="76">
        <f t="shared" si="243"/>
        <v>-4502.0292851407939</v>
      </c>
      <c r="K531" s="76">
        <f t="shared" si="243"/>
        <v>-74067.638378045594</v>
      </c>
      <c r="L531" s="76">
        <f t="shared" si="243"/>
        <v>-66858.605464074615</v>
      </c>
      <c r="M531" s="76">
        <f t="shared" si="243"/>
        <v>-56882.401501741326</v>
      </c>
      <c r="N531" s="76">
        <f t="shared" si="243"/>
        <v>-32317.915740924753</v>
      </c>
      <c r="O531" s="76">
        <f>SUM(O525:O530)</f>
        <v>-1918.4271871565822</v>
      </c>
      <c r="P531" s="76">
        <f t="shared" si="243"/>
        <v>-1966.1889219624925</v>
      </c>
      <c r="Q531" s="76">
        <f t="shared" ref="Q531:W531" si="244">SUM(Q525:Q530)</f>
        <v>-68.48240026393519</v>
      </c>
      <c r="R531" s="76">
        <f t="shared" si="244"/>
        <v>-94.309824652827089</v>
      </c>
      <c r="S531" s="76">
        <f t="shared" si="244"/>
        <v>-9.2907905219916528E-2</v>
      </c>
      <c r="T531" s="76">
        <f t="shared" si="244"/>
        <v>-0.8563720953525864</v>
      </c>
      <c r="U531" s="76">
        <f t="shared" si="244"/>
        <v>-13727.717595343111</v>
      </c>
      <c r="V531" s="76">
        <f t="shared" si="244"/>
        <v>-399.28240465688896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-557121.68574702332</v>
      </c>
      <c r="AB531" s="58" t="str">
        <f t="shared" si="242"/>
        <v>ok</v>
      </c>
    </row>
    <row r="532" spans="1:28">
      <c r="A532" s="44"/>
      <c r="F532" s="79"/>
      <c r="G532" s="79"/>
    </row>
    <row r="533" spans="1:28" ht="14.1">
      <c r="A533" s="45" t="s">
        <v>1055</v>
      </c>
      <c r="F533" s="79"/>
      <c r="G533" s="79"/>
    </row>
    <row r="534" spans="1:28">
      <c r="A534" s="458" t="s">
        <v>1225</v>
      </c>
      <c r="C534" s="60" t="s">
        <v>515</v>
      </c>
      <c r="D534" s="60" t="s">
        <v>548</v>
      </c>
      <c r="E534" s="60" t="s">
        <v>1229</v>
      </c>
      <c r="F534" s="76">
        <f>VLOOKUP(C534,'Functional Assignment'!$C$2:$AP$780,'Functional Assignment'!$N$2,)</f>
        <v>-88288.577918248455</v>
      </c>
      <c r="G534" s="76">
        <f t="shared" ref="G534:P536" si="245">IF(VLOOKUP($E534,$D$6:$AN$1150,3,)=0,0,(VLOOKUP($E534,$D$6:$AN$1150,G$2,)/VLOOKUP($E534,$D$6:$AN$1150,3,))*$F534)</f>
        <v>-41649.224825050893</v>
      </c>
      <c r="H534" s="76">
        <f t="shared" si="245"/>
        <v>-127.71533944760483</v>
      </c>
      <c r="I534" s="76">
        <f t="shared" si="245"/>
        <v>-10202.049376094114</v>
      </c>
      <c r="J534" s="76">
        <f t="shared" si="245"/>
        <v>-669.69453824353866</v>
      </c>
      <c r="K534" s="76">
        <f t="shared" si="245"/>
        <v>-11351.735124863675</v>
      </c>
      <c r="L534" s="76">
        <f t="shared" si="245"/>
        <v>-9519.8389480457372</v>
      </c>
      <c r="M534" s="76">
        <f t="shared" si="245"/>
        <v>-9012.808279691013</v>
      </c>
      <c r="N534" s="76">
        <f t="shared" si="245"/>
        <v>-4700.0210646443938</v>
      </c>
      <c r="O534" s="76">
        <f t="shared" si="245"/>
        <v>-302.02663526317639</v>
      </c>
      <c r="P534" s="76">
        <f t="shared" si="245"/>
        <v>-715.72174985522952</v>
      </c>
      <c r="Q534" s="76">
        <f t="shared" ref="Q534:Z536" si="246">IF(VLOOKUP($E534,$D$6:$AN$1150,3,)=0,0,(VLOOKUP($E534,$D$6:$AN$1150,Q$2,)/VLOOKUP($E534,$D$6:$AN$1150,3,))*$F534)</f>
        <v>-24.9286031488102</v>
      </c>
      <c r="R534" s="76">
        <f t="shared" si="246"/>
        <v>-11.443388776986323</v>
      </c>
      <c r="S534" s="76">
        <f t="shared" si="246"/>
        <v>-1.2453522969297917</v>
      </c>
      <c r="T534" s="76">
        <f t="shared" si="246"/>
        <v>-0.12469282636404455</v>
      </c>
      <c r="U534" s="76">
        <f t="shared" si="246"/>
        <v>0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-88288.577918248455</v>
      </c>
      <c r="AB534" s="58" t="str">
        <f>IF(ABS(F534-AA534)&lt;0.01,"ok","err")</f>
        <v>ok</v>
      </c>
    </row>
    <row r="535" spans="1:28" hidden="1">
      <c r="A535" s="458" t="s">
        <v>1226</v>
      </c>
      <c r="C535" s="60" t="s">
        <v>515</v>
      </c>
      <c r="D535" s="60" t="s">
        <v>549</v>
      </c>
      <c r="E535" s="60" t="s">
        <v>1229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458" t="s">
        <v>1226</v>
      </c>
      <c r="C536" s="60" t="s">
        <v>515</v>
      </c>
      <c r="D536" s="60" t="s">
        <v>550</v>
      </c>
      <c r="E536" s="60" t="s">
        <v>1229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44" t="s">
        <v>1057</v>
      </c>
      <c r="D537" s="60" t="s">
        <v>551</v>
      </c>
      <c r="F537" s="76">
        <f>SUM(F534:F536)</f>
        <v>-88288.577918248455</v>
      </c>
      <c r="G537" s="76">
        <f t="shared" ref="G537:W537" si="247">SUM(G534:G536)</f>
        <v>-41649.224825050893</v>
      </c>
      <c r="H537" s="76">
        <f t="shared" si="247"/>
        <v>-127.71533944760483</v>
      </c>
      <c r="I537" s="76">
        <f t="shared" si="247"/>
        <v>-10202.049376094114</v>
      </c>
      <c r="J537" s="76">
        <f t="shared" si="247"/>
        <v>-669.69453824353866</v>
      </c>
      <c r="K537" s="76">
        <f t="shared" si="247"/>
        <v>-11351.735124863675</v>
      </c>
      <c r="L537" s="76">
        <f t="shared" si="247"/>
        <v>-9519.8389480457372</v>
      </c>
      <c r="M537" s="76">
        <f t="shared" si="247"/>
        <v>-9012.808279691013</v>
      </c>
      <c r="N537" s="76">
        <f t="shared" si="247"/>
        <v>-4700.0210646443938</v>
      </c>
      <c r="O537" s="76">
        <f>SUM(O534:O536)</f>
        <v>-302.02663526317639</v>
      </c>
      <c r="P537" s="76">
        <f t="shared" si="247"/>
        <v>-715.72174985522952</v>
      </c>
      <c r="Q537" s="76">
        <f t="shared" si="247"/>
        <v>-24.9286031488102</v>
      </c>
      <c r="R537" s="76">
        <f t="shared" si="247"/>
        <v>-11.443388776986323</v>
      </c>
      <c r="S537" s="76">
        <f t="shared" si="247"/>
        <v>-1.2453522969297917</v>
      </c>
      <c r="T537" s="76">
        <f t="shared" si="247"/>
        <v>-0.12469282636404455</v>
      </c>
      <c r="U537" s="76">
        <f t="shared" si="247"/>
        <v>0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-88288.577918248455</v>
      </c>
      <c r="AB537" s="58" t="str">
        <f>IF(ABS(F537-AA537)&lt;0.01,"ok","err")</f>
        <v>ok</v>
      </c>
    </row>
    <row r="538" spans="1:28">
      <c r="A538" s="44"/>
      <c r="F538" s="79"/>
      <c r="G538" s="79"/>
    </row>
    <row r="539" spans="1:28" ht="14.1">
      <c r="A539" s="45" t="s">
        <v>337</v>
      </c>
      <c r="F539" s="79"/>
      <c r="G539" s="79"/>
    </row>
    <row r="540" spans="1:28">
      <c r="A540" s="458" t="s">
        <v>359</v>
      </c>
      <c r="C540" s="60" t="s">
        <v>515</v>
      </c>
      <c r="D540" s="60" t="s">
        <v>552</v>
      </c>
      <c r="E540" s="60" t="s">
        <v>1230</v>
      </c>
      <c r="F540" s="76">
        <f>VLOOKUP(C540,'Functional Assignment'!$C$2:$AP$780,'Functional Assignment'!$Q$2,)</f>
        <v>0</v>
      </c>
      <c r="G540" s="76">
        <f t="shared" ref="G540:Z540" si="248">IF(VLOOKUP($E540,$D$6:$AN$1150,3,)=0,0,(VLOOKUP($E540,$D$6:$AN$1150,G$2,)/VLOOKUP($E540,$D$6:$AN$1150,3,))*$F540)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A541" s="44"/>
      <c r="F541" s="79"/>
    </row>
    <row r="542" spans="1:28" ht="14.1">
      <c r="A542" s="45" t="s">
        <v>338</v>
      </c>
      <c r="F542" s="79"/>
      <c r="G542" s="79"/>
    </row>
    <row r="543" spans="1:28">
      <c r="A543" s="458" t="s">
        <v>361</v>
      </c>
      <c r="C543" s="60" t="s">
        <v>515</v>
      </c>
      <c r="D543" s="60" t="s">
        <v>553</v>
      </c>
      <c r="E543" s="60" t="s">
        <v>1230</v>
      </c>
      <c r="F543" s="76">
        <f>VLOOKUP(C543,'Functional Assignment'!$C$2:$AP$780,'Functional Assignment'!$R$2,)</f>
        <v>-33867.201356712489</v>
      </c>
      <c r="G543" s="76">
        <f t="shared" ref="G543:Z543" si="249">IF(VLOOKUP($E543,$D$6:$AN$1150,3,)=0,0,(VLOOKUP($E543,$D$6:$AN$1150,G$2,)/VLOOKUP($E543,$D$6:$AN$1150,3,))*$F543)</f>
        <v>-16874.829959935709</v>
      </c>
      <c r="H543" s="76">
        <f t="shared" si="249"/>
        <v>-51.745852305935863</v>
      </c>
      <c r="I543" s="76">
        <f t="shared" si="249"/>
        <v>-4133.5186714185375</v>
      </c>
      <c r="J543" s="76">
        <f t="shared" si="249"/>
        <v>-271.33713785616817</v>
      </c>
      <c r="K543" s="76">
        <f t="shared" si="249"/>
        <v>-4599.3316991361316</v>
      </c>
      <c r="L543" s="76">
        <f t="shared" si="249"/>
        <v>-3857.1105265234369</v>
      </c>
      <c r="M543" s="76">
        <f t="shared" si="249"/>
        <v>-3651.6791805884627</v>
      </c>
      <c r="N543" s="76">
        <f t="shared" si="249"/>
        <v>0</v>
      </c>
      <c r="O543" s="76">
        <f t="shared" si="249"/>
        <v>-122.37077964467002</v>
      </c>
      <c r="P543" s="76">
        <f t="shared" si="249"/>
        <v>-289.98577712232083</v>
      </c>
      <c r="Q543" s="76">
        <f t="shared" si="249"/>
        <v>-10.10021053313508</v>
      </c>
      <c r="R543" s="76">
        <f t="shared" si="249"/>
        <v>-4.6364665990357938</v>
      </c>
      <c r="S543" s="76">
        <f t="shared" si="249"/>
        <v>-0.50457381473917784</v>
      </c>
      <c r="T543" s="76">
        <f t="shared" si="249"/>
        <v>-5.0521234211577407E-2</v>
      </c>
      <c r="U543" s="76">
        <f t="shared" si="249"/>
        <v>0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-33867.201356712481</v>
      </c>
      <c r="AB543" s="58" t="str">
        <f>IF(ABS(F543-AA543)&lt;0.01,"ok","err")</f>
        <v>ok</v>
      </c>
    </row>
    <row r="544" spans="1:28">
      <c r="A544" s="44"/>
      <c r="F544" s="79"/>
    </row>
    <row r="545" spans="1:28" ht="14.1">
      <c r="A545" s="45" t="s">
        <v>360</v>
      </c>
      <c r="F545" s="79"/>
    </row>
    <row r="546" spans="1:28">
      <c r="A546" s="458" t="s">
        <v>603</v>
      </c>
      <c r="C546" s="60" t="s">
        <v>515</v>
      </c>
      <c r="D546" s="60" t="s">
        <v>554</v>
      </c>
      <c r="E546" s="60" t="s">
        <v>1230</v>
      </c>
      <c r="F546" s="76">
        <f>VLOOKUP(C546,'Functional Assignment'!$C$2:$AP$780,'Functional Assignment'!$S$2,)</f>
        <v>0</v>
      </c>
      <c r="G546" s="76">
        <f t="shared" ref="G546:P550" si="250">IF(VLOOKUP($E546,$D$6:$AN$1150,3,)=0,0,(VLOOKUP($E546,$D$6:$AN$1150,G$2,)/VLOOKUP($E546,$D$6:$AN$1150,3,))*$F546)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IF(VLOOKUP($E546,$D$6:$AN$1150,3,)=0,0,(VLOOKUP($E546,$D$6:$AN$1150,Q$2,)/VLOOKUP($E546,$D$6:$AN$1150,3,))*$F546)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458" t="s">
        <v>604</v>
      </c>
      <c r="C547" s="60" t="s">
        <v>515</v>
      </c>
      <c r="D547" s="60" t="s">
        <v>555</v>
      </c>
      <c r="E547" s="60" t="s">
        <v>1230</v>
      </c>
      <c r="F547" s="79">
        <f>VLOOKUP(C547,'Functional Assignment'!$C$2:$AP$780,'Functional Assignment'!$T$2,)</f>
        <v>-51992.205439655867</v>
      </c>
      <c r="G547" s="79">
        <f t="shared" si="250"/>
        <v>-25905.879165960203</v>
      </c>
      <c r="H547" s="79">
        <f t="shared" si="250"/>
        <v>-79.439129185886316</v>
      </c>
      <c r="I547" s="79">
        <f t="shared" si="250"/>
        <v>-6345.6897335406957</v>
      </c>
      <c r="J547" s="79">
        <f t="shared" si="250"/>
        <v>-416.55098885311429</v>
      </c>
      <c r="K547" s="79">
        <f t="shared" si="250"/>
        <v>-7060.7959620853562</v>
      </c>
      <c r="L547" s="79">
        <f t="shared" si="250"/>
        <v>-5921.3538428004395</v>
      </c>
      <c r="M547" s="79">
        <f t="shared" si="250"/>
        <v>-5605.9800205262454</v>
      </c>
      <c r="N547" s="79">
        <f t="shared" si="250"/>
        <v>0</v>
      </c>
      <c r="O547" s="79">
        <f t="shared" si="250"/>
        <v>-187.86101184104862</v>
      </c>
      <c r="P547" s="79">
        <f t="shared" si="250"/>
        <v>-445.17998224656071</v>
      </c>
      <c r="Q547" s="79">
        <f t="shared" si="251"/>
        <v>-15.505627863710497</v>
      </c>
      <c r="R547" s="79">
        <f t="shared" si="251"/>
        <v>-7.1178046686574934</v>
      </c>
      <c r="S547" s="79">
        <f t="shared" si="251"/>
        <v>-0.77461096236080429</v>
      </c>
      <c r="T547" s="79">
        <f t="shared" si="251"/>
        <v>-7.7559121597530173E-2</v>
      </c>
      <c r="U547" s="79">
        <f t="shared" si="251"/>
        <v>0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-51992.205439655881</v>
      </c>
      <c r="AB547" s="58" t="str">
        <f t="shared" si="253"/>
        <v>ok</v>
      </c>
    </row>
    <row r="548" spans="1:28">
      <c r="A548" s="458" t="s">
        <v>605</v>
      </c>
      <c r="C548" s="60" t="s">
        <v>515</v>
      </c>
      <c r="D548" s="60" t="s">
        <v>556</v>
      </c>
      <c r="E548" s="60" t="s">
        <v>658</v>
      </c>
      <c r="F548" s="79">
        <f>VLOOKUP(C548,'Functional Assignment'!$C$2:$AP$780,'Functional Assignment'!$U$2,)</f>
        <v>-85081.543996974957</v>
      </c>
      <c r="G548" s="79">
        <f t="shared" si="250"/>
        <v>-73385.605669502169</v>
      </c>
      <c r="H548" s="79">
        <f t="shared" si="250"/>
        <v>-181.14115395183779</v>
      </c>
      <c r="I548" s="79">
        <f t="shared" si="250"/>
        <v>-8837.257502342818</v>
      </c>
      <c r="J548" s="79">
        <f t="shared" si="250"/>
        <v>-13.637946519632854</v>
      </c>
      <c r="K548" s="79">
        <f t="shared" si="250"/>
        <v>-542.08835759984879</v>
      </c>
      <c r="L548" s="79">
        <f t="shared" si="250"/>
        <v>-25.638271907280046</v>
      </c>
      <c r="M548" s="79">
        <f t="shared" si="250"/>
        <v>-98.389110298409591</v>
      </c>
      <c r="N548" s="79">
        <f t="shared" si="250"/>
        <v>0</v>
      </c>
      <c r="O548" s="79">
        <f t="shared" si="250"/>
        <v>-0.38965561484665295</v>
      </c>
      <c r="P548" s="79">
        <f t="shared" si="250"/>
        <v>-1970.1204361988357</v>
      </c>
      <c r="Q548" s="79">
        <f t="shared" si="251"/>
        <v>-3.4852529994617294</v>
      </c>
      <c r="R548" s="79">
        <f t="shared" si="251"/>
        <v>-21.647534158147387</v>
      </c>
      <c r="S548" s="79">
        <f t="shared" si="251"/>
        <v>-0.19482780742332648</v>
      </c>
      <c r="T548" s="79">
        <f t="shared" si="251"/>
        <v>-1.948278074233265</v>
      </c>
      <c r="U548" s="79">
        <f t="shared" si="251"/>
        <v>0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-85081.543996974986</v>
      </c>
      <c r="AB548" s="58" t="str">
        <f t="shared" si="253"/>
        <v>ok</v>
      </c>
    </row>
    <row r="549" spans="1:28">
      <c r="A549" s="458" t="s">
        <v>606</v>
      </c>
      <c r="C549" s="60" t="s">
        <v>515</v>
      </c>
      <c r="D549" s="60" t="s">
        <v>557</v>
      </c>
      <c r="E549" s="60" t="s">
        <v>646</v>
      </c>
      <c r="F549" s="79">
        <f>VLOOKUP(C549,'Functional Assignment'!$C$2:$AP$780,'Functional Assignment'!$V$2,)</f>
        <v>-14506.2997678997</v>
      </c>
      <c r="G549" s="79">
        <f t="shared" si="250"/>
        <v>-10963.572260492336</v>
      </c>
      <c r="H549" s="79">
        <f t="shared" si="250"/>
        <v>-32.722535758741017</v>
      </c>
      <c r="I549" s="79">
        <f t="shared" si="250"/>
        <v>-1757.0837298150102</v>
      </c>
      <c r="J549" s="79">
        <f t="shared" si="250"/>
        <v>0</v>
      </c>
      <c r="K549" s="79">
        <f t="shared" si="250"/>
        <v>-1664.2033696155434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-84.273872017438904</v>
      </c>
      <c r="Q549" s="79">
        <f t="shared" si="251"/>
        <v>-2.9352606816284323</v>
      </c>
      <c r="R549" s="79">
        <f t="shared" si="251"/>
        <v>-1.3474212309918052</v>
      </c>
      <c r="S549" s="79">
        <f t="shared" si="251"/>
        <v>-0.14663611956645639</v>
      </c>
      <c r="T549" s="79">
        <f t="shared" si="251"/>
        <v>-1.4682168444121988E-2</v>
      </c>
      <c r="U549" s="79">
        <f t="shared" si="251"/>
        <v>0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-14506.299767899702</v>
      </c>
      <c r="AB549" s="58" t="str">
        <f t="shared" si="253"/>
        <v>ok</v>
      </c>
    </row>
    <row r="550" spans="1:28">
      <c r="A550" s="458" t="s">
        <v>607</v>
      </c>
      <c r="C550" s="60" t="s">
        <v>515</v>
      </c>
      <c r="D550" s="60" t="s">
        <v>558</v>
      </c>
      <c r="E550" s="60" t="s">
        <v>657</v>
      </c>
      <c r="F550" s="79">
        <f>VLOOKUP(C550,'Functional Assignment'!$C$2:$AP$780,'Functional Assignment'!$W$2,)</f>
        <v>-24787.715577665182</v>
      </c>
      <c r="G550" s="79">
        <f t="shared" si="250"/>
        <v>-21552.553698746931</v>
      </c>
      <c r="H550" s="79">
        <f t="shared" si="250"/>
        <v>-53.199185480354068</v>
      </c>
      <c r="I550" s="79">
        <f t="shared" si="250"/>
        <v>-2595.4063488509441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-578.60293046297318</v>
      </c>
      <c r="Q550" s="79">
        <f t="shared" si="251"/>
        <v>-1.0235808744688841</v>
      </c>
      <c r="R550" s="79">
        <f t="shared" si="251"/>
        <v>-6.3576451830365466</v>
      </c>
      <c r="S550" s="79">
        <f t="shared" si="251"/>
        <v>0</v>
      </c>
      <c r="T550" s="79">
        <f t="shared" si="251"/>
        <v>-0.57218806647328924</v>
      </c>
      <c r="U550" s="79">
        <f t="shared" si="251"/>
        <v>0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-24787.715577665185</v>
      </c>
      <c r="AB550" s="58" t="str">
        <f t="shared" si="253"/>
        <v>ok</v>
      </c>
    </row>
    <row r="551" spans="1:28">
      <c r="A551" s="44" t="s">
        <v>365</v>
      </c>
      <c r="D551" s="60" t="s">
        <v>559</v>
      </c>
      <c r="F551" s="76">
        <f>SUM(F546:F550)</f>
        <v>-176367.76478219571</v>
      </c>
      <c r="G551" s="76">
        <f t="shared" ref="G551:W551" si="254">SUM(G546:G550)</f>
        <v>-131807.61079470164</v>
      </c>
      <c r="H551" s="76">
        <f t="shared" si="254"/>
        <v>-346.50200437681917</v>
      </c>
      <c r="I551" s="76">
        <f t="shared" si="254"/>
        <v>-19535.437314549468</v>
      </c>
      <c r="J551" s="76">
        <f t="shared" si="254"/>
        <v>-430.18893537274715</v>
      </c>
      <c r="K551" s="76">
        <f t="shared" si="254"/>
        <v>-9267.087689300748</v>
      </c>
      <c r="L551" s="76">
        <f t="shared" si="254"/>
        <v>-5946.9921147077193</v>
      </c>
      <c r="M551" s="76">
        <f t="shared" si="254"/>
        <v>-5704.3691308246553</v>
      </c>
      <c r="N551" s="76">
        <f t="shared" si="254"/>
        <v>0</v>
      </c>
      <c r="O551" s="76">
        <f>SUM(O546:O550)</f>
        <v>-188.25066745589527</v>
      </c>
      <c r="P551" s="76">
        <f t="shared" si="254"/>
        <v>-3078.1772209258088</v>
      </c>
      <c r="Q551" s="76">
        <f t="shared" si="254"/>
        <v>-22.949722419269541</v>
      </c>
      <c r="R551" s="76">
        <f t="shared" si="254"/>
        <v>-36.47040524083323</v>
      </c>
      <c r="S551" s="76">
        <f t="shared" si="254"/>
        <v>-1.1160748893505872</v>
      </c>
      <c r="T551" s="76">
        <f t="shared" si="254"/>
        <v>-2.6127074307482063</v>
      </c>
      <c r="U551" s="76">
        <f t="shared" si="254"/>
        <v>0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-176367.76478219568</v>
      </c>
      <c r="AB551" s="58" t="str">
        <f t="shared" si="253"/>
        <v>ok</v>
      </c>
    </row>
    <row r="552" spans="1:28">
      <c r="A552" s="44"/>
      <c r="F552" s="79"/>
    </row>
    <row r="553" spans="1:28" ht="14.1">
      <c r="A553" s="45" t="s">
        <v>613</v>
      </c>
      <c r="F553" s="79"/>
    </row>
    <row r="554" spans="1:28">
      <c r="A554" s="458" t="s">
        <v>1014</v>
      </c>
      <c r="C554" s="60" t="s">
        <v>515</v>
      </c>
      <c r="D554" s="60" t="s">
        <v>560</v>
      </c>
      <c r="E554" s="60" t="s">
        <v>1207</v>
      </c>
      <c r="F554" s="76">
        <f>VLOOKUP(C554,'Functional Assignment'!$C$2:$AP$780,'Functional Assignment'!$X$2,)</f>
        <v>-17771.034245980842</v>
      </c>
      <c r="G554" s="76">
        <f t="shared" ref="G554:P555" si="255">IF(VLOOKUP($E554,$D$6:$AN$1150,3,)=0,0,(VLOOKUP($E554,$D$6:$AN$1150,G$2,)/VLOOKUP($E554,$D$6:$AN$1150,3,))*$F554)</f>
        <v>-12257.945224854278</v>
      </c>
      <c r="H554" s="76">
        <f t="shared" si="255"/>
        <v>-36.585798991301608</v>
      </c>
      <c r="I554" s="76">
        <f t="shared" si="255"/>
        <v>-1964.5272183017328</v>
      </c>
      <c r="J554" s="76">
        <f t="shared" si="255"/>
        <v>0</v>
      </c>
      <c r="K554" s="76">
        <f t="shared" si="255"/>
        <v>-1860.6812873643767</v>
      </c>
      <c r="L554" s="76">
        <f t="shared" si="255"/>
        <v>0</v>
      </c>
      <c r="M554" s="76">
        <f t="shared" si="255"/>
        <v>-1552.102702016565</v>
      </c>
      <c r="N554" s="76">
        <f t="shared" si="255"/>
        <v>0</v>
      </c>
      <c r="O554" s="76">
        <f t="shared" si="255"/>
        <v>0</v>
      </c>
      <c r="P554" s="76">
        <f t="shared" si="255"/>
        <v>-94.223350066172344</v>
      </c>
      <c r="Q554" s="76">
        <f t="shared" ref="Q554:Z555" si="256">IF(VLOOKUP($E554,$D$6:$AN$1150,3,)=0,0,(VLOOKUP($E554,$D$6:$AN$1150,Q$2,)/VLOOKUP($E554,$D$6:$AN$1150,3,))*$F554)</f>
        <v>-3.2818012050439123</v>
      </c>
      <c r="R554" s="76">
        <f t="shared" si="256"/>
        <v>-1.506499455822583</v>
      </c>
      <c r="S554" s="76">
        <f t="shared" si="256"/>
        <v>-0.16394816205189014</v>
      </c>
      <c r="T554" s="76">
        <f t="shared" si="256"/>
        <v>-1.6415563494635035E-2</v>
      </c>
      <c r="U554" s="76">
        <f t="shared" si="256"/>
        <v>0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-17771.034245980842</v>
      </c>
      <c r="AB554" s="58" t="str">
        <f>IF(ABS(F554-AA554)&lt;0.01,"ok","err")</f>
        <v>ok</v>
      </c>
    </row>
    <row r="555" spans="1:28">
      <c r="A555" s="458" t="s">
        <v>1017</v>
      </c>
      <c r="C555" s="60" t="s">
        <v>515</v>
      </c>
      <c r="D555" s="60" t="s">
        <v>561</v>
      </c>
      <c r="E555" s="60" t="s">
        <v>1205</v>
      </c>
      <c r="F555" s="79">
        <f>VLOOKUP(C555,'Functional Assignment'!$C$2:$AP$780,'Functional Assignment'!$Y$2,)</f>
        <v>-9905.7149871887777</v>
      </c>
      <c r="G555" s="79">
        <f t="shared" si="255"/>
        <v>-8547.9872971935292</v>
      </c>
      <c r="H555" s="79">
        <f t="shared" si="255"/>
        <v>-21.09940047306543</v>
      </c>
      <c r="I555" s="79">
        <f t="shared" si="255"/>
        <v>-1029.3676012194871</v>
      </c>
      <c r="J555" s="79">
        <f t="shared" si="255"/>
        <v>0</v>
      </c>
      <c r="K555" s="79">
        <f t="shared" si="255"/>
        <v>-63.142687894251807</v>
      </c>
      <c r="L555" s="79">
        <f t="shared" si="255"/>
        <v>0</v>
      </c>
      <c r="M555" s="79">
        <f t="shared" si="255"/>
        <v>-11.46040640177609</v>
      </c>
      <c r="N555" s="79">
        <f t="shared" si="255"/>
        <v>0</v>
      </c>
      <c r="O555" s="79">
        <f t="shared" si="255"/>
        <v>0</v>
      </c>
      <c r="P555" s="79">
        <f t="shared" si="255"/>
        <v>-229.48048611074805</v>
      </c>
      <c r="Q555" s="79">
        <f t="shared" si="256"/>
        <v>-0.40596378670055089</v>
      </c>
      <c r="R555" s="79">
        <f t="shared" si="256"/>
        <v>-2.5215142031090116</v>
      </c>
      <c r="S555" s="79">
        <f t="shared" si="256"/>
        <v>-2.2693627827981101E-2</v>
      </c>
      <c r="T555" s="79">
        <f t="shared" si="256"/>
        <v>-0.22693627827981103</v>
      </c>
      <c r="U555" s="79">
        <f t="shared" si="256"/>
        <v>0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-9905.7149871887741</v>
      </c>
      <c r="AB555" s="58" t="str">
        <f>IF(ABS(F555-AA555)&lt;0.01,"ok","err")</f>
        <v>ok</v>
      </c>
    </row>
    <row r="556" spans="1:28">
      <c r="A556" s="44" t="s">
        <v>672</v>
      </c>
      <c r="D556" s="60" t="s">
        <v>562</v>
      </c>
      <c r="F556" s="76">
        <f>F554+F555</f>
        <v>-27676.749233169619</v>
      </c>
      <c r="G556" s="76">
        <f t="shared" ref="G556:W556" si="257">G554+G555</f>
        <v>-20805.932522047806</v>
      </c>
      <c r="H556" s="76">
        <f t="shared" si="257"/>
        <v>-57.685199464367038</v>
      </c>
      <c r="I556" s="76">
        <f t="shared" si="257"/>
        <v>-2993.8948195212197</v>
      </c>
      <c r="J556" s="76">
        <f t="shared" si="257"/>
        <v>0</v>
      </c>
      <c r="K556" s="76">
        <f t="shared" si="257"/>
        <v>-1923.8239752586285</v>
      </c>
      <c r="L556" s="76">
        <f t="shared" si="257"/>
        <v>0</v>
      </c>
      <c r="M556" s="76">
        <f t="shared" si="257"/>
        <v>-1563.563108418341</v>
      </c>
      <c r="N556" s="76">
        <f t="shared" si="257"/>
        <v>0</v>
      </c>
      <c r="O556" s="76">
        <f>O554+O555</f>
        <v>0</v>
      </c>
      <c r="P556" s="76">
        <f t="shared" si="257"/>
        <v>-323.70383617692039</v>
      </c>
      <c r="Q556" s="76">
        <f t="shared" si="257"/>
        <v>-3.687764991744463</v>
      </c>
      <c r="R556" s="76">
        <f t="shared" si="257"/>
        <v>-4.0280136589315951</v>
      </c>
      <c r="S556" s="76">
        <f t="shared" si="257"/>
        <v>-0.18664178987987123</v>
      </c>
      <c r="T556" s="76">
        <f t="shared" si="257"/>
        <v>-0.24335184177444608</v>
      </c>
      <c r="U556" s="76">
        <f t="shared" si="257"/>
        <v>0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-27676.749233169608</v>
      </c>
      <c r="AB556" s="58" t="str">
        <f>IF(ABS(F556-AA556)&lt;0.01,"ok","err")</f>
        <v>ok</v>
      </c>
    </row>
    <row r="557" spans="1:28">
      <c r="A557" s="44"/>
      <c r="F557" s="79"/>
    </row>
    <row r="558" spans="1:28" ht="14.1">
      <c r="A558" s="45" t="s">
        <v>343</v>
      </c>
      <c r="F558" s="79"/>
    </row>
    <row r="559" spans="1:28">
      <c r="A559" s="458" t="s">
        <v>1017</v>
      </c>
      <c r="C559" s="60" t="s">
        <v>515</v>
      </c>
      <c r="D559" s="60" t="s">
        <v>563</v>
      </c>
      <c r="E559" s="60" t="s">
        <v>1019</v>
      </c>
      <c r="F559" s="76">
        <f>VLOOKUP(C559,'Functional Assignment'!$C$2:$AP$780,'Functional Assignment'!$Z$2,)</f>
        <v>-6333.4266142562346</v>
      </c>
      <c r="G559" s="76">
        <f t="shared" ref="G559:Z559" si="258">IF(VLOOKUP($E559,$D$6:$AN$1150,3,)=0,0,(VLOOKUP($E559,$D$6:$AN$1150,G$2,)/VLOOKUP($E559,$D$6:$AN$1150,3,))*$F559)</f>
        <v>-5441.6859314802186</v>
      </c>
      <c r="H559" s="76">
        <f t="shared" si="258"/>
        <v>-13.431970208313675</v>
      </c>
      <c r="I559" s="76">
        <f t="shared" si="258"/>
        <v>-776.94045812395007</v>
      </c>
      <c r="J559" s="76">
        <f t="shared" si="258"/>
        <v>0</v>
      </c>
      <c r="K559" s="76">
        <f t="shared" si="258"/>
        <v>-79.915193116538319</v>
      </c>
      <c r="L559" s="76">
        <f t="shared" si="258"/>
        <v>0</v>
      </c>
      <c r="M559" s="76">
        <f t="shared" si="258"/>
        <v>-21.424339622280211</v>
      </c>
      <c r="N559" s="76">
        <f t="shared" si="258"/>
        <v>0</v>
      </c>
      <c r="O559" s="76">
        <f t="shared" si="258"/>
        <v>0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-2.872170493320186E-2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-6333.4266142562346</v>
      </c>
      <c r="AB559" s="58" t="str">
        <f>IF(ABS(F559-AA559)&lt;0.01,"ok","err")</f>
        <v>ok</v>
      </c>
    </row>
    <row r="560" spans="1:28">
      <c r="A560" s="44"/>
      <c r="F560" s="79"/>
    </row>
    <row r="561" spans="1:28" ht="14.1">
      <c r="A561" s="45" t="s">
        <v>342</v>
      </c>
      <c r="F561" s="79"/>
    </row>
    <row r="562" spans="1:28">
      <c r="A562" s="458" t="s">
        <v>1017</v>
      </c>
      <c r="C562" s="60" t="s">
        <v>515</v>
      </c>
      <c r="D562" s="60" t="s">
        <v>564</v>
      </c>
      <c r="E562" s="60" t="s">
        <v>1020</v>
      </c>
      <c r="F562" s="76">
        <f>VLOOKUP(C562,'Functional Assignment'!$C$2:$AP$780,'Functional Assignment'!$AA$2,)</f>
        <v>-6459.0024748242704</v>
      </c>
      <c r="G562" s="76">
        <f t="shared" ref="G562:Z562" si="259">IF(VLOOKUP($E562,$D$6:$AN$1150,3,)=0,0,(VLOOKUP($E562,$D$6:$AN$1150,G$2,)/VLOOKUP($E562,$D$6:$AN$1150,3,))*$F562)</f>
        <v>-4404.1559214122462</v>
      </c>
      <c r="H562" s="76">
        <f t="shared" si="259"/>
        <v>-10.870985917609937</v>
      </c>
      <c r="I562" s="76">
        <f t="shared" si="259"/>
        <v>-1371.7656336007158</v>
      </c>
      <c r="J562" s="76">
        <f t="shared" si="259"/>
        <v>-44.837856458398861</v>
      </c>
      <c r="K562" s="76">
        <f t="shared" si="259"/>
        <v>-383.61088966799582</v>
      </c>
      <c r="L562" s="76">
        <f t="shared" si="259"/>
        <v>-89.558995363960989</v>
      </c>
      <c r="M562" s="76">
        <f t="shared" si="259"/>
        <v>-75.837497517209854</v>
      </c>
      <c r="N562" s="76">
        <f t="shared" si="259"/>
        <v>-63.290840914507186</v>
      </c>
      <c r="O562" s="76">
        <f t="shared" si="259"/>
        <v>-1.3611356307397471</v>
      </c>
      <c r="P562" s="76">
        <f t="shared" si="259"/>
        <v>0</v>
      </c>
      <c r="Q562" s="76">
        <f t="shared" si="259"/>
        <v>-1.8824724202583489</v>
      </c>
      <c r="R562" s="76">
        <f t="shared" si="259"/>
        <v>-11.692375281107758</v>
      </c>
      <c r="S562" s="76">
        <f t="shared" si="259"/>
        <v>-0.13787063951832063</v>
      </c>
      <c r="T562" s="76">
        <f t="shared" si="259"/>
        <v>0</v>
      </c>
      <c r="U562" s="76">
        <f t="shared" si="259"/>
        <v>0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-6459.0024748242704</v>
      </c>
      <c r="AB562" s="58" t="str">
        <f>IF(ABS(F562-AA562)&lt;0.01,"ok","err")</f>
        <v>ok</v>
      </c>
    </row>
    <row r="563" spans="1:28">
      <c r="A563" s="44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4.1">
      <c r="A564" s="45" t="s">
        <v>358</v>
      </c>
      <c r="F564" s="79"/>
    </row>
    <row r="565" spans="1:28">
      <c r="A565" s="458" t="s">
        <v>1017</v>
      </c>
      <c r="C565" s="60" t="s">
        <v>515</v>
      </c>
      <c r="D565" s="60" t="s">
        <v>565</v>
      </c>
      <c r="E565" s="60" t="s">
        <v>1021</v>
      </c>
      <c r="F565" s="76">
        <f>VLOOKUP(C565,'Functional Assignment'!$C$2:$AP$780,'Functional Assignment'!$AB$2,)</f>
        <v>-20881.59187356992</v>
      </c>
      <c r="G565" s="76">
        <f t="shared" ref="G565:Z565" si="260">IF(VLOOKUP($E565,$D$6:$AN$1150,3,)=0,0,(VLOOKUP($E565,$D$6:$AN$1150,G$2,)/VLOOKUP($E565,$D$6:$AN$1150,3,))*$F565)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-20881.59187356992</v>
      </c>
      <c r="Q565" s="76">
        <f t="shared" si="260"/>
        <v>0</v>
      </c>
      <c r="R565" s="76">
        <f t="shared" si="260"/>
        <v>0</v>
      </c>
      <c r="S565" s="76">
        <f t="shared" si="260"/>
        <v>0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-20881.59187356992</v>
      </c>
      <c r="AB565" s="58" t="str">
        <f>IF(ABS(F565-AA565)&lt;0.01,"ok","err")</f>
        <v>ok</v>
      </c>
    </row>
    <row r="566" spans="1:28">
      <c r="A566" s="44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4.1">
      <c r="A567" s="45" t="s">
        <v>949</v>
      </c>
      <c r="F567" s="79"/>
    </row>
    <row r="568" spans="1:28">
      <c r="A568" s="458" t="s">
        <v>1017</v>
      </c>
      <c r="C568" s="60" t="s">
        <v>515</v>
      </c>
      <c r="D568" s="60" t="s">
        <v>566</v>
      </c>
      <c r="E568" s="60" t="s">
        <v>1022</v>
      </c>
      <c r="F568" s="76">
        <f>VLOOKUP(C568,'Functional Assignment'!$C$2:$AP$780,'Functional Assignment'!$AC$2,)</f>
        <v>0</v>
      </c>
      <c r="G568" s="76">
        <f t="shared" ref="G568:Z568" si="261">IF(VLOOKUP($E568,$D$6:$AN$1150,3,)=0,0,(VLOOKUP($E568,$D$6:$AN$1150,G$2,)/VLOOKUP($E568,$D$6:$AN$1150,3,))*$F568)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A569" s="44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4.1">
      <c r="A570" s="45" t="s">
        <v>340</v>
      </c>
      <c r="F570" s="79"/>
    </row>
    <row r="571" spans="1:28">
      <c r="A571" s="458" t="s">
        <v>1017</v>
      </c>
      <c r="C571" s="60" t="s">
        <v>515</v>
      </c>
      <c r="D571" s="60" t="s">
        <v>567</v>
      </c>
      <c r="E571" s="60" t="s">
        <v>1022</v>
      </c>
      <c r="F571" s="76">
        <f>VLOOKUP(C571,'Functional Assignment'!$C$2:$AP$780,'Functional Assignment'!$AD$2,)</f>
        <v>0</v>
      </c>
      <c r="G571" s="76">
        <f t="shared" ref="G571:Z571" si="262">IF(VLOOKUP($E571,$D$6:$AN$1150,3,)=0,0,(VLOOKUP($E571,$D$6:$AN$1150,G$2,)/VLOOKUP($E571,$D$6:$AN$1150,3,))*$F571)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A572" s="44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4.1">
      <c r="A573" s="45" t="s">
        <v>339</v>
      </c>
      <c r="F573" s="79"/>
    </row>
    <row r="574" spans="1:28">
      <c r="A574" s="458" t="s">
        <v>1017</v>
      </c>
      <c r="C574" s="60" t="s">
        <v>515</v>
      </c>
      <c r="D574" s="60" t="s">
        <v>568</v>
      </c>
      <c r="E574" s="60" t="s">
        <v>1023</v>
      </c>
      <c r="F574" s="76">
        <f>VLOOKUP(C574,'Functional Assignment'!$C$2:$AP$780,'Functional Assignment'!$AE$2,)</f>
        <v>0</v>
      </c>
      <c r="G574" s="76">
        <f t="shared" ref="G574:Z574" si="263">IF(VLOOKUP($E574,$D$6:$AN$1150,3,)=0,0,(VLOOKUP($E574,$D$6:$AN$1150,G$2,)/VLOOKUP($E574,$D$6:$AN$1150,3,))*$F574)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A575" s="44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44" t="s">
        <v>846</v>
      </c>
      <c r="D576" s="60" t="s">
        <v>1035</v>
      </c>
      <c r="F576" s="76">
        <f>F531+F537+F540+F543+F551+F556+F559+F562+F565+F568+F571+F574</f>
        <v>-916996.00000000012</v>
      </c>
      <c r="G576" s="76">
        <f t="shared" ref="G576:Z576" si="264">G531+G537+G540+G543+G551+G556+G559+G562+G565+G568+G571+G574</f>
        <v>-458419.36499055044</v>
      </c>
      <c r="H576" s="76">
        <f t="shared" si="264"/>
        <v>-1053.1073582744557</v>
      </c>
      <c r="I576" s="76">
        <f t="shared" si="264"/>
        <v>-105450.26299389213</v>
      </c>
      <c r="J576" s="76">
        <f t="shared" si="264"/>
        <v>-5918.0877530716471</v>
      </c>
      <c r="K576" s="76">
        <f t="shared" si="264"/>
        <v>-101673.14294938931</v>
      </c>
      <c r="L576" s="76">
        <f t="shared" si="264"/>
        <v>-86272.106048715475</v>
      </c>
      <c r="M576" s="76">
        <f t="shared" si="264"/>
        <v>-76912.08303840326</v>
      </c>
      <c r="N576" s="76">
        <f t="shared" si="264"/>
        <v>-37081.227646483654</v>
      </c>
      <c r="O576" s="76">
        <f>O531+O537+O540+O543+O551+O556+O559+O562+O565+O568+O571+O574</f>
        <v>-2532.4364051510638</v>
      </c>
      <c r="P576" s="76">
        <f t="shared" si="264"/>
        <v>-27255.36937961269</v>
      </c>
      <c r="Q576" s="76">
        <f t="shared" si="264"/>
        <v>-132.03117377715284</v>
      </c>
      <c r="R576" s="76">
        <f t="shared" si="264"/>
        <v>-162.58047420972179</v>
      </c>
      <c r="S576" s="76">
        <f t="shared" si="264"/>
        <v>-3.3121430405708665</v>
      </c>
      <c r="T576" s="76">
        <f t="shared" si="264"/>
        <v>-3.887645428450861</v>
      </c>
      <c r="U576" s="76">
        <f t="shared" si="264"/>
        <v>-13727.717595343111</v>
      </c>
      <c r="V576" s="76">
        <f t="shared" si="264"/>
        <v>-399.28240465688896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-916996.00000000023</v>
      </c>
      <c r="AB576" s="58" t="str">
        <f>IF(ABS(F576-AA576)&lt;0.01,"ok","err")</f>
        <v>ok</v>
      </c>
    </row>
    <row r="577" spans="1:28">
      <c r="A577" s="44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A578" s="44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A579" s="44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4.1">
      <c r="A580" s="45" t="s">
        <v>994</v>
      </c>
    </row>
    <row r="581" spans="1:28">
      <c r="A581" s="44"/>
    </row>
    <row r="582" spans="1:28" ht="14.1">
      <c r="A582" s="45" t="s">
        <v>352</v>
      </c>
    </row>
    <row r="583" spans="1:28">
      <c r="A583" s="458" t="s">
        <v>1441</v>
      </c>
      <c r="B583" s="44"/>
      <c r="C583" s="44" t="s">
        <v>999</v>
      </c>
      <c r="D583" s="44" t="s">
        <v>1442</v>
      </c>
      <c r="E583" s="44" t="s">
        <v>1410</v>
      </c>
      <c r="F583" s="76">
        <f>VLOOKUP(C583,'Functional Assignment'!$C$2:$AP$780,'Functional Assignment'!$H$2,)</f>
        <v>0</v>
      </c>
      <c r="G583" s="76">
        <f t="shared" ref="G583:P588" si="265">IF(VLOOKUP($E583,$D$6:$AN$1150,3,)=0,0,(VLOOKUP($E583,$D$6:$AN$1150,G$2,)/VLOOKUP($E583,$D$6:$AN$1150,3,))*$F583)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IF(VLOOKUP($E583,$D$6:$AN$1150,3,)=0,0,(VLOOKUP($E583,$D$6:$AN$1150,Q$2,)/VLOOKUP($E583,$D$6:$AN$1150,3,))*$F583)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 hidden="1">
      <c r="A584" s="458" t="s">
        <v>1256</v>
      </c>
      <c r="B584" s="44"/>
      <c r="C584" s="44" t="s">
        <v>999</v>
      </c>
      <c r="D584" s="44" t="s">
        <v>543</v>
      </c>
      <c r="E584" s="44" t="s">
        <v>1412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 hidden="1">
      <c r="A585" s="458" t="s">
        <v>1256</v>
      </c>
      <c r="B585" s="44"/>
      <c r="C585" s="44" t="s">
        <v>999</v>
      </c>
      <c r="D585" s="44" t="s">
        <v>544</v>
      </c>
      <c r="E585" s="44" t="s">
        <v>1412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458" t="s">
        <v>1160</v>
      </c>
      <c r="B586" s="44"/>
      <c r="C586" s="44" t="s">
        <v>999</v>
      </c>
      <c r="D586" s="44" t="s">
        <v>545</v>
      </c>
      <c r="E586" s="44" t="s">
        <v>1015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 hidden="1">
      <c r="A587" s="458" t="s">
        <v>1161</v>
      </c>
      <c r="B587" s="44"/>
      <c r="C587" s="44" t="s">
        <v>999</v>
      </c>
      <c r="D587" s="44" t="s">
        <v>546</v>
      </c>
      <c r="E587" s="44" t="s">
        <v>1015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 hidden="1">
      <c r="A588" s="458" t="s">
        <v>1161</v>
      </c>
      <c r="B588" s="44"/>
      <c r="C588" s="44" t="s">
        <v>999</v>
      </c>
      <c r="D588" s="44" t="s">
        <v>547</v>
      </c>
      <c r="E588" s="44" t="s">
        <v>1015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44" t="s">
        <v>374</v>
      </c>
      <c r="B589" s="44"/>
      <c r="C589" s="44"/>
      <c r="D589" s="44" t="s">
        <v>1034</v>
      </c>
      <c r="E589" s="44"/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A590" s="44"/>
      <c r="F590" s="79"/>
      <c r="G590" s="79"/>
    </row>
    <row r="591" spans="1:28" ht="14.1">
      <c r="A591" s="45" t="s">
        <v>1055</v>
      </c>
      <c r="F591" s="79"/>
      <c r="G591" s="79"/>
    </row>
    <row r="592" spans="1:28">
      <c r="A592" s="458" t="s">
        <v>1225</v>
      </c>
      <c r="C592" s="60" t="s">
        <v>999</v>
      </c>
      <c r="D592" s="60" t="s">
        <v>548</v>
      </c>
      <c r="E592" s="60" t="s">
        <v>1229</v>
      </c>
      <c r="F592" s="76">
        <f>VLOOKUP(C592,'Functional Assignment'!$C$2:$AP$780,'Functional Assignment'!$N$2,)</f>
        <v>0</v>
      </c>
      <c r="G592" s="76">
        <f t="shared" ref="G592:P594" si="271">IF(VLOOKUP($E592,$D$6:$AN$1150,3,)=0,0,(VLOOKUP($E592,$D$6:$AN$1150,G$2,)/VLOOKUP($E592,$D$6:$AN$1150,3,))*$F592)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IF(VLOOKUP($E592,$D$6:$AN$1150,3,)=0,0,(VLOOKUP($E592,$D$6:$AN$1150,Q$2,)/VLOOKUP($E592,$D$6:$AN$1150,3,))*$F592)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458" t="s">
        <v>1226</v>
      </c>
      <c r="C593" s="60" t="s">
        <v>999</v>
      </c>
      <c r="D593" s="60" t="s">
        <v>549</v>
      </c>
      <c r="E593" s="60" t="s">
        <v>1229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458" t="s">
        <v>1226</v>
      </c>
      <c r="C594" s="60" t="s">
        <v>999</v>
      </c>
      <c r="D594" s="60" t="s">
        <v>550</v>
      </c>
      <c r="E594" s="60" t="s">
        <v>1229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44" t="s">
        <v>1057</v>
      </c>
      <c r="D595" s="60" t="s">
        <v>551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A596" s="44"/>
      <c r="F596" s="79"/>
      <c r="G596" s="79"/>
    </row>
    <row r="597" spans="1:28" ht="14.1">
      <c r="A597" s="45" t="s">
        <v>337</v>
      </c>
      <c r="F597" s="79"/>
      <c r="G597" s="79"/>
    </row>
    <row r="598" spans="1:28">
      <c r="A598" s="458" t="s">
        <v>359</v>
      </c>
      <c r="C598" s="60" t="s">
        <v>999</v>
      </c>
      <c r="D598" s="60" t="s">
        <v>552</v>
      </c>
      <c r="E598" s="60" t="s">
        <v>1230</v>
      </c>
      <c r="F598" s="76">
        <f>VLOOKUP(C598,'Functional Assignment'!$C$2:$AP$780,'Functional Assignment'!$Q$2,)</f>
        <v>0</v>
      </c>
      <c r="G598" s="76">
        <f t="shared" ref="G598:Z598" si="274">IF(VLOOKUP($E598,$D$6:$AN$1150,3,)=0,0,(VLOOKUP($E598,$D$6:$AN$1150,G$2,)/VLOOKUP($E598,$D$6:$AN$1150,3,))*$F598)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A599" s="44"/>
      <c r="F599" s="79"/>
    </row>
    <row r="600" spans="1:28" ht="14.1">
      <c r="A600" s="45" t="s">
        <v>338</v>
      </c>
      <c r="F600" s="79"/>
      <c r="G600" s="79"/>
    </row>
    <row r="601" spans="1:28">
      <c r="A601" s="458" t="s">
        <v>361</v>
      </c>
      <c r="C601" s="60" t="s">
        <v>999</v>
      </c>
      <c r="D601" s="60" t="s">
        <v>553</v>
      </c>
      <c r="E601" s="60" t="s">
        <v>1230</v>
      </c>
      <c r="F601" s="76">
        <f>VLOOKUP(C601,'Functional Assignment'!$C$2:$AP$780,'Functional Assignment'!$R$2,)</f>
        <v>0</v>
      </c>
      <c r="G601" s="76">
        <f t="shared" ref="G601:Z601" si="275">IF(VLOOKUP($E601,$D$6:$AN$1150,3,)=0,0,(VLOOKUP($E601,$D$6:$AN$1150,G$2,)/VLOOKUP($E601,$D$6:$AN$1150,3,))*$F601)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A602" s="44"/>
      <c r="F602" s="79"/>
    </row>
    <row r="603" spans="1:28" ht="14.1">
      <c r="A603" s="45" t="s">
        <v>360</v>
      </c>
      <c r="F603" s="79"/>
    </row>
    <row r="604" spans="1:28">
      <c r="A604" s="458" t="s">
        <v>603</v>
      </c>
      <c r="C604" s="60" t="s">
        <v>999</v>
      </c>
      <c r="D604" s="60" t="s">
        <v>554</v>
      </c>
      <c r="E604" s="60" t="s">
        <v>1230</v>
      </c>
      <c r="F604" s="76">
        <f>VLOOKUP(C604,'Functional Assignment'!$C$2:$AP$780,'Functional Assignment'!$S$2,)</f>
        <v>0</v>
      </c>
      <c r="G604" s="76">
        <f t="shared" ref="G604:P608" si="276">IF(VLOOKUP($E604,$D$6:$AN$1150,3,)=0,0,(VLOOKUP($E604,$D$6:$AN$1150,G$2,)/VLOOKUP($E604,$D$6:$AN$1150,3,))*$F604)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IF(VLOOKUP($E604,$D$6:$AN$1150,3,)=0,0,(VLOOKUP($E604,$D$6:$AN$1150,Q$2,)/VLOOKUP($E604,$D$6:$AN$1150,3,))*$F604)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458" t="s">
        <v>604</v>
      </c>
      <c r="C605" s="60" t="s">
        <v>999</v>
      </c>
      <c r="D605" s="60" t="s">
        <v>555</v>
      </c>
      <c r="E605" s="60" t="s">
        <v>1230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458" t="s">
        <v>605</v>
      </c>
      <c r="C606" s="60" t="s">
        <v>999</v>
      </c>
      <c r="D606" s="60" t="s">
        <v>556</v>
      </c>
      <c r="E606" s="60" t="s">
        <v>658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458" t="s">
        <v>606</v>
      </c>
      <c r="C607" s="60" t="s">
        <v>999</v>
      </c>
      <c r="D607" s="60" t="s">
        <v>557</v>
      </c>
      <c r="E607" s="60" t="s">
        <v>646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458" t="s">
        <v>607</v>
      </c>
      <c r="C608" s="60" t="s">
        <v>999</v>
      </c>
      <c r="D608" s="60" t="s">
        <v>558</v>
      </c>
      <c r="E608" s="60" t="s">
        <v>657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44" t="s">
        <v>365</v>
      </c>
      <c r="D609" s="60" t="s">
        <v>559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A610" s="44"/>
      <c r="F610" s="79"/>
    </row>
    <row r="611" spans="1:28" ht="14.1">
      <c r="A611" s="45" t="s">
        <v>613</v>
      </c>
      <c r="F611" s="79"/>
    </row>
    <row r="612" spans="1:28">
      <c r="A612" s="458" t="s">
        <v>1014</v>
      </c>
      <c r="C612" s="60" t="s">
        <v>999</v>
      </c>
      <c r="D612" s="60" t="s">
        <v>560</v>
      </c>
      <c r="E612" s="60" t="s">
        <v>1207</v>
      </c>
      <c r="F612" s="76">
        <f>VLOOKUP(C612,'Functional Assignment'!$C$2:$AP$780,'Functional Assignment'!$X$2,)</f>
        <v>0</v>
      </c>
      <c r="G612" s="76">
        <f t="shared" ref="G612:P613" si="281">IF(VLOOKUP($E612,$D$6:$AN$1150,3,)=0,0,(VLOOKUP($E612,$D$6:$AN$1150,G$2,)/VLOOKUP($E612,$D$6:$AN$1150,3,))*$F612)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IF(VLOOKUP($E612,$D$6:$AN$1150,3,)=0,0,(VLOOKUP($E612,$D$6:$AN$1150,Q$2,)/VLOOKUP($E612,$D$6:$AN$1150,3,))*$F612)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458" t="s">
        <v>1017</v>
      </c>
      <c r="C613" s="60" t="s">
        <v>999</v>
      </c>
      <c r="D613" s="60" t="s">
        <v>561</v>
      </c>
      <c r="E613" s="60" t="s">
        <v>1205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44" t="s">
        <v>672</v>
      </c>
      <c r="D614" s="60" t="s">
        <v>562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A615" s="44"/>
      <c r="F615" s="79"/>
    </row>
    <row r="616" spans="1:28" ht="14.1">
      <c r="A616" s="45" t="s">
        <v>343</v>
      </c>
      <c r="F616" s="79"/>
    </row>
    <row r="617" spans="1:28">
      <c r="A617" s="458" t="s">
        <v>1017</v>
      </c>
      <c r="C617" s="60" t="s">
        <v>999</v>
      </c>
      <c r="D617" s="60" t="s">
        <v>563</v>
      </c>
      <c r="E617" s="60" t="s">
        <v>1019</v>
      </c>
      <c r="F617" s="76">
        <f>VLOOKUP(C617,'Functional Assignment'!$C$2:$AP$780,'Functional Assignment'!$Z$2,)</f>
        <v>0</v>
      </c>
      <c r="G617" s="76">
        <f t="shared" ref="G617:Z617" si="284">IF(VLOOKUP($E617,$D$6:$AN$1150,3,)=0,0,(VLOOKUP($E617,$D$6:$AN$1150,G$2,)/VLOOKUP($E617,$D$6:$AN$1150,3,))*$F617)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A618" s="44"/>
      <c r="F618" s="79"/>
    </row>
    <row r="619" spans="1:28" ht="14.1">
      <c r="A619" s="45" t="s">
        <v>342</v>
      </c>
      <c r="F619" s="79"/>
    </row>
    <row r="620" spans="1:28">
      <c r="A620" s="458" t="s">
        <v>1017</v>
      </c>
      <c r="C620" s="60" t="s">
        <v>999</v>
      </c>
      <c r="D620" s="60" t="s">
        <v>564</v>
      </c>
      <c r="E620" s="60" t="s">
        <v>1020</v>
      </c>
      <c r="F620" s="76">
        <f>VLOOKUP(C620,'Functional Assignment'!$C$2:$AP$780,'Functional Assignment'!$AA$2,)</f>
        <v>0</v>
      </c>
      <c r="G620" s="76">
        <f t="shared" ref="G620:Z620" si="285">IF(VLOOKUP($E620,$D$6:$AN$1150,3,)=0,0,(VLOOKUP($E620,$D$6:$AN$1150,G$2,)/VLOOKUP($E620,$D$6:$AN$1150,3,))*$F620)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A621" s="44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4.1">
      <c r="A622" s="45" t="s">
        <v>358</v>
      </c>
      <c r="F622" s="79"/>
    </row>
    <row r="623" spans="1:28">
      <c r="A623" s="458" t="s">
        <v>1017</v>
      </c>
      <c r="C623" s="60" t="s">
        <v>999</v>
      </c>
      <c r="D623" s="60" t="s">
        <v>565</v>
      </c>
      <c r="E623" s="60" t="s">
        <v>1021</v>
      </c>
      <c r="F623" s="76">
        <f>VLOOKUP(C623,'Functional Assignment'!$C$2:$AP$780,'Functional Assignment'!$AB$2,)</f>
        <v>0</v>
      </c>
      <c r="G623" s="76">
        <f t="shared" ref="G623:Z623" si="286">IF(VLOOKUP($E623,$D$6:$AN$1150,3,)=0,0,(VLOOKUP($E623,$D$6:$AN$1150,G$2,)/VLOOKUP($E623,$D$6:$AN$1150,3,))*$F623)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A624" s="44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4.1">
      <c r="A625" s="45" t="s">
        <v>949</v>
      </c>
      <c r="F625" s="79"/>
    </row>
    <row r="626" spans="1:28">
      <c r="A626" s="458" t="s">
        <v>1017</v>
      </c>
      <c r="C626" s="60" t="s">
        <v>999</v>
      </c>
      <c r="D626" s="60" t="s">
        <v>566</v>
      </c>
      <c r="E626" s="60" t="s">
        <v>1022</v>
      </c>
      <c r="F626" s="76">
        <f>VLOOKUP(C626,'Functional Assignment'!$C$2:$AP$780,'Functional Assignment'!$AC$2,)</f>
        <v>0</v>
      </c>
      <c r="G626" s="76">
        <f t="shared" ref="G626:Z626" si="287">IF(VLOOKUP($E626,$D$6:$AN$1150,3,)=0,0,(VLOOKUP($E626,$D$6:$AN$1150,G$2,)/VLOOKUP($E626,$D$6:$AN$1150,3,))*$F626)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A627" s="44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4.1">
      <c r="A628" s="45" t="s">
        <v>340</v>
      </c>
      <c r="F628" s="79"/>
    </row>
    <row r="629" spans="1:28">
      <c r="A629" s="458" t="s">
        <v>1017</v>
      </c>
      <c r="C629" s="60" t="s">
        <v>999</v>
      </c>
      <c r="D629" s="60" t="s">
        <v>567</v>
      </c>
      <c r="E629" s="60" t="s">
        <v>1022</v>
      </c>
      <c r="F629" s="76">
        <f>VLOOKUP(C629,'Functional Assignment'!$C$2:$AP$780,'Functional Assignment'!$AD$2,)</f>
        <v>0</v>
      </c>
      <c r="G629" s="76">
        <f t="shared" ref="G629:Z629" si="288">IF(VLOOKUP($E629,$D$6:$AN$1150,3,)=0,0,(VLOOKUP($E629,$D$6:$AN$1150,G$2,)/VLOOKUP($E629,$D$6:$AN$1150,3,))*$F629)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A630" s="44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4.1">
      <c r="A631" s="45" t="s">
        <v>339</v>
      </c>
      <c r="F631" s="79"/>
    </row>
    <row r="632" spans="1:28">
      <c r="A632" s="458" t="s">
        <v>1017</v>
      </c>
      <c r="C632" s="60" t="s">
        <v>999</v>
      </c>
      <c r="D632" s="60" t="s">
        <v>568</v>
      </c>
      <c r="E632" s="60" t="s">
        <v>1023</v>
      </c>
      <c r="F632" s="76">
        <f>VLOOKUP(C632,'Functional Assignment'!$C$2:$AP$780,'Functional Assignment'!$AE$2,)</f>
        <v>0</v>
      </c>
      <c r="G632" s="76">
        <f t="shared" ref="G632:Z632" si="289">IF(VLOOKUP($E632,$D$6:$AN$1150,3,)=0,0,(VLOOKUP($E632,$D$6:$AN$1150,G$2,)/VLOOKUP($E632,$D$6:$AN$1150,3,))*$F632)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A633" s="44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44" t="s">
        <v>846</v>
      </c>
      <c r="D634" s="60" t="s">
        <v>1035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4.1">
      <c r="A637" s="65" t="s">
        <v>764</v>
      </c>
    </row>
    <row r="639" spans="1:28" ht="14.1">
      <c r="A639" s="65" t="s">
        <v>352</v>
      </c>
    </row>
    <row r="640" spans="1:28">
      <c r="A640" s="458" t="s">
        <v>1441</v>
      </c>
      <c r="B640" s="44"/>
      <c r="C640" s="44" t="s">
        <v>1000</v>
      </c>
      <c r="D640" s="44" t="s">
        <v>1443</v>
      </c>
      <c r="E640" s="44" t="s">
        <v>1410</v>
      </c>
      <c r="F640" s="76">
        <f>VLOOKUP(C640,'Functional Assignment'!$C$2:$AP$780,'Functional Assignment'!$H$2,)</f>
        <v>45829810.507106677</v>
      </c>
      <c r="G640" s="76">
        <f t="shared" ref="G640:P645" si="291">IF(VLOOKUP($E640,$D$6:$AN$1150,3,)=0,0,(VLOOKUP($E640,$D$6:$AN$1150,G$2,)/VLOOKUP($E640,$D$6:$AN$1150,3,))*$F640)</f>
        <v>20040055.156351119</v>
      </c>
      <c r="H640" s="76">
        <f t="shared" si="291"/>
        <v>37572.035163463966</v>
      </c>
      <c r="I640" s="76">
        <f t="shared" si="291"/>
        <v>5607383.4019963173</v>
      </c>
      <c r="J640" s="76">
        <f t="shared" si="291"/>
        <v>379980.05220178817</v>
      </c>
      <c r="K640" s="76">
        <f t="shared" si="291"/>
        <v>6251453.1369763771</v>
      </c>
      <c r="L640" s="76">
        <f t="shared" si="291"/>
        <v>5642996.6988949366</v>
      </c>
      <c r="M640" s="76">
        <f t="shared" si="291"/>
        <v>4800985.6273777643</v>
      </c>
      <c r="N640" s="76">
        <f t="shared" si="291"/>
        <v>2727695.1198031879</v>
      </c>
      <c r="O640" s="76">
        <f t="shared" si="291"/>
        <v>161918.99620179625</v>
      </c>
      <c r="P640" s="76">
        <f t="shared" si="291"/>
        <v>165950.17977154735</v>
      </c>
      <c r="Q640" s="76">
        <f t="shared" ref="Q640:Z645" si="292">IF(VLOOKUP($E640,$D$6:$AN$1150,3,)=0,0,(VLOOKUP($E640,$D$6:$AN$1150,Q$2,)/VLOOKUP($E640,$D$6:$AN$1150,3,))*$F640)</f>
        <v>5780.0481469724709</v>
      </c>
      <c r="R640" s="76">
        <f t="shared" si="292"/>
        <v>7959.9331379298246</v>
      </c>
      <c r="S640" s="76">
        <f t="shared" si="292"/>
        <v>7.841608403557645</v>
      </c>
      <c r="T640" s="76">
        <f t="shared" si="292"/>
        <v>72.279475073662027</v>
      </c>
      <c r="U640" s="76">
        <f t="shared" si="292"/>
        <v>0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45829810.507106677</v>
      </c>
      <c r="AB640" s="58" t="str">
        <f t="shared" ref="AB640:AB646" si="294">IF(ABS(F640-AA640)&lt;0.01,"ok","err")</f>
        <v>ok</v>
      </c>
    </row>
    <row r="641" spans="1:28" hidden="1">
      <c r="A641" s="458" t="s">
        <v>1256</v>
      </c>
      <c r="B641" s="44"/>
      <c r="C641" s="44" t="s">
        <v>1000</v>
      </c>
      <c r="D641" s="44" t="s">
        <v>765</v>
      </c>
      <c r="E641" s="44" t="s">
        <v>1412</v>
      </c>
      <c r="F641" s="79">
        <f>VLOOKUP(C641,'Functional Assignment'!$C$2:$AP$780,'Functional Assignment'!$I$2,)</f>
        <v>0</v>
      </c>
      <c r="G641" s="79">
        <f t="shared" si="291"/>
        <v>0</v>
      </c>
      <c r="H641" s="79">
        <f t="shared" si="291"/>
        <v>0</v>
      </c>
      <c r="I641" s="79">
        <f t="shared" si="291"/>
        <v>0</v>
      </c>
      <c r="J641" s="79">
        <f t="shared" si="291"/>
        <v>0</v>
      </c>
      <c r="K641" s="79">
        <f t="shared" si="291"/>
        <v>0</v>
      </c>
      <c r="L641" s="79">
        <f t="shared" si="291"/>
        <v>0</v>
      </c>
      <c r="M641" s="79">
        <f t="shared" si="291"/>
        <v>0</v>
      </c>
      <c r="N641" s="79">
        <f t="shared" si="291"/>
        <v>0</v>
      </c>
      <c r="O641" s="79">
        <f t="shared" si="291"/>
        <v>0</v>
      </c>
      <c r="P641" s="79">
        <f t="shared" si="291"/>
        <v>0</v>
      </c>
      <c r="Q641" s="79">
        <f t="shared" si="292"/>
        <v>0</v>
      </c>
      <c r="R641" s="79">
        <f t="shared" si="292"/>
        <v>0</v>
      </c>
      <c r="S641" s="79">
        <f t="shared" si="292"/>
        <v>0</v>
      </c>
      <c r="T641" s="79">
        <f t="shared" si="292"/>
        <v>0</v>
      </c>
      <c r="U641" s="79">
        <f t="shared" si="292"/>
        <v>0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0</v>
      </c>
      <c r="AB641" s="58" t="str">
        <f t="shared" si="294"/>
        <v>ok</v>
      </c>
    </row>
    <row r="642" spans="1:28" hidden="1">
      <c r="A642" s="458" t="s">
        <v>1256</v>
      </c>
      <c r="B642" s="44"/>
      <c r="C642" s="44" t="s">
        <v>1000</v>
      </c>
      <c r="D642" s="44" t="s">
        <v>766</v>
      </c>
      <c r="E642" s="44" t="s">
        <v>1412</v>
      </c>
      <c r="F642" s="79">
        <f>VLOOKUP(C642,'Functional Assignment'!$C$2:$AP$780,'Functional Assignment'!$J$2,)</f>
        <v>0</v>
      </c>
      <c r="G642" s="79">
        <f t="shared" si="291"/>
        <v>0</v>
      </c>
      <c r="H642" s="79">
        <f t="shared" si="291"/>
        <v>0</v>
      </c>
      <c r="I642" s="79">
        <f t="shared" si="291"/>
        <v>0</v>
      </c>
      <c r="J642" s="79">
        <f t="shared" si="291"/>
        <v>0</v>
      </c>
      <c r="K642" s="79">
        <f t="shared" si="291"/>
        <v>0</v>
      </c>
      <c r="L642" s="79">
        <f t="shared" si="291"/>
        <v>0</v>
      </c>
      <c r="M642" s="79">
        <f t="shared" si="291"/>
        <v>0</v>
      </c>
      <c r="N642" s="79">
        <f t="shared" si="291"/>
        <v>0</v>
      </c>
      <c r="O642" s="79">
        <f t="shared" si="291"/>
        <v>0</v>
      </c>
      <c r="P642" s="79">
        <f t="shared" si="291"/>
        <v>0</v>
      </c>
      <c r="Q642" s="79">
        <f t="shared" si="292"/>
        <v>0</v>
      </c>
      <c r="R642" s="79">
        <f t="shared" si="292"/>
        <v>0</v>
      </c>
      <c r="S642" s="79">
        <f t="shared" si="292"/>
        <v>0</v>
      </c>
      <c r="T642" s="79">
        <f t="shared" si="292"/>
        <v>0</v>
      </c>
      <c r="U642" s="79">
        <f t="shared" si="292"/>
        <v>0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0</v>
      </c>
      <c r="AB642" s="58" t="str">
        <f t="shared" si="294"/>
        <v>ok</v>
      </c>
    </row>
    <row r="643" spans="1:28">
      <c r="A643" s="458" t="s">
        <v>1160</v>
      </c>
      <c r="B643" s="44"/>
      <c r="C643" s="44" t="s">
        <v>1000</v>
      </c>
      <c r="D643" s="44" t="s">
        <v>767</v>
      </c>
      <c r="E643" s="44" t="s">
        <v>1015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 hidden="1">
      <c r="A644" s="458" t="s">
        <v>1161</v>
      </c>
      <c r="B644" s="44"/>
      <c r="C644" s="44" t="s">
        <v>1000</v>
      </c>
      <c r="D644" s="44" t="s">
        <v>768</v>
      </c>
      <c r="E644" s="44" t="s">
        <v>1015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 hidden="1">
      <c r="A645" s="458" t="s">
        <v>1161</v>
      </c>
      <c r="B645" s="44"/>
      <c r="C645" s="44" t="s">
        <v>1000</v>
      </c>
      <c r="D645" s="44" t="s">
        <v>769</v>
      </c>
      <c r="E645" s="44" t="s">
        <v>1015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44" t="s">
        <v>374</v>
      </c>
      <c r="B646" s="44"/>
      <c r="C646" s="44"/>
      <c r="D646" s="44" t="s">
        <v>770</v>
      </c>
      <c r="E646" s="44"/>
      <c r="F646" s="76">
        <f>SUM(F640:F645)</f>
        <v>45829810.507106677</v>
      </c>
      <c r="G646" s="76">
        <f t="shared" ref="G646:W646" si="295">SUM(G640:G645)</f>
        <v>20040055.156351119</v>
      </c>
      <c r="H646" s="76">
        <f t="shared" si="295"/>
        <v>37572.035163463966</v>
      </c>
      <c r="I646" s="76">
        <f t="shared" si="295"/>
        <v>5607383.4019963173</v>
      </c>
      <c r="J646" s="76">
        <f t="shared" si="295"/>
        <v>379980.05220178817</v>
      </c>
      <c r="K646" s="76">
        <f t="shared" si="295"/>
        <v>6251453.1369763771</v>
      </c>
      <c r="L646" s="76">
        <f t="shared" si="295"/>
        <v>5642996.6988949366</v>
      </c>
      <c r="M646" s="76">
        <f t="shared" si="295"/>
        <v>4800985.6273777643</v>
      </c>
      <c r="N646" s="76">
        <f t="shared" si="295"/>
        <v>2727695.1198031879</v>
      </c>
      <c r="O646" s="76">
        <f>SUM(O640:O645)</f>
        <v>161918.99620179625</v>
      </c>
      <c r="P646" s="76">
        <f t="shared" si="295"/>
        <v>165950.17977154735</v>
      </c>
      <c r="Q646" s="76">
        <f t="shared" si="295"/>
        <v>5780.0481469724709</v>
      </c>
      <c r="R646" s="76">
        <f t="shared" si="295"/>
        <v>7959.9331379298246</v>
      </c>
      <c r="S646" s="76">
        <f t="shared" si="295"/>
        <v>7.841608403557645</v>
      </c>
      <c r="T646" s="76">
        <f t="shared" si="295"/>
        <v>72.279475073662027</v>
      </c>
      <c r="U646" s="76">
        <f t="shared" si="295"/>
        <v>0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45829810.507106677</v>
      </c>
      <c r="AB646" s="58" t="str">
        <f t="shared" si="294"/>
        <v>ok</v>
      </c>
    </row>
    <row r="647" spans="1:28">
      <c r="F647" s="79"/>
      <c r="G647" s="79"/>
    </row>
    <row r="648" spans="1:28" ht="14.1">
      <c r="A648" s="65" t="s">
        <v>1055</v>
      </c>
      <c r="F648" s="79"/>
      <c r="G648" s="79"/>
    </row>
    <row r="649" spans="1:28">
      <c r="A649" s="68" t="s">
        <v>1225</v>
      </c>
      <c r="C649" s="60" t="s">
        <v>1000</v>
      </c>
      <c r="D649" s="60" t="s">
        <v>771</v>
      </c>
      <c r="E649" s="60" t="s">
        <v>1229</v>
      </c>
      <c r="F649" s="76">
        <f>VLOOKUP(C649,'Functional Assignment'!$C$2:$AP$780,'Functional Assignment'!$N$2,)</f>
        <v>7262773.8238366842</v>
      </c>
      <c r="G649" s="76">
        <f t="shared" ref="G649:P651" si="296">IF(VLOOKUP($E649,$D$6:$AN$1150,3,)=0,0,(VLOOKUP($E649,$D$6:$AN$1150,G$2,)/VLOOKUP($E649,$D$6:$AN$1150,3,))*$F649)</f>
        <v>3426138.5444735647</v>
      </c>
      <c r="H649" s="76">
        <f t="shared" si="296"/>
        <v>10506.088625658576</v>
      </c>
      <c r="I649" s="76">
        <f t="shared" si="296"/>
        <v>839238.53917768097</v>
      </c>
      <c r="J649" s="76">
        <f t="shared" si="296"/>
        <v>55090.251502581472</v>
      </c>
      <c r="K649" s="76">
        <f t="shared" si="296"/>
        <v>933813.71253173961</v>
      </c>
      <c r="L649" s="76">
        <f t="shared" si="296"/>
        <v>783118.70854946494</v>
      </c>
      <c r="M649" s="76">
        <f t="shared" si="296"/>
        <v>741409.47330253513</v>
      </c>
      <c r="N649" s="76">
        <f t="shared" si="296"/>
        <v>386632.00568694278</v>
      </c>
      <c r="O649" s="76">
        <f t="shared" si="296"/>
        <v>24845.242639676493</v>
      </c>
      <c r="P649" s="76">
        <f t="shared" si="296"/>
        <v>58876.530946193241</v>
      </c>
      <c r="Q649" s="76">
        <f t="shared" ref="Q649:Z651" si="297">IF(VLOOKUP($E649,$D$6:$AN$1150,3,)=0,0,(VLOOKUP($E649,$D$6:$AN$1150,Q$2,)/VLOOKUP($E649,$D$6:$AN$1150,3,))*$F649)</f>
        <v>2050.670773988873</v>
      </c>
      <c r="R649" s="76">
        <f t="shared" si="297"/>
        <v>941.3533032827853</v>
      </c>
      <c r="S649" s="76">
        <f t="shared" si="297"/>
        <v>102.44487199659741</v>
      </c>
      <c r="T649" s="76">
        <f t="shared" si="297"/>
        <v>10.257451379220969</v>
      </c>
      <c r="U649" s="76">
        <f t="shared" si="297"/>
        <v>0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7262773.8238366861</v>
      </c>
      <c r="AB649" s="58" t="str">
        <f>IF(ABS(F649-AA649)&lt;0.01,"ok","err")</f>
        <v>ok</v>
      </c>
    </row>
    <row r="650" spans="1:28" hidden="1">
      <c r="A650" s="68" t="s">
        <v>1226</v>
      </c>
      <c r="C650" s="60" t="s">
        <v>1000</v>
      </c>
      <c r="D650" s="60" t="s">
        <v>772</v>
      </c>
      <c r="E650" s="60" t="s">
        <v>1229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1226</v>
      </c>
      <c r="C651" s="60" t="s">
        <v>1000</v>
      </c>
      <c r="D651" s="60" t="s">
        <v>773</v>
      </c>
      <c r="E651" s="60" t="s">
        <v>1229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1057</v>
      </c>
      <c r="D652" s="60" t="s">
        <v>774</v>
      </c>
      <c r="F652" s="76">
        <f>SUM(F649:F651)</f>
        <v>7262773.8238366842</v>
      </c>
      <c r="G652" s="76">
        <f t="shared" ref="G652:W652" si="298">SUM(G649:G651)</f>
        <v>3426138.5444735647</v>
      </c>
      <c r="H652" s="76">
        <f t="shared" si="298"/>
        <v>10506.088625658576</v>
      </c>
      <c r="I652" s="76">
        <f t="shared" si="298"/>
        <v>839238.53917768097</v>
      </c>
      <c r="J652" s="76">
        <f t="shared" si="298"/>
        <v>55090.251502581472</v>
      </c>
      <c r="K652" s="76">
        <f t="shared" si="298"/>
        <v>933813.71253173961</v>
      </c>
      <c r="L652" s="76">
        <f t="shared" si="298"/>
        <v>783118.70854946494</v>
      </c>
      <c r="M652" s="76">
        <f t="shared" si="298"/>
        <v>741409.47330253513</v>
      </c>
      <c r="N652" s="76">
        <f t="shared" si="298"/>
        <v>386632.00568694278</v>
      </c>
      <c r="O652" s="76">
        <f>SUM(O649:O651)</f>
        <v>24845.242639676493</v>
      </c>
      <c r="P652" s="76">
        <f t="shared" si="298"/>
        <v>58876.530946193241</v>
      </c>
      <c r="Q652" s="76">
        <f t="shared" si="298"/>
        <v>2050.670773988873</v>
      </c>
      <c r="R652" s="76">
        <f t="shared" si="298"/>
        <v>941.3533032827853</v>
      </c>
      <c r="S652" s="76">
        <f t="shared" si="298"/>
        <v>102.44487199659741</v>
      </c>
      <c r="T652" s="76">
        <f t="shared" si="298"/>
        <v>10.257451379220969</v>
      </c>
      <c r="U652" s="76">
        <f t="shared" si="298"/>
        <v>0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7262773.8238366861</v>
      </c>
      <c r="AB652" s="58" t="str">
        <f>IF(ABS(F652-AA652)&lt;0.01,"ok","err")</f>
        <v>ok</v>
      </c>
    </row>
    <row r="653" spans="1:28">
      <c r="F653" s="79"/>
      <c r="G653" s="79"/>
    </row>
    <row r="654" spans="1:28" ht="14.1">
      <c r="A654" s="65" t="s">
        <v>337</v>
      </c>
      <c r="F654" s="79"/>
      <c r="G654" s="79"/>
    </row>
    <row r="655" spans="1:28">
      <c r="A655" s="68" t="s">
        <v>359</v>
      </c>
      <c r="C655" s="60" t="s">
        <v>1000</v>
      </c>
      <c r="D655" s="60" t="s">
        <v>775</v>
      </c>
      <c r="E655" s="60" t="s">
        <v>1230</v>
      </c>
      <c r="F655" s="76">
        <f>VLOOKUP(C655,'Functional Assignment'!$C$2:$AP$780,'Functional Assignment'!$Q$2,)</f>
        <v>0</v>
      </c>
      <c r="G655" s="76">
        <f t="shared" ref="G655:Z655" si="299">IF(VLOOKUP($E655,$D$6:$AN$1150,3,)=0,0,(VLOOKUP($E655,$D$6:$AN$1150,G$2,)/VLOOKUP($E655,$D$6:$AN$1150,3,))*$F655)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4.1">
      <c r="A657" s="65" t="s">
        <v>338</v>
      </c>
      <c r="F657" s="79"/>
      <c r="G657" s="79"/>
    </row>
    <row r="658" spans="1:28">
      <c r="A658" s="68" t="s">
        <v>361</v>
      </c>
      <c r="C658" s="60" t="s">
        <v>1000</v>
      </c>
      <c r="D658" s="60" t="s">
        <v>776</v>
      </c>
      <c r="E658" s="60" t="s">
        <v>1230</v>
      </c>
      <c r="F658" s="76">
        <f>VLOOKUP(C658,'Functional Assignment'!$C$2:$AP$780,'Functional Assignment'!$R$2,)</f>
        <v>2785975.5961625697</v>
      </c>
      <c r="G658" s="76">
        <f t="shared" ref="G658:Z658" si="300">IF(VLOOKUP($E658,$D$6:$AN$1150,3,)=0,0,(VLOOKUP($E658,$D$6:$AN$1150,G$2,)/VLOOKUP($E658,$D$6:$AN$1150,3,))*$F658)</f>
        <v>1388153.2153366406</v>
      </c>
      <c r="H658" s="76">
        <f t="shared" si="300"/>
        <v>4256.7048929892426</v>
      </c>
      <c r="I658" s="76">
        <f t="shared" si="300"/>
        <v>340030.52167084132</v>
      </c>
      <c r="J658" s="76">
        <f t="shared" si="300"/>
        <v>22320.670563765263</v>
      </c>
      <c r="K658" s="76">
        <f t="shared" si="300"/>
        <v>378349.12124826416</v>
      </c>
      <c r="L658" s="76">
        <f t="shared" si="300"/>
        <v>317292.70114214002</v>
      </c>
      <c r="M658" s="76">
        <f t="shared" si="300"/>
        <v>300393.55702823668</v>
      </c>
      <c r="N658" s="76">
        <f t="shared" si="300"/>
        <v>0</v>
      </c>
      <c r="O658" s="76">
        <f t="shared" si="300"/>
        <v>10066.435728852073</v>
      </c>
      <c r="P658" s="76">
        <f t="shared" si="300"/>
        <v>23854.74045486487</v>
      </c>
      <c r="Q658" s="76">
        <f t="shared" si="300"/>
        <v>830.8610967006083</v>
      </c>
      <c r="R658" s="76">
        <f t="shared" si="300"/>
        <v>381.40390347832562</v>
      </c>
      <c r="S658" s="76">
        <f t="shared" si="300"/>
        <v>41.507130143996591</v>
      </c>
      <c r="T658" s="76">
        <f t="shared" si="300"/>
        <v>4.1559656529922071</v>
      </c>
      <c r="U658" s="76">
        <f t="shared" si="300"/>
        <v>0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2785975.5961625706</v>
      </c>
      <c r="AB658" s="58" t="str">
        <f>IF(ABS(F658-AA658)&lt;0.01,"ok","err")</f>
        <v>ok</v>
      </c>
    </row>
    <row r="659" spans="1:28">
      <c r="F659" s="79"/>
    </row>
    <row r="660" spans="1:28" ht="14.1">
      <c r="A660" s="65" t="s">
        <v>360</v>
      </c>
      <c r="F660" s="79"/>
    </row>
    <row r="661" spans="1:28">
      <c r="A661" s="68" t="s">
        <v>603</v>
      </c>
      <c r="C661" s="60" t="s">
        <v>1000</v>
      </c>
      <c r="D661" s="60" t="s">
        <v>777</v>
      </c>
      <c r="E661" s="60" t="s">
        <v>1230</v>
      </c>
      <c r="F661" s="76">
        <f>VLOOKUP(C661,'Functional Assignment'!$C$2:$AP$780,'Functional Assignment'!$S$2,)</f>
        <v>0</v>
      </c>
      <c r="G661" s="76">
        <f t="shared" ref="G661:P665" si="301">IF(VLOOKUP($E661,$D$6:$AN$1150,3,)=0,0,(VLOOKUP($E661,$D$6:$AN$1150,G$2,)/VLOOKUP($E661,$D$6:$AN$1150,3,))*$F661)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IF(VLOOKUP($E661,$D$6:$AN$1150,3,)=0,0,(VLOOKUP($E661,$D$6:$AN$1150,Q$2,)/VLOOKUP($E661,$D$6:$AN$1150,3,))*$F661)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604</v>
      </c>
      <c r="C662" s="60" t="s">
        <v>1000</v>
      </c>
      <c r="D662" s="60" t="s">
        <v>778</v>
      </c>
      <c r="E662" s="60" t="s">
        <v>1230</v>
      </c>
      <c r="F662" s="79">
        <f>VLOOKUP(C662,'Functional Assignment'!$C$2:$AP$780,'Functional Assignment'!$T$2,)</f>
        <v>4276970.3353962824</v>
      </c>
      <c r="G662" s="79">
        <f t="shared" si="301"/>
        <v>2131063.2193467836</v>
      </c>
      <c r="H662" s="79">
        <f t="shared" si="301"/>
        <v>6534.8025944405417</v>
      </c>
      <c r="I662" s="79">
        <f t="shared" si="301"/>
        <v>522007.60707261</v>
      </c>
      <c r="J662" s="79">
        <f t="shared" si="301"/>
        <v>34266.217550100322</v>
      </c>
      <c r="K662" s="79">
        <f t="shared" si="301"/>
        <v>580833.5041523641</v>
      </c>
      <c r="L662" s="79">
        <f t="shared" si="301"/>
        <v>487100.98979040131</v>
      </c>
      <c r="M662" s="79">
        <f t="shared" si="301"/>
        <v>461157.7840536724</v>
      </c>
      <c r="N662" s="79">
        <f t="shared" si="301"/>
        <v>0</v>
      </c>
      <c r="O662" s="79">
        <f t="shared" si="301"/>
        <v>15453.777504288397</v>
      </c>
      <c r="P662" s="79">
        <f t="shared" si="301"/>
        <v>36621.288938986509</v>
      </c>
      <c r="Q662" s="79">
        <f t="shared" si="302"/>
        <v>1275.5202408513715</v>
      </c>
      <c r="R662" s="79">
        <f t="shared" si="302"/>
        <v>585.52314070089119</v>
      </c>
      <c r="S662" s="79">
        <f t="shared" si="302"/>
        <v>63.720861222844377</v>
      </c>
      <c r="T662" s="79">
        <f t="shared" si="302"/>
        <v>6.3801498610601222</v>
      </c>
      <c r="U662" s="79">
        <f t="shared" si="302"/>
        <v>0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4276970.3353962824</v>
      </c>
      <c r="AB662" s="58" t="str">
        <f t="shared" si="304"/>
        <v>ok</v>
      </c>
    </row>
    <row r="663" spans="1:28">
      <c r="A663" s="68" t="s">
        <v>605</v>
      </c>
      <c r="C663" s="60" t="s">
        <v>1000</v>
      </c>
      <c r="D663" s="60" t="s">
        <v>779</v>
      </c>
      <c r="E663" s="60" t="s">
        <v>658</v>
      </c>
      <c r="F663" s="79">
        <f>VLOOKUP(C663,'Functional Assignment'!$C$2:$AP$780,'Functional Assignment'!$U$2,)</f>
        <v>6998957.5684978701</v>
      </c>
      <c r="G663" s="79">
        <f t="shared" si="301"/>
        <v>6036829.0946579911</v>
      </c>
      <c r="H663" s="79">
        <f t="shared" si="301"/>
        <v>14900.990166124973</v>
      </c>
      <c r="I663" s="79">
        <f t="shared" si="301"/>
        <v>726968.3573559263</v>
      </c>
      <c r="J663" s="79">
        <f t="shared" si="301"/>
        <v>1121.8814860217781</v>
      </c>
      <c r="K663" s="79">
        <f t="shared" si="301"/>
        <v>44593.142472272688</v>
      </c>
      <c r="L663" s="79">
        <f t="shared" si="301"/>
        <v>2109.0493752093166</v>
      </c>
      <c r="M663" s="79">
        <f t="shared" si="301"/>
        <v>8093.6613962401671</v>
      </c>
      <c r="N663" s="79">
        <f t="shared" si="301"/>
        <v>0</v>
      </c>
      <c r="O663" s="79">
        <f t="shared" si="301"/>
        <v>32.053756743479369</v>
      </c>
      <c r="P663" s="79">
        <f t="shared" si="301"/>
        <v>162065.57485929524</v>
      </c>
      <c r="Q663" s="79">
        <f t="shared" si="302"/>
        <v>286.70304642778774</v>
      </c>
      <c r="R663" s="79">
        <f t="shared" si="302"/>
        <v>1780.7642635266316</v>
      </c>
      <c r="S663" s="79">
        <f t="shared" si="302"/>
        <v>16.026878371739684</v>
      </c>
      <c r="T663" s="79">
        <f t="shared" si="302"/>
        <v>160.26878371739687</v>
      </c>
      <c r="U663" s="79">
        <f t="shared" si="302"/>
        <v>0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6998957.5684978683</v>
      </c>
      <c r="AB663" s="58" t="str">
        <f t="shared" si="304"/>
        <v>ok</v>
      </c>
    </row>
    <row r="664" spans="1:28">
      <c r="A664" s="68" t="s">
        <v>606</v>
      </c>
      <c r="C664" s="60" t="s">
        <v>1000</v>
      </c>
      <c r="D664" s="60" t="s">
        <v>780</v>
      </c>
      <c r="E664" s="60" t="s">
        <v>646</v>
      </c>
      <c r="F664" s="79">
        <f>VLOOKUP(C664,'Functional Assignment'!$C$2:$AP$780,'Functional Assignment'!$V$2,)</f>
        <v>1193313.7526870731</v>
      </c>
      <c r="G664" s="79">
        <f t="shared" si="301"/>
        <v>901882.75206987758</v>
      </c>
      <c r="H664" s="79">
        <f t="shared" si="301"/>
        <v>2691.8133892495589</v>
      </c>
      <c r="I664" s="79">
        <f t="shared" si="301"/>
        <v>144540.80040802356</v>
      </c>
      <c r="J664" s="79">
        <f t="shared" si="301"/>
        <v>0</v>
      </c>
      <c r="K664" s="79">
        <f t="shared" si="301"/>
        <v>136900.2984913449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6932.5170498086645</v>
      </c>
      <c r="Q664" s="79">
        <f t="shared" si="302"/>
        <v>241.45971027427476</v>
      </c>
      <c r="R664" s="79">
        <f t="shared" si="302"/>
        <v>110.84124217280437</v>
      </c>
      <c r="S664" s="79">
        <f t="shared" si="302"/>
        <v>12.062545302319599</v>
      </c>
      <c r="T664" s="79">
        <f t="shared" si="302"/>
        <v>1.2077810195546261</v>
      </c>
      <c r="U664" s="79">
        <f t="shared" si="302"/>
        <v>0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1193313.7526870735</v>
      </c>
      <c r="AB664" s="58" t="str">
        <f t="shared" si="304"/>
        <v>ok</v>
      </c>
    </row>
    <row r="665" spans="1:28">
      <c r="A665" s="68" t="s">
        <v>607</v>
      </c>
      <c r="C665" s="60" t="s">
        <v>1000</v>
      </c>
      <c r="D665" s="60" t="s">
        <v>781</v>
      </c>
      <c r="E665" s="60" t="s">
        <v>657</v>
      </c>
      <c r="F665" s="79">
        <f>VLOOKUP(C665,'Functional Assignment'!$C$2:$AP$780,'Functional Assignment'!$W$2,)</f>
        <v>2039081.1143982129</v>
      </c>
      <c r="G665" s="79">
        <f t="shared" si="301"/>
        <v>1772951.0037531152</v>
      </c>
      <c r="H665" s="79">
        <f t="shared" si="301"/>
        <v>4376.2586380529774</v>
      </c>
      <c r="I665" s="79">
        <f t="shared" si="301"/>
        <v>213502.69465330336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47596.895508417852</v>
      </c>
      <c r="Q665" s="79">
        <f t="shared" si="302"/>
        <v>84.201564426103715</v>
      </c>
      <c r="R665" s="79">
        <f t="shared" si="302"/>
        <v>522.99108339194845</v>
      </c>
      <c r="S665" s="79">
        <f t="shared" si="302"/>
        <v>0</v>
      </c>
      <c r="T665" s="79">
        <f t="shared" si="302"/>
        <v>47.069197505275369</v>
      </c>
      <c r="U665" s="79">
        <f t="shared" si="302"/>
        <v>0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2039081.1143982126</v>
      </c>
      <c r="AB665" s="58" t="str">
        <f t="shared" si="304"/>
        <v>ok</v>
      </c>
    </row>
    <row r="666" spans="1:28">
      <c r="A666" s="60" t="s">
        <v>365</v>
      </c>
      <c r="D666" s="60" t="s">
        <v>782</v>
      </c>
      <c r="F666" s="76">
        <f>SUM(F661:F665)</f>
        <v>14508322.770979438</v>
      </c>
      <c r="G666" s="76">
        <f t="shared" ref="G666:W666" si="305">SUM(G661:G665)</f>
        <v>10842726.069827767</v>
      </c>
      <c r="H666" s="76">
        <f t="shared" si="305"/>
        <v>28503.864787868049</v>
      </c>
      <c r="I666" s="76">
        <f t="shared" si="305"/>
        <v>1607019.4594898634</v>
      </c>
      <c r="J666" s="76">
        <f t="shared" si="305"/>
        <v>35388.099036122097</v>
      </c>
      <c r="K666" s="76">
        <f t="shared" si="305"/>
        <v>762326.94511598174</v>
      </c>
      <c r="L666" s="76">
        <f t="shared" si="305"/>
        <v>489210.03916561062</v>
      </c>
      <c r="M666" s="76">
        <f t="shared" si="305"/>
        <v>469251.44544991257</v>
      </c>
      <c r="N666" s="76">
        <f t="shared" si="305"/>
        <v>0</v>
      </c>
      <c r="O666" s="76">
        <f>SUM(O661:O665)</f>
        <v>15485.831261031875</v>
      </c>
      <c r="P666" s="76">
        <f t="shared" si="305"/>
        <v>253216.27635650829</v>
      </c>
      <c r="Q666" s="76">
        <f t="shared" si="305"/>
        <v>1887.8845619795377</v>
      </c>
      <c r="R666" s="76">
        <f t="shared" si="305"/>
        <v>3000.1197297922754</v>
      </c>
      <c r="S666" s="76">
        <f t="shared" si="305"/>
        <v>91.810284896903653</v>
      </c>
      <c r="T666" s="76">
        <f t="shared" si="305"/>
        <v>214.92591210328698</v>
      </c>
      <c r="U666" s="76">
        <f t="shared" si="305"/>
        <v>0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14508322.770979438</v>
      </c>
      <c r="AB666" s="58" t="str">
        <f t="shared" si="304"/>
        <v>ok</v>
      </c>
    </row>
    <row r="667" spans="1:28">
      <c r="F667" s="79"/>
    </row>
    <row r="668" spans="1:28" ht="14.1">
      <c r="A668" s="65" t="s">
        <v>613</v>
      </c>
      <c r="F668" s="79"/>
    </row>
    <row r="669" spans="1:28">
      <c r="A669" s="68" t="s">
        <v>1014</v>
      </c>
      <c r="C669" s="60" t="s">
        <v>1000</v>
      </c>
      <c r="D669" s="60" t="s">
        <v>783</v>
      </c>
      <c r="E669" s="60" t="s">
        <v>1207</v>
      </c>
      <c r="F669" s="76">
        <f>VLOOKUP(C669,'Functional Assignment'!$C$2:$AP$780,'Functional Assignment'!$X$2,)</f>
        <v>1461876.5573925725</v>
      </c>
      <c r="G669" s="76">
        <f t="shared" ref="G669:P670" si="306">IF(VLOOKUP($E669,$D$6:$AN$1150,3,)=0,0,(VLOOKUP($E669,$D$6:$AN$1150,G$2,)/VLOOKUP($E669,$D$6:$AN$1150,3,))*$F669)</f>
        <v>1008360.1504549154</v>
      </c>
      <c r="H669" s="76">
        <f t="shared" si="306"/>
        <v>3009.6122228202198</v>
      </c>
      <c r="I669" s="76">
        <f t="shared" si="306"/>
        <v>161605.46690997807</v>
      </c>
      <c r="J669" s="76">
        <f t="shared" si="306"/>
        <v>0</v>
      </c>
      <c r="K669" s="76">
        <f t="shared" si="306"/>
        <v>153062.91784296118</v>
      </c>
      <c r="L669" s="76">
        <f t="shared" si="306"/>
        <v>0</v>
      </c>
      <c r="M669" s="76">
        <f t="shared" si="306"/>
        <v>127678.70025667454</v>
      </c>
      <c r="N669" s="76">
        <f t="shared" si="306"/>
        <v>0</v>
      </c>
      <c r="O669" s="76">
        <f t="shared" si="306"/>
        <v>0</v>
      </c>
      <c r="P669" s="76">
        <f t="shared" si="306"/>
        <v>7750.978627025248</v>
      </c>
      <c r="Q669" s="76">
        <f t="shared" ref="Q669:Z670" si="307">IF(VLOOKUP($E669,$D$6:$AN$1150,3,)=0,0,(VLOOKUP($E669,$D$6:$AN$1150,Q$2,)/VLOOKUP($E669,$D$6:$AN$1150,3,))*$F669)</f>
        <v>269.96674370606365</v>
      </c>
      <c r="R669" s="76">
        <f t="shared" si="307"/>
        <v>123.92729695458129</v>
      </c>
      <c r="S669" s="76">
        <f t="shared" si="307"/>
        <v>13.486664389578889</v>
      </c>
      <c r="T669" s="76">
        <f t="shared" si="307"/>
        <v>1.3503731475067984</v>
      </c>
      <c r="U669" s="76">
        <f t="shared" si="307"/>
        <v>0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1461876.5573925723</v>
      </c>
      <c r="AB669" s="58" t="str">
        <f>IF(ABS(F669-AA669)&lt;0.01,"ok","err")</f>
        <v>ok</v>
      </c>
    </row>
    <row r="670" spans="1:28">
      <c r="A670" s="68" t="s">
        <v>1017</v>
      </c>
      <c r="C670" s="60" t="s">
        <v>1000</v>
      </c>
      <c r="D670" s="60" t="s">
        <v>784</v>
      </c>
      <c r="E670" s="60" t="s">
        <v>1205</v>
      </c>
      <c r="F670" s="79">
        <f>VLOOKUP(C670,'Functional Assignment'!$C$2:$AP$780,'Functional Assignment'!$Y$2,)</f>
        <v>814861.55074281059</v>
      </c>
      <c r="G670" s="79">
        <f t="shared" si="306"/>
        <v>703172.4811111025</v>
      </c>
      <c r="H670" s="79">
        <f t="shared" si="306"/>
        <v>1735.6738217747825</v>
      </c>
      <c r="I670" s="79">
        <f t="shared" si="306"/>
        <v>84677.590754321296</v>
      </c>
      <c r="J670" s="79">
        <f t="shared" si="306"/>
        <v>0</v>
      </c>
      <c r="K670" s="79">
        <f t="shared" si="306"/>
        <v>5194.2286490297511</v>
      </c>
      <c r="L670" s="79">
        <f t="shared" si="306"/>
        <v>0</v>
      </c>
      <c r="M670" s="79">
        <f t="shared" si="306"/>
        <v>942.75320305216928</v>
      </c>
      <c r="N670" s="79">
        <f t="shared" si="306"/>
        <v>0</v>
      </c>
      <c r="O670" s="79">
        <f t="shared" si="306"/>
        <v>0</v>
      </c>
      <c r="P670" s="79">
        <f t="shared" si="306"/>
        <v>18877.468715712253</v>
      </c>
      <c r="Q670" s="79">
        <f t="shared" si="307"/>
        <v>33.39529566558992</v>
      </c>
      <c r="R670" s="79">
        <f t="shared" si="307"/>
        <v>207.42419668068271</v>
      </c>
      <c r="S670" s="79">
        <f t="shared" si="307"/>
        <v>1.8668177701261441</v>
      </c>
      <c r="T670" s="79">
        <f t="shared" si="307"/>
        <v>18.668177701261445</v>
      </c>
      <c r="U670" s="79">
        <f t="shared" si="307"/>
        <v>0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814861.55074281059</v>
      </c>
      <c r="AB670" s="58" t="str">
        <f>IF(ABS(F670-AA670)&lt;0.01,"ok","err")</f>
        <v>ok</v>
      </c>
    </row>
    <row r="671" spans="1:28">
      <c r="A671" s="60" t="s">
        <v>672</v>
      </c>
      <c r="D671" s="60" t="s">
        <v>785</v>
      </c>
      <c r="F671" s="76">
        <f>F669+F670</f>
        <v>2276738.1081353831</v>
      </c>
      <c r="G671" s="76">
        <f t="shared" ref="G671:W671" si="308">G669+G670</f>
        <v>1711532.6315660179</v>
      </c>
      <c r="H671" s="76">
        <f t="shared" si="308"/>
        <v>4745.2860445950027</v>
      </c>
      <c r="I671" s="76">
        <f t="shared" si="308"/>
        <v>246283.05766429938</v>
      </c>
      <c r="J671" s="76">
        <f t="shared" si="308"/>
        <v>0</v>
      </c>
      <c r="K671" s="76">
        <f t="shared" si="308"/>
        <v>158257.14649199092</v>
      </c>
      <c r="L671" s="76">
        <f t="shared" si="308"/>
        <v>0</v>
      </c>
      <c r="M671" s="76">
        <f t="shared" si="308"/>
        <v>128621.4534597267</v>
      </c>
      <c r="N671" s="76">
        <f t="shared" si="308"/>
        <v>0</v>
      </c>
      <c r="O671" s="76">
        <f>O669+O670</f>
        <v>0</v>
      </c>
      <c r="P671" s="76">
        <f t="shared" si="308"/>
        <v>26628.447342737501</v>
      </c>
      <c r="Q671" s="76">
        <f t="shared" si="308"/>
        <v>303.36203937165357</v>
      </c>
      <c r="R671" s="76">
        <f t="shared" si="308"/>
        <v>331.35149363526398</v>
      </c>
      <c r="S671" s="76">
        <f t="shared" si="308"/>
        <v>15.353482159705033</v>
      </c>
      <c r="T671" s="76">
        <f t="shared" si="308"/>
        <v>20.018550848768243</v>
      </c>
      <c r="U671" s="76">
        <f t="shared" si="308"/>
        <v>0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2276738.1081353831</v>
      </c>
      <c r="AB671" s="58" t="str">
        <f>IF(ABS(F671-AA671)&lt;0.01,"ok","err")</f>
        <v>ok</v>
      </c>
    </row>
    <row r="672" spans="1:28">
      <c r="F672" s="79"/>
    </row>
    <row r="673" spans="1:28" ht="14.1">
      <c r="A673" s="65" t="s">
        <v>343</v>
      </c>
      <c r="F673" s="79"/>
    </row>
    <row r="674" spans="1:28">
      <c r="A674" s="68" t="s">
        <v>1017</v>
      </c>
      <c r="C674" s="60" t="s">
        <v>1000</v>
      </c>
      <c r="D674" s="60" t="s">
        <v>786</v>
      </c>
      <c r="E674" s="60" t="s">
        <v>1019</v>
      </c>
      <c r="F674" s="76">
        <f>VLOOKUP(C674,'Functional Assignment'!$C$2:$AP$780,'Functional Assignment'!$Z$2,)</f>
        <v>520998.82129490451</v>
      </c>
      <c r="G674" s="76">
        <f t="shared" ref="G674:Z674" si="309">IF(VLOOKUP($E674,$D$6:$AN$1150,3,)=0,0,(VLOOKUP($E674,$D$6:$AN$1150,G$2,)/VLOOKUP($E674,$D$6:$AN$1150,3,))*$F674)</f>
        <v>447642.66310066014</v>
      </c>
      <c r="H674" s="76">
        <f t="shared" si="309"/>
        <v>1104.9375120961297</v>
      </c>
      <c r="I674" s="76">
        <f t="shared" si="309"/>
        <v>63912.489644665598</v>
      </c>
      <c r="J674" s="76">
        <f t="shared" si="309"/>
        <v>0</v>
      </c>
      <c r="K674" s="76">
        <f t="shared" si="309"/>
        <v>6573.9644513368403</v>
      </c>
      <c r="L674" s="76">
        <f t="shared" si="309"/>
        <v>0</v>
      </c>
      <c r="M674" s="76">
        <f t="shared" si="309"/>
        <v>1762.4038881423946</v>
      </c>
      <c r="N674" s="76">
        <f t="shared" si="309"/>
        <v>0</v>
      </c>
      <c r="O674" s="76">
        <f t="shared" si="309"/>
        <v>0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2.3626980033359883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520998.82129490445</v>
      </c>
      <c r="AB674" s="58" t="str">
        <f>IF(ABS(F674-AA674)&lt;0.01,"ok","err")</f>
        <v>ok</v>
      </c>
    </row>
    <row r="675" spans="1:28">
      <c r="F675" s="79"/>
    </row>
    <row r="676" spans="1:28" ht="14.1">
      <c r="A676" s="65" t="s">
        <v>342</v>
      </c>
      <c r="F676" s="79"/>
    </row>
    <row r="677" spans="1:28">
      <c r="A677" s="68" t="s">
        <v>1017</v>
      </c>
      <c r="C677" s="60" t="s">
        <v>1000</v>
      </c>
      <c r="D677" s="60" t="s">
        <v>787</v>
      </c>
      <c r="E677" s="60" t="s">
        <v>1020</v>
      </c>
      <c r="F677" s="76">
        <f>VLOOKUP(C677,'Functional Assignment'!$C$2:$AP$780,'Functional Assignment'!$AA$2,)</f>
        <v>531328.91262204992</v>
      </c>
      <c r="G677" s="76">
        <f t="shared" ref="G677:Z677" si="310">IF(VLOOKUP($E677,$D$6:$AN$1150,3,)=0,0,(VLOOKUP($E677,$D$6:$AN$1150,G$2,)/VLOOKUP($E677,$D$6:$AN$1150,3,))*$F677)</f>
        <v>362293.61822710821</v>
      </c>
      <c r="H677" s="76">
        <f t="shared" si="310"/>
        <v>894.26643653522603</v>
      </c>
      <c r="I677" s="76">
        <f t="shared" si="310"/>
        <v>112843.85558207975</v>
      </c>
      <c r="J677" s="76">
        <f t="shared" si="310"/>
        <v>3688.4409952161836</v>
      </c>
      <c r="K677" s="76">
        <f t="shared" si="310"/>
        <v>31556.507010444955</v>
      </c>
      <c r="L677" s="76">
        <f t="shared" si="310"/>
        <v>7367.2805990914649</v>
      </c>
      <c r="M677" s="76">
        <f t="shared" si="310"/>
        <v>6238.5260338350954</v>
      </c>
      <c r="N677" s="76">
        <f t="shared" si="310"/>
        <v>5206.4159772527682</v>
      </c>
      <c r="O677" s="76">
        <f t="shared" si="310"/>
        <v>111.96941283595874</v>
      </c>
      <c r="P677" s="76">
        <f t="shared" si="310"/>
        <v>0</v>
      </c>
      <c r="Q677" s="76">
        <f t="shared" si="310"/>
        <v>154.8554947912572</v>
      </c>
      <c r="R677" s="76">
        <f t="shared" si="310"/>
        <v>961.83537137426833</v>
      </c>
      <c r="S677" s="76">
        <f t="shared" si="310"/>
        <v>11.341481484688385</v>
      </c>
      <c r="T677" s="76">
        <f t="shared" si="310"/>
        <v>0</v>
      </c>
      <c r="U677" s="76">
        <f t="shared" si="310"/>
        <v>0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531328.91262204992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4.1">
      <c r="A679" s="65" t="s">
        <v>358</v>
      </c>
      <c r="F679" s="79"/>
    </row>
    <row r="680" spans="1:28">
      <c r="A680" s="68" t="s">
        <v>1017</v>
      </c>
      <c r="C680" s="60" t="s">
        <v>1000</v>
      </c>
      <c r="D680" s="60" t="s">
        <v>788</v>
      </c>
      <c r="E680" s="60" t="s">
        <v>1021</v>
      </c>
      <c r="F680" s="76">
        <f>VLOOKUP(C680,'Functional Assignment'!$C$2:$AP$780,'Functional Assignment'!$AB$2,)</f>
        <v>1717756.5029967262</v>
      </c>
      <c r="G680" s="76">
        <f t="shared" ref="G680:Z680" si="311">IF(VLOOKUP($E680,$D$6:$AN$1150,3,)=0,0,(VLOOKUP($E680,$D$6:$AN$1150,G$2,)/VLOOKUP($E680,$D$6:$AN$1150,3,))*$F680)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1717756.5029967262</v>
      </c>
      <c r="Q680" s="76">
        <f t="shared" si="311"/>
        <v>0</v>
      </c>
      <c r="R680" s="76">
        <f t="shared" si="311"/>
        <v>0</v>
      </c>
      <c r="S680" s="76">
        <f t="shared" si="311"/>
        <v>0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1717756.5029967262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4.1">
      <c r="A682" s="65" t="s">
        <v>949</v>
      </c>
      <c r="F682" s="79"/>
    </row>
    <row r="683" spans="1:28">
      <c r="A683" s="68" t="s">
        <v>1017</v>
      </c>
      <c r="C683" s="60" t="s">
        <v>1000</v>
      </c>
      <c r="D683" s="60" t="s">
        <v>789</v>
      </c>
      <c r="E683" s="60" t="s">
        <v>1022</v>
      </c>
      <c r="F683" s="76">
        <f>VLOOKUP(C683,'Functional Assignment'!$C$2:$AP$780,'Functional Assignment'!$AC$2,)</f>
        <v>0</v>
      </c>
      <c r="G683" s="76">
        <f t="shared" ref="G683:Z683" si="312">IF(VLOOKUP($E683,$D$6:$AN$1150,3,)=0,0,(VLOOKUP($E683,$D$6:$AN$1150,G$2,)/VLOOKUP($E683,$D$6:$AN$1150,3,))*$F683)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4.1">
      <c r="A685" s="65" t="s">
        <v>340</v>
      </c>
      <c r="F685" s="79"/>
    </row>
    <row r="686" spans="1:28">
      <c r="A686" s="68" t="s">
        <v>1017</v>
      </c>
      <c r="C686" s="60" t="s">
        <v>1000</v>
      </c>
      <c r="D686" s="60" t="s">
        <v>790</v>
      </c>
      <c r="E686" s="60" t="s">
        <v>1022</v>
      </c>
      <c r="F686" s="76">
        <f>VLOOKUP(C686,'Functional Assignment'!$C$2:$AP$780,'Functional Assignment'!$AD$2,)</f>
        <v>0</v>
      </c>
      <c r="G686" s="76">
        <f t="shared" ref="G686:Z686" si="313">IF(VLOOKUP($E686,$D$6:$AN$1150,3,)=0,0,(VLOOKUP($E686,$D$6:$AN$1150,G$2,)/VLOOKUP($E686,$D$6:$AN$1150,3,))*$F686)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4.1">
      <c r="A688" s="65" t="s">
        <v>339</v>
      </c>
      <c r="F688" s="79"/>
    </row>
    <row r="689" spans="1:29">
      <c r="A689" s="68" t="s">
        <v>1017</v>
      </c>
      <c r="C689" s="60" t="s">
        <v>1000</v>
      </c>
      <c r="D689" s="60" t="s">
        <v>791</v>
      </c>
      <c r="E689" s="60" t="s">
        <v>1023</v>
      </c>
      <c r="F689" s="76">
        <f>VLOOKUP(C689,'Functional Assignment'!$C$2:$AP$780,'Functional Assignment'!$AE$2,)</f>
        <v>0</v>
      </c>
      <c r="G689" s="76">
        <f t="shared" ref="G689:Z689" si="314">IF(VLOOKUP($E689,$D$6:$AN$1150,3,)=0,0,(VLOOKUP($E689,$D$6:$AN$1150,G$2,)/VLOOKUP($E689,$D$6:$AN$1150,3,))*$F689)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9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9">
      <c r="A691" s="60" t="s">
        <v>846</v>
      </c>
      <c r="D691" s="60" t="s">
        <v>792</v>
      </c>
      <c r="F691" s="76">
        <f>F646+F652+F655+F658+F666+F671+F674+F677+F680+F683+F686+F689</f>
        <v>75433705.043134436</v>
      </c>
      <c r="G691" s="76">
        <f t="shared" ref="G691:Z691" si="315">G646+G652+G655+G658+G666+G671+G674+G677+G680+G683+G686+G689</f>
        <v>38218541.898882881</v>
      </c>
      <c r="H691" s="76">
        <f t="shared" si="315"/>
        <v>87583.183463206195</v>
      </c>
      <c r="I691" s="76">
        <f t="shared" si="315"/>
        <v>8816711.3252257481</v>
      </c>
      <c r="J691" s="76">
        <f t="shared" si="315"/>
        <v>496467.5142994732</v>
      </c>
      <c r="K691" s="76">
        <f t="shared" si="315"/>
        <v>8522330.5338261351</v>
      </c>
      <c r="L691" s="76">
        <f t="shared" si="315"/>
        <v>7239985.428351243</v>
      </c>
      <c r="M691" s="76">
        <f t="shared" si="315"/>
        <v>6448662.4865401536</v>
      </c>
      <c r="N691" s="76">
        <f t="shared" si="315"/>
        <v>3119533.5414673835</v>
      </c>
      <c r="O691" s="76">
        <f>O646+O652+O655+O658+O666+O671+O674+O677+O680+O683+O686+O689</f>
        <v>212428.47524419267</v>
      </c>
      <c r="P691" s="76">
        <f t="shared" si="315"/>
        <v>2246282.6778685777</v>
      </c>
      <c r="Q691" s="76">
        <f t="shared" si="315"/>
        <v>11007.682113804402</v>
      </c>
      <c r="R691" s="76">
        <f t="shared" si="315"/>
        <v>13575.996939492743</v>
      </c>
      <c r="S691" s="76">
        <f t="shared" si="315"/>
        <v>272.66155708878466</v>
      </c>
      <c r="T691" s="76">
        <f t="shared" si="315"/>
        <v>321.63735505793045</v>
      </c>
      <c r="U691" s="76">
        <f t="shared" si="315"/>
        <v>0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75433705.043134451</v>
      </c>
      <c r="AB691" s="58" t="str">
        <f>IF(ABS(F691-AA691)&lt;0.01,"ok","err")</f>
        <v>ok</v>
      </c>
    </row>
    <row r="692" spans="1:29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9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9" ht="14.1">
      <c r="A694" s="65" t="s">
        <v>821</v>
      </c>
    </row>
    <row r="695" spans="1:29">
      <c r="F695" s="80"/>
    </row>
    <row r="696" spans="1:29" ht="14.1">
      <c r="A696" s="65" t="s">
        <v>1036</v>
      </c>
    </row>
    <row r="697" spans="1:29" s="60" customFormat="1">
      <c r="A697" s="68" t="s">
        <v>182</v>
      </c>
      <c r="D697" s="60" t="s">
        <v>1037</v>
      </c>
      <c r="E697" s="60" t="s">
        <v>129</v>
      </c>
      <c r="F697" s="76">
        <f>'Billing Det'!D39</f>
        <v>1066653012.4400001</v>
      </c>
      <c r="G697" s="76">
        <f t="shared" ref="G697:P700" si="316">IF(VLOOKUP($E697,$D$6:$AN$1150,3,)=0,0,(VLOOKUP($E697,$D$6:$AN$1150,G$2,)/VLOOKUP($E697,$D$6:$AN$1150,3,))*$F697)</f>
        <v>430666956.89829952</v>
      </c>
      <c r="H697" s="76">
        <f t="shared" si="316"/>
        <v>1157779.5517004775</v>
      </c>
      <c r="I697" s="76">
        <f t="shared" si="316"/>
        <v>148100588.18000001</v>
      </c>
      <c r="J697" s="76">
        <f t="shared" si="316"/>
        <v>10054861.74</v>
      </c>
      <c r="K697" s="76">
        <f t="shared" si="316"/>
        <v>147448878.13999999</v>
      </c>
      <c r="L697" s="76">
        <f t="shared" si="316"/>
        <v>136688084.54999998</v>
      </c>
      <c r="M697" s="76">
        <f t="shared" si="316"/>
        <v>101626163.23</v>
      </c>
      <c r="N697" s="76">
        <f t="shared" si="316"/>
        <v>64286866.589999996</v>
      </c>
      <c r="O697" s="76">
        <f t="shared" si="316"/>
        <v>3635159.88</v>
      </c>
      <c r="P697" s="76">
        <f t="shared" si="316"/>
        <v>22160939.829999998</v>
      </c>
      <c r="Q697" s="76">
        <f t="shared" ref="Q697:Z700" si="317">IF(VLOOKUP($E697,$D$6:$AN$1150,3,)=0,0,(VLOOKUP($E697,$D$6:$AN$1150,Q$2,)/VLOOKUP($E697,$D$6:$AN$1150,3,))*$F697)</f>
        <v>243958.97</v>
      </c>
      <c r="R697" s="76">
        <f t="shared" si="317"/>
        <v>318741.55000000005</v>
      </c>
      <c r="S697" s="76">
        <f t="shared" si="317"/>
        <v>15468.33</v>
      </c>
      <c r="T697" s="76">
        <f t="shared" si="317"/>
        <v>1533</v>
      </c>
      <c r="U697" s="76">
        <f t="shared" si="317"/>
        <v>237096</v>
      </c>
      <c r="V697" s="76">
        <f t="shared" si="317"/>
        <v>9936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6" si="318">SUM(G697:Z697)</f>
        <v>1066653012.4400001</v>
      </c>
      <c r="AB697" s="93" t="str">
        <f t="shared" ref="AB697:AB705" si="319">IF(ABS(F697-AA697)&lt;0.01,"ok","err")</f>
        <v>ok</v>
      </c>
    </row>
    <row r="698" spans="1:29" s="60" customFormat="1">
      <c r="A698" s="60" t="s">
        <v>1222</v>
      </c>
      <c r="E698" s="60" t="s">
        <v>854</v>
      </c>
      <c r="F698" s="79">
        <f>42910931-6102286-2402925</f>
        <v>34405720</v>
      </c>
      <c r="G698" s="79">
        <f t="shared" si="316"/>
        <v>12333831.623520909</v>
      </c>
      <c r="H698" s="79">
        <f t="shared" si="316"/>
        <v>33135.367869727699</v>
      </c>
      <c r="I698" s="79">
        <f t="shared" si="316"/>
        <v>3656201.1682057143</v>
      </c>
      <c r="J698" s="79">
        <f t="shared" si="316"/>
        <v>309759.26197993307</v>
      </c>
      <c r="K698" s="79">
        <f t="shared" si="316"/>
        <v>4608468.4725286756</v>
      </c>
      <c r="L698" s="79">
        <f t="shared" si="316"/>
        <v>5957247.5283633946</v>
      </c>
      <c r="M698" s="79">
        <f t="shared" si="316"/>
        <v>3934269.0712397015</v>
      </c>
      <c r="N698" s="79">
        <f t="shared" si="316"/>
        <v>3081523.8158901553</v>
      </c>
      <c r="O698" s="79">
        <f t="shared" si="316"/>
        <v>168464.88353543528</v>
      </c>
      <c r="P698" s="79">
        <f t="shared" si="316"/>
        <v>302374.50892361323</v>
      </c>
      <c r="Q698" s="79">
        <f t="shared" si="317"/>
        <v>10531.710314302347</v>
      </c>
      <c r="R698" s="79">
        <f t="shared" si="317"/>
        <v>9821.5711662230988</v>
      </c>
      <c r="S698" s="79">
        <f t="shared" si="317"/>
        <v>35.276514716915592</v>
      </c>
      <c r="T698" s="79">
        <f t="shared" si="317"/>
        <v>55.739947496425074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>SUM(G698:Z698)</f>
        <v>34405720</v>
      </c>
      <c r="AB698" s="93" t="str">
        <f t="shared" ref="AB698" si="320">IF(ABS(F698-AA698)&lt;0.01,"ok","err")</f>
        <v>ok</v>
      </c>
    </row>
    <row r="699" spans="1:29" s="60" customFormat="1">
      <c r="A699" s="60" t="s">
        <v>1318</v>
      </c>
      <c r="E699" s="60" t="s">
        <v>351</v>
      </c>
      <c r="F699" s="79">
        <v>12094529.038746925</v>
      </c>
      <c r="G699" s="79">
        <f t="shared" si="316"/>
        <v>5705469.1667398736</v>
      </c>
      <c r="H699" s="79">
        <f t="shared" si="316"/>
        <v>17495.546061153746</v>
      </c>
      <c r="I699" s="79">
        <f t="shared" si="316"/>
        <v>1397564.5020373219</v>
      </c>
      <c r="J699" s="79">
        <f t="shared" si="316"/>
        <v>91740.519904812856</v>
      </c>
      <c r="K699" s="79">
        <f t="shared" si="316"/>
        <v>1555058.3478075226</v>
      </c>
      <c r="L699" s="79">
        <f t="shared" si="316"/>
        <v>1304109.4478602444</v>
      </c>
      <c r="M699" s="79">
        <f t="shared" si="316"/>
        <v>1234652.0244138078</v>
      </c>
      <c r="N699" s="79">
        <f t="shared" si="316"/>
        <v>643849.32444715034</v>
      </c>
      <c r="O699" s="79">
        <f t="shared" si="316"/>
        <v>41374.20713750671</v>
      </c>
      <c r="P699" s="79">
        <f t="shared" si="316"/>
        <v>98045.723369813772</v>
      </c>
      <c r="Q699" s="79">
        <f t="shared" si="317"/>
        <v>3414.9345451895169</v>
      </c>
      <c r="R699" s="79">
        <f t="shared" si="317"/>
        <v>1567.6138536639089</v>
      </c>
      <c r="S699" s="79">
        <f t="shared" si="317"/>
        <v>170.5990726527987</v>
      </c>
      <c r="T699" s="79">
        <f t="shared" si="317"/>
        <v>17.081496213245202</v>
      </c>
      <c r="U699" s="79">
        <f t="shared" si="317"/>
        <v>0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12094529.038746925</v>
      </c>
      <c r="AB699" s="93" t="str">
        <f t="shared" si="319"/>
        <v>ok</v>
      </c>
    </row>
    <row r="700" spans="1:29" s="60" customFormat="1">
      <c r="A700" s="60" t="s">
        <v>1319</v>
      </c>
      <c r="E700" s="60" t="s">
        <v>1410</v>
      </c>
      <c r="F700" s="79">
        <v>665559.62476718472</v>
      </c>
      <c r="G700" s="79">
        <f t="shared" si="316"/>
        <v>291030.04011126078</v>
      </c>
      <c r="H700" s="79">
        <f t="shared" si="316"/>
        <v>545.63676673410816</v>
      </c>
      <c r="I700" s="79">
        <f t="shared" si="316"/>
        <v>81432.760721969215</v>
      </c>
      <c r="J700" s="79">
        <f t="shared" si="316"/>
        <v>5518.2288157883859</v>
      </c>
      <c r="K700" s="79">
        <f t="shared" si="316"/>
        <v>90786.210068454224</v>
      </c>
      <c r="L700" s="79">
        <f t="shared" si="316"/>
        <v>81949.9518745901</v>
      </c>
      <c r="M700" s="79">
        <f t="shared" si="316"/>
        <v>69721.915873396429</v>
      </c>
      <c r="N700" s="79">
        <f t="shared" si="316"/>
        <v>39612.726309090365</v>
      </c>
      <c r="O700" s="79">
        <f t="shared" si="316"/>
        <v>2351.4552026793936</v>
      </c>
      <c r="P700" s="79">
        <f t="shared" si="316"/>
        <v>2409.9977319712202</v>
      </c>
      <c r="Q700" s="79">
        <f t="shared" si="317"/>
        <v>83.94027017062885</v>
      </c>
      <c r="R700" s="79">
        <f t="shared" si="317"/>
        <v>115.59746928543245</v>
      </c>
      <c r="S700" s="79">
        <f t="shared" si="317"/>
        <v>0.1138791081371311</v>
      </c>
      <c r="T700" s="79">
        <f t="shared" si="317"/>
        <v>1.0496726863170402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>SUM(G700:Z700)</f>
        <v>665559.62476718472</v>
      </c>
      <c r="AB700" s="93" t="str">
        <f t="shared" ref="AB700" si="321">IF(ABS(F700-AA700)&lt;0.01,"ok","err")</f>
        <v>ok</v>
      </c>
    </row>
    <row r="701" spans="1:29" s="60" customFormat="1">
      <c r="A701" s="60" t="s">
        <v>1220</v>
      </c>
      <c r="F701" s="79">
        <v>-2468360</v>
      </c>
      <c r="G701" s="79"/>
      <c r="H701" s="79"/>
      <c r="I701" s="79"/>
      <c r="J701" s="79"/>
      <c r="K701" s="79">
        <f>-K1121</f>
        <v>0</v>
      </c>
      <c r="L701" s="79">
        <f>-L1121</f>
        <v>-142467</v>
      </c>
      <c r="M701" s="79">
        <f>-M1121</f>
        <v>0</v>
      </c>
      <c r="N701" s="79">
        <f>-N1121</f>
        <v>-2325893</v>
      </c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>
        <f>SUM(G701:Z701)</f>
        <v>-2468360</v>
      </c>
      <c r="AB701" s="93" t="str">
        <f t="shared" ref="AB701" si="322">IF(ABS(F701-AA701)&lt;0.01,"ok","err")</f>
        <v>ok</v>
      </c>
    </row>
    <row r="702" spans="1:29" s="60" customFormat="1">
      <c r="A702" s="60" t="s">
        <v>647</v>
      </c>
      <c r="D702" s="60" t="s">
        <v>648</v>
      </c>
      <c r="E702" s="60" t="s">
        <v>684</v>
      </c>
      <c r="F702" s="79">
        <v>2706692.92</v>
      </c>
      <c r="G702" s="79">
        <f t="shared" ref="G702:P705" si="323">IF(VLOOKUP($E702,$D$6:$AN$1150,3,)=0,0,(VLOOKUP($E702,$D$6:$AN$1150,G$2,)/VLOOKUP($E702,$D$6:$AN$1150,3,))*$F702)</f>
        <v>2141952.810637082</v>
      </c>
      <c r="H702" s="79">
        <f t="shared" si="323"/>
        <v>5287.0832132469277</v>
      </c>
      <c r="I702" s="79">
        <f t="shared" si="323"/>
        <v>209025.46765031613</v>
      </c>
      <c r="J702" s="79">
        <f t="shared" si="323"/>
        <v>7004.5440583936861</v>
      </c>
      <c r="K702" s="79">
        <f t="shared" si="323"/>
        <v>278420.34567918465</v>
      </c>
      <c r="L702" s="79">
        <f t="shared" si="323"/>
        <v>13167.994528875361</v>
      </c>
      <c r="M702" s="79">
        <f t="shared" si="323"/>
        <v>50533.330436459211</v>
      </c>
      <c r="N702" s="79">
        <f t="shared" si="323"/>
        <v>1300.8438965588275</v>
      </c>
      <c r="O702" s="79">
        <f t="shared" si="323"/>
        <v>0</v>
      </c>
      <c r="P702" s="79">
        <f t="shared" si="323"/>
        <v>0.49989988309105043</v>
      </c>
      <c r="Q702" s="79">
        <f t="shared" ref="Q702:Z705" si="324">IF(VLOOKUP($E702,$D$6:$AN$1150,3,)=0,0,(VLOOKUP($E702,$D$6:$AN$1150,Q$2,)/VLOOKUP($E702,$D$6:$AN$1150,3,))*$F702)</f>
        <v>0</v>
      </c>
      <c r="R702" s="79">
        <f t="shared" si="324"/>
        <v>0</v>
      </c>
      <c r="S702" s="79">
        <f t="shared" si="324"/>
        <v>0</v>
      </c>
      <c r="T702" s="79">
        <f t="shared" si="324"/>
        <v>0</v>
      </c>
      <c r="U702" s="79">
        <f t="shared" si="324"/>
        <v>0</v>
      </c>
      <c r="V702" s="79">
        <f t="shared" si="324"/>
        <v>0</v>
      </c>
      <c r="W702" s="79">
        <f t="shared" si="324"/>
        <v>0</v>
      </c>
      <c r="X702" s="79">
        <f t="shared" si="324"/>
        <v>0</v>
      </c>
      <c r="Y702" s="79">
        <f t="shared" si="324"/>
        <v>0</v>
      </c>
      <c r="Z702" s="79">
        <f t="shared" si="324"/>
        <v>0</v>
      </c>
      <c r="AA702" s="79">
        <f t="shared" si="318"/>
        <v>2706692.92</v>
      </c>
      <c r="AB702" s="93" t="str">
        <f t="shared" si="319"/>
        <v>ok</v>
      </c>
    </row>
    <row r="703" spans="1:29" s="60" customFormat="1">
      <c r="A703" s="60" t="s">
        <v>649</v>
      </c>
      <c r="D703" s="60" t="s">
        <v>42</v>
      </c>
      <c r="E703" s="60" t="s">
        <v>179</v>
      </c>
      <c r="F703" s="79">
        <v>1545789.287142857</v>
      </c>
      <c r="G703" s="79">
        <f t="shared" si="323"/>
        <v>1471342.7535702854</v>
      </c>
      <c r="H703" s="79">
        <f t="shared" si="323"/>
        <v>3631.7847595438957</v>
      </c>
      <c r="I703" s="79">
        <f t="shared" si="323"/>
        <v>58584.563643341877</v>
      </c>
      <c r="J703" s="79">
        <f t="shared" si="323"/>
        <v>244.46420092602602</v>
      </c>
      <c r="K703" s="79">
        <f t="shared" si="323"/>
        <v>9717.0931841662969</v>
      </c>
      <c r="L703" s="79">
        <f t="shared" si="323"/>
        <v>459.57356159995618</v>
      </c>
      <c r="M703" s="79">
        <f t="shared" si="323"/>
        <v>1763.6537285358747</v>
      </c>
      <c r="N703" s="79">
        <f t="shared" si="323"/>
        <v>45.400494457690549</v>
      </c>
      <c r="O703" s="79">
        <f t="shared" si="323"/>
        <v>0</v>
      </c>
      <c r="P703" s="79">
        <f t="shared" si="323"/>
        <v>0</v>
      </c>
      <c r="Q703" s="79">
        <f t="shared" si="324"/>
        <v>0</v>
      </c>
      <c r="R703" s="79">
        <f t="shared" si="324"/>
        <v>0</v>
      </c>
      <c r="S703" s="79">
        <f t="shared" si="324"/>
        <v>0</v>
      </c>
      <c r="T703" s="79">
        <f t="shared" si="324"/>
        <v>0</v>
      </c>
      <c r="U703" s="79">
        <f t="shared" si="324"/>
        <v>0</v>
      </c>
      <c r="V703" s="79">
        <f t="shared" si="324"/>
        <v>0</v>
      </c>
      <c r="W703" s="79">
        <f t="shared" si="324"/>
        <v>0</v>
      </c>
      <c r="X703" s="79">
        <f t="shared" si="324"/>
        <v>0</v>
      </c>
      <c r="Y703" s="79">
        <f t="shared" si="324"/>
        <v>0</v>
      </c>
      <c r="Z703" s="79">
        <f t="shared" si="324"/>
        <v>0</v>
      </c>
      <c r="AA703" s="79">
        <f t="shared" si="318"/>
        <v>1545789.287142857</v>
      </c>
      <c r="AB703" s="93" t="str">
        <f t="shared" si="319"/>
        <v>ok</v>
      </c>
      <c r="AC703" s="159"/>
    </row>
    <row r="704" spans="1:29" s="60" customFormat="1">
      <c r="A704" s="68" t="s">
        <v>650</v>
      </c>
      <c r="E704" s="60" t="s">
        <v>1323</v>
      </c>
      <c r="F704" s="79">
        <f>3799536.76</f>
        <v>3799536.76</v>
      </c>
      <c r="G704" s="79">
        <f t="shared" si="323"/>
        <v>1920978.7470378361</v>
      </c>
      <c r="H704" s="79">
        <f t="shared" si="323"/>
        <v>4438.3163985065639</v>
      </c>
      <c r="I704" s="79">
        <f t="shared" si="323"/>
        <v>443391.69826980151</v>
      </c>
      <c r="J704" s="79">
        <f t="shared" si="323"/>
        <v>25070.54198447723</v>
      </c>
      <c r="K704" s="79">
        <f t="shared" si="323"/>
        <v>428670.18740373675</v>
      </c>
      <c r="L704" s="79">
        <f t="shared" si="323"/>
        <v>368486.85344741214</v>
      </c>
      <c r="M704" s="79">
        <f t="shared" si="323"/>
        <v>325343.76016627514</v>
      </c>
      <c r="N704" s="79">
        <f t="shared" si="323"/>
        <v>159586.94793813836</v>
      </c>
      <c r="O704" s="79">
        <f t="shared" si="323"/>
        <v>10805.271897098466</v>
      </c>
      <c r="P704" s="79">
        <f t="shared" si="323"/>
        <v>111494.9909859475</v>
      </c>
      <c r="Q704" s="79">
        <f t="shared" si="324"/>
        <v>570.27000022568484</v>
      </c>
      <c r="R704" s="79">
        <f t="shared" si="324"/>
        <v>685.08974128140812</v>
      </c>
      <c r="S704" s="79">
        <f t="shared" si="324"/>
        <v>14.084729262804828</v>
      </c>
      <c r="T704" s="79">
        <f t="shared" si="324"/>
        <v>0</v>
      </c>
      <c r="U704" s="79">
        <f t="shared" si="324"/>
        <v>0</v>
      </c>
      <c r="V704" s="79">
        <f t="shared" si="324"/>
        <v>0</v>
      </c>
      <c r="W704" s="79">
        <f t="shared" si="324"/>
        <v>0</v>
      </c>
      <c r="X704" s="79">
        <f t="shared" si="324"/>
        <v>0</v>
      </c>
      <c r="Y704" s="79">
        <f t="shared" si="324"/>
        <v>0</v>
      </c>
      <c r="Z704" s="79">
        <f t="shared" si="324"/>
        <v>0</v>
      </c>
      <c r="AA704" s="79">
        <f t="shared" si="318"/>
        <v>3799536.7599999993</v>
      </c>
      <c r="AB704" s="93" t="str">
        <f t="shared" si="319"/>
        <v>ok</v>
      </c>
    </row>
    <row r="705" spans="1:28" s="60" customFormat="1">
      <c r="A705" s="68" t="s">
        <v>651</v>
      </c>
      <c r="E705" s="60" t="s">
        <v>1324</v>
      </c>
      <c r="F705" s="79">
        <f>452568.176666668-F706+220887</f>
        <v>662366.82506666798</v>
      </c>
      <c r="G705" s="79">
        <f t="shared" si="323"/>
        <v>334880.97998978104</v>
      </c>
      <c r="H705" s="79">
        <f t="shared" si="323"/>
        <v>773.72420039966175</v>
      </c>
      <c r="I705" s="79">
        <f t="shared" si="323"/>
        <v>77295.725767339711</v>
      </c>
      <c r="J705" s="79">
        <f t="shared" si="323"/>
        <v>4370.5052341588043</v>
      </c>
      <c r="K705" s="79">
        <f t="shared" si="323"/>
        <v>74729.349646125469</v>
      </c>
      <c r="L705" s="79">
        <f t="shared" si="323"/>
        <v>64237.690701213003</v>
      </c>
      <c r="M705" s="79">
        <f t="shared" si="323"/>
        <v>56716.628128263495</v>
      </c>
      <c r="N705" s="79">
        <f t="shared" si="323"/>
        <v>27820.523054464236</v>
      </c>
      <c r="O705" s="79">
        <f t="shared" si="323"/>
        <v>1883.6647971957518</v>
      </c>
      <c r="P705" s="79">
        <f t="shared" si="323"/>
        <v>19436.733437525374</v>
      </c>
      <c r="Q705" s="79">
        <f t="shared" si="324"/>
        <v>99.414205820252391</v>
      </c>
      <c r="R705" s="79">
        <f t="shared" si="324"/>
        <v>119.43053732116314</v>
      </c>
      <c r="S705" s="79">
        <f t="shared" si="324"/>
        <v>2.4553670599906567</v>
      </c>
      <c r="T705" s="79">
        <f t="shared" si="324"/>
        <v>0</v>
      </c>
      <c r="U705" s="79">
        <f t="shared" si="324"/>
        <v>0</v>
      </c>
      <c r="V705" s="79">
        <f t="shared" si="324"/>
        <v>0</v>
      </c>
      <c r="W705" s="79">
        <f t="shared" si="324"/>
        <v>0</v>
      </c>
      <c r="X705" s="79">
        <f t="shared" si="324"/>
        <v>0</v>
      </c>
      <c r="Y705" s="79">
        <f t="shared" si="324"/>
        <v>0</v>
      </c>
      <c r="Z705" s="79">
        <f t="shared" si="324"/>
        <v>0</v>
      </c>
      <c r="AA705" s="79">
        <f t="shared" si="318"/>
        <v>662366.82506666798</v>
      </c>
      <c r="AB705" s="93" t="str">
        <f t="shared" si="319"/>
        <v>ok</v>
      </c>
    </row>
    <row r="706" spans="1:28" s="60" customFormat="1">
      <c r="A706" s="68" t="s">
        <v>1320</v>
      </c>
      <c r="F706" s="79">
        <v>11088.351600000002</v>
      </c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>
        <f>F706</f>
        <v>11088.351600000002</v>
      </c>
      <c r="U706" s="79">
        <v>0</v>
      </c>
      <c r="V706" s="79"/>
      <c r="W706" s="79"/>
      <c r="X706" s="79"/>
      <c r="Y706" s="79"/>
      <c r="Z706" s="79"/>
      <c r="AA706" s="79">
        <f t="shared" si="318"/>
        <v>11088.351600000002</v>
      </c>
      <c r="AB706" s="93" t="str">
        <f t="shared" ref="AB706" si="325">IF(ABS(F706-AA706)&lt;0.01,"ok","err")</f>
        <v>ok</v>
      </c>
    </row>
    <row r="707" spans="1:28" s="60" customFormat="1" hidden="1">
      <c r="A707" s="68" t="s">
        <v>1408</v>
      </c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>
        <f t="shared" ref="AA707" si="326">SUM(G707:Z707)</f>
        <v>0</v>
      </c>
      <c r="AB707" s="144" t="str">
        <f t="shared" ref="AB707" si="327">IF(ABS(F707-AA707)&lt;0.01,"ok","err")</f>
        <v>ok</v>
      </c>
    </row>
    <row r="708" spans="1:28" s="60" customFormat="1">
      <c r="AA708" s="80"/>
    </row>
    <row r="709" spans="1:28" s="60" customFormat="1">
      <c r="A709" s="60" t="s">
        <v>1038</v>
      </c>
      <c r="D709" s="60" t="s">
        <v>1039</v>
      </c>
      <c r="F709" s="80">
        <f t="shared" ref="F709:Z709" si="328">SUM(F697:F708)</f>
        <v>1120075935.2473235</v>
      </c>
      <c r="G709" s="80">
        <f t="shared" si="328"/>
        <v>454866443.01990646</v>
      </c>
      <c r="H709" s="80">
        <f t="shared" si="328"/>
        <v>1223087.0109697899</v>
      </c>
      <c r="I709" s="80">
        <f t="shared" si="328"/>
        <v>154024084.06629583</v>
      </c>
      <c r="J709" s="80">
        <f t="shared" si="328"/>
        <v>10498569.806178493</v>
      </c>
      <c r="K709" s="80">
        <f t="shared" si="328"/>
        <v>154494728.14631787</v>
      </c>
      <c r="L709" s="80">
        <f t="shared" si="328"/>
        <v>144335276.59033734</v>
      </c>
      <c r="M709" s="80">
        <f t="shared" si="328"/>
        <v>107299163.61398642</v>
      </c>
      <c r="N709" s="80">
        <f t="shared" si="328"/>
        <v>65914713.172030017</v>
      </c>
      <c r="O709" s="80">
        <f t="shared" si="328"/>
        <v>3860039.3625699161</v>
      </c>
      <c r="P709" s="80">
        <f t="shared" si="328"/>
        <v>22694702.284348756</v>
      </c>
      <c r="Q709" s="80">
        <f t="shared" si="328"/>
        <v>258659.23933570844</v>
      </c>
      <c r="R709" s="80">
        <f t="shared" si="328"/>
        <v>331050.85276777501</v>
      </c>
      <c r="S709" s="80">
        <f t="shared" si="328"/>
        <v>15690.859562800646</v>
      </c>
      <c r="T709" s="80">
        <f t="shared" si="328"/>
        <v>12695.222716395989</v>
      </c>
      <c r="U709" s="80">
        <f t="shared" si="328"/>
        <v>237096</v>
      </c>
      <c r="V709" s="80">
        <f t="shared" si="328"/>
        <v>9936</v>
      </c>
      <c r="W709" s="80">
        <f t="shared" si="328"/>
        <v>0</v>
      </c>
      <c r="X709" s="80">
        <f t="shared" si="328"/>
        <v>0</v>
      </c>
      <c r="Y709" s="80">
        <f t="shared" si="328"/>
        <v>0</v>
      </c>
      <c r="Z709" s="80">
        <f t="shared" si="328"/>
        <v>0</v>
      </c>
      <c r="AA709" s="80">
        <f>SUM(G709:Z709)</f>
        <v>1120075935.2473235</v>
      </c>
      <c r="AB709" s="93" t="str">
        <f>IF(ABS(F709-AA709)&lt;0.01,"ok","err")</f>
        <v>ok</v>
      </c>
    </row>
    <row r="710" spans="1:28" s="60" customFormat="1">
      <c r="C710" s="80"/>
      <c r="D710" s="80"/>
      <c r="E710" s="80"/>
      <c r="F710" s="80"/>
      <c r="G710" s="80"/>
      <c r="H710" s="80"/>
      <c r="I710" s="80"/>
    </row>
    <row r="711" spans="1:28" s="60" customFormat="1" ht="14.1">
      <c r="A711" s="65" t="s">
        <v>1040</v>
      </c>
      <c r="F711" s="80"/>
      <c r="G711" s="80"/>
    </row>
    <row r="712" spans="1:28" s="60" customFormat="1">
      <c r="A712" s="68" t="s">
        <v>1041</v>
      </c>
      <c r="F712" s="80">
        <f t="shared" ref="F712:Z712" si="329">F233</f>
        <v>643436661.24131227</v>
      </c>
      <c r="G712" s="80">
        <f t="shared" si="329"/>
        <v>278465752.40621531</v>
      </c>
      <c r="H712" s="80">
        <f t="shared" si="329"/>
        <v>707494.56579689239</v>
      </c>
      <c r="I712" s="80">
        <f t="shared" si="329"/>
        <v>73711390.713541612</v>
      </c>
      <c r="J712" s="80">
        <f t="shared" si="329"/>
        <v>5054451.6343531748</v>
      </c>
      <c r="K712" s="80">
        <f t="shared" si="329"/>
        <v>78033557.201062396</v>
      </c>
      <c r="L712" s="80">
        <f t="shared" si="329"/>
        <v>89085516.423879668</v>
      </c>
      <c r="M712" s="80">
        <f t="shared" si="329"/>
        <v>63831084.879150748</v>
      </c>
      <c r="N712" s="80">
        <f t="shared" si="329"/>
        <v>44246128.238391086</v>
      </c>
      <c r="O712" s="80">
        <f t="shared" si="329"/>
        <v>2539872.5921789329</v>
      </c>
      <c r="P712" s="80">
        <f t="shared" si="329"/>
        <v>7312220.6606835518</v>
      </c>
      <c r="Q712" s="80">
        <f t="shared" si="329"/>
        <v>159176.3667899883</v>
      </c>
      <c r="R712" s="80">
        <f t="shared" si="329"/>
        <v>179674.04525289033</v>
      </c>
      <c r="S712" s="80">
        <f t="shared" si="329"/>
        <v>1862.0712958148063</v>
      </c>
      <c r="T712" s="80">
        <f t="shared" si="329"/>
        <v>26576.442720333296</v>
      </c>
      <c r="U712" s="80">
        <f t="shared" si="329"/>
        <v>71903</v>
      </c>
      <c r="V712" s="80">
        <f t="shared" si="329"/>
        <v>10000</v>
      </c>
      <c r="W712" s="80">
        <f t="shared" si="329"/>
        <v>0</v>
      </c>
      <c r="X712" s="80">
        <f t="shared" si="329"/>
        <v>0</v>
      </c>
      <c r="Y712" s="80">
        <f t="shared" si="329"/>
        <v>0</v>
      </c>
      <c r="Z712" s="80">
        <f t="shared" si="329"/>
        <v>0</v>
      </c>
      <c r="AA712" s="80">
        <f t="shared" ref="AA712:AA718" si="330">SUM(G712:Z712)</f>
        <v>643436661.24131238</v>
      </c>
      <c r="AB712" s="93" t="str">
        <f t="shared" ref="AB712:AB721" si="331">IF(ABS(F712-AA712)&lt;0.01,"ok","err")</f>
        <v>ok</v>
      </c>
    </row>
    <row r="713" spans="1:28" s="60" customFormat="1">
      <c r="A713" s="68" t="s">
        <v>1177</v>
      </c>
      <c r="F713" s="79">
        <f t="shared" ref="F713:Z713" si="332">F347</f>
        <v>277122835.61762834</v>
      </c>
      <c r="G713" s="79">
        <f t="shared" si="332"/>
        <v>132741133.13643135</v>
      </c>
      <c r="H713" s="79">
        <f t="shared" si="332"/>
        <v>283469.76320816984</v>
      </c>
      <c r="I713" s="79">
        <f t="shared" si="332"/>
        <v>32982691.122442532</v>
      </c>
      <c r="J713" s="79">
        <f t="shared" si="332"/>
        <v>2010393.9631165694</v>
      </c>
      <c r="K713" s="79">
        <f t="shared" si="332"/>
        <v>33860270.313709497</v>
      </c>
      <c r="L713" s="79">
        <f t="shared" si="332"/>
        <v>29568921.879067402</v>
      </c>
      <c r="M713" s="79">
        <f t="shared" si="332"/>
        <v>25784438.975284874</v>
      </c>
      <c r="N713" s="79">
        <f t="shared" si="332"/>
        <v>13443513.007543452</v>
      </c>
      <c r="O713" s="79">
        <f t="shared" si="332"/>
        <v>858366.52984042082</v>
      </c>
      <c r="P713" s="79">
        <f t="shared" si="332"/>
        <v>5395556.3271758882</v>
      </c>
      <c r="Q713" s="79">
        <f t="shared" si="332"/>
        <v>38012.459275250396</v>
      </c>
      <c r="R713" s="79">
        <f t="shared" si="332"/>
        <v>49212.724711325078</v>
      </c>
      <c r="S713" s="79">
        <f t="shared" si="332"/>
        <v>603.62521525567001</v>
      </c>
      <c r="T713" s="79">
        <f t="shared" si="332"/>
        <v>19227.856398095297</v>
      </c>
      <c r="U713" s="79">
        <f t="shared" si="332"/>
        <v>83869.534208333309</v>
      </c>
      <c r="V713" s="79">
        <f t="shared" si="332"/>
        <v>3154.4</v>
      </c>
      <c r="W713" s="79">
        <f t="shared" si="332"/>
        <v>0</v>
      </c>
      <c r="X713" s="79">
        <f t="shared" si="332"/>
        <v>0</v>
      </c>
      <c r="Y713" s="79">
        <f t="shared" si="332"/>
        <v>0</v>
      </c>
      <c r="Z713" s="79">
        <f t="shared" si="332"/>
        <v>0</v>
      </c>
      <c r="AA713" s="79">
        <f t="shared" si="330"/>
        <v>277122835.6176284</v>
      </c>
      <c r="AB713" s="93" t="str">
        <f t="shared" si="331"/>
        <v>ok</v>
      </c>
    </row>
    <row r="714" spans="1:28" s="60" customFormat="1">
      <c r="A714" s="111" t="s">
        <v>270</v>
      </c>
      <c r="F714" s="79">
        <f t="shared" ref="F714:Z714" si="333">F405</f>
        <v>0</v>
      </c>
      <c r="G714" s="79">
        <f t="shared" si="333"/>
        <v>0</v>
      </c>
      <c r="H714" s="79">
        <f t="shared" si="333"/>
        <v>0</v>
      </c>
      <c r="I714" s="79">
        <f t="shared" si="333"/>
        <v>0</v>
      </c>
      <c r="J714" s="79">
        <f t="shared" si="333"/>
        <v>0</v>
      </c>
      <c r="K714" s="79">
        <f t="shared" si="333"/>
        <v>0</v>
      </c>
      <c r="L714" s="79">
        <f t="shared" si="333"/>
        <v>0</v>
      </c>
      <c r="M714" s="79">
        <f t="shared" si="333"/>
        <v>0</v>
      </c>
      <c r="N714" s="79">
        <f t="shared" si="333"/>
        <v>0</v>
      </c>
      <c r="O714" s="79">
        <f t="shared" si="333"/>
        <v>0</v>
      </c>
      <c r="P714" s="79">
        <f t="shared" si="333"/>
        <v>0</v>
      </c>
      <c r="Q714" s="79">
        <f t="shared" si="333"/>
        <v>0</v>
      </c>
      <c r="R714" s="79">
        <f t="shared" si="333"/>
        <v>0</v>
      </c>
      <c r="S714" s="79">
        <f t="shared" si="333"/>
        <v>0</v>
      </c>
      <c r="T714" s="79">
        <f t="shared" si="333"/>
        <v>0</v>
      </c>
      <c r="U714" s="79">
        <f t="shared" si="333"/>
        <v>0</v>
      </c>
      <c r="V714" s="79">
        <f t="shared" si="333"/>
        <v>0</v>
      </c>
      <c r="W714" s="79">
        <f t="shared" si="333"/>
        <v>0</v>
      </c>
      <c r="X714" s="79">
        <f t="shared" si="333"/>
        <v>0</v>
      </c>
      <c r="Y714" s="79">
        <f t="shared" si="333"/>
        <v>0</v>
      </c>
      <c r="Z714" s="79">
        <f t="shared" si="333"/>
        <v>0</v>
      </c>
      <c r="AA714" s="79">
        <f>SUM(G714:Z714)</f>
        <v>0</v>
      </c>
      <c r="AB714" s="93" t="str">
        <f t="shared" si="331"/>
        <v>ok</v>
      </c>
    </row>
    <row r="715" spans="1:28" s="60" customFormat="1">
      <c r="A715" s="68" t="s">
        <v>762</v>
      </c>
      <c r="F715" s="79">
        <f t="shared" ref="F715:Z715" si="334">F462</f>
        <v>0</v>
      </c>
      <c r="G715" s="79">
        <f t="shared" si="334"/>
        <v>0</v>
      </c>
      <c r="H715" s="79">
        <f t="shared" si="334"/>
        <v>0</v>
      </c>
      <c r="I715" s="79">
        <f t="shared" si="334"/>
        <v>0</v>
      </c>
      <c r="J715" s="79">
        <f t="shared" si="334"/>
        <v>0</v>
      </c>
      <c r="K715" s="79">
        <f t="shared" si="334"/>
        <v>0</v>
      </c>
      <c r="L715" s="79">
        <f t="shared" si="334"/>
        <v>0</v>
      </c>
      <c r="M715" s="79">
        <f t="shared" si="334"/>
        <v>0</v>
      </c>
      <c r="N715" s="79">
        <f t="shared" si="334"/>
        <v>0</v>
      </c>
      <c r="O715" s="79">
        <f t="shared" si="334"/>
        <v>0</v>
      </c>
      <c r="P715" s="79">
        <f t="shared" si="334"/>
        <v>0</v>
      </c>
      <c r="Q715" s="79">
        <f t="shared" si="334"/>
        <v>0</v>
      </c>
      <c r="R715" s="79">
        <f t="shared" si="334"/>
        <v>0</v>
      </c>
      <c r="S715" s="79">
        <f t="shared" si="334"/>
        <v>0</v>
      </c>
      <c r="T715" s="79">
        <f t="shared" si="334"/>
        <v>0</v>
      </c>
      <c r="U715" s="79">
        <f t="shared" si="334"/>
        <v>0</v>
      </c>
      <c r="V715" s="79">
        <f t="shared" si="334"/>
        <v>0</v>
      </c>
      <c r="W715" s="79">
        <f t="shared" si="334"/>
        <v>0</v>
      </c>
      <c r="X715" s="79">
        <f t="shared" si="334"/>
        <v>0</v>
      </c>
      <c r="Y715" s="79">
        <f t="shared" si="334"/>
        <v>0</v>
      </c>
      <c r="Z715" s="79">
        <f t="shared" si="334"/>
        <v>0</v>
      </c>
      <c r="AA715" s="79">
        <f>SUM(G715:Z715)</f>
        <v>0</v>
      </c>
      <c r="AB715" s="93" t="str">
        <f t="shared" si="331"/>
        <v>ok</v>
      </c>
    </row>
    <row r="716" spans="1:28" s="60" customFormat="1">
      <c r="A716" s="60" t="s">
        <v>1092</v>
      </c>
      <c r="E716" s="60" t="s">
        <v>514</v>
      </c>
      <c r="F716" s="79">
        <v>0</v>
      </c>
      <c r="G716" s="79">
        <f t="shared" ref="G716:P717" si="335">IF(VLOOKUP($E716,$D$6:$AN$1150,3,)=0,0,(VLOOKUP($E716,$D$6:$AN$1150,G$2,)/VLOOKUP($E716,$D$6:$AN$1150,3,))*$F716)</f>
        <v>0</v>
      </c>
      <c r="H716" s="79">
        <f t="shared" si="335"/>
        <v>0</v>
      </c>
      <c r="I716" s="79">
        <f t="shared" si="335"/>
        <v>0</v>
      </c>
      <c r="J716" s="79">
        <f t="shared" si="335"/>
        <v>0</v>
      </c>
      <c r="K716" s="79">
        <f t="shared" si="335"/>
        <v>0</v>
      </c>
      <c r="L716" s="79">
        <f t="shared" si="335"/>
        <v>0</v>
      </c>
      <c r="M716" s="79">
        <f t="shared" si="335"/>
        <v>0</v>
      </c>
      <c r="N716" s="79">
        <f t="shared" si="335"/>
        <v>0</v>
      </c>
      <c r="O716" s="79">
        <f t="shared" si="335"/>
        <v>0</v>
      </c>
      <c r="P716" s="79">
        <f t="shared" si="335"/>
        <v>0</v>
      </c>
      <c r="Q716" s="79">
        <f t="shared" ref="Q716:Z717" si="336">IF(VLOOKUP($E716,$D$6:$AN$1150,3,)=0,0,(VLOOKUP($E716,$D$6:$AN$1150,Q$2,)/VLOOKUP($E716,$D$6:$AN$1150,3,))*$F716)</f>
        <v>0</v>
      </c>
      <c r="R716" s="79">
        <f t="shared" si="336"/>
        <v>0</v>
      </c>
      <c r="S716" s="79">
        <f t="shared" si="336"/>
        <v>0</v>
      </c>
      <c r="T716" s="79">
        <f t="shared" si="336"/>
        <v>0</v>
      </c>
      <c r="U716" s="79">
        <f t="shared" si="336"/>
        <v>0</v>
      </c>
      <c r="V716" s="79">
        <f t="shared" si="336"/>
        <v>0</v>
      </c>
      <c r="W716" s="79">
        <f t="shared" si="336"/>
        <v>0</v>
      </c>
      <c r="X716" s="79">
        <f t="shared" si="336"/>
        <v>0</v>
      </c>
      <c r="Y716" s="79">
        <f t="shared" si="336"/>
        <v>0</v>
      </c>
      <c r="Z716" s="79">
        <f t="shared" si="336"/>
        <v>0</v>
      </c>
      <c r="AA716" s="79">
        <f>SUM(G716:Z716)</f>
        <v>0</v>
      </c>
      <c r="AB716" s="93" t="str">
        <f t="shared" si="331"/>
        <v>ok</v>
      </c>
    </row>
    <row r="717" spans="1:28" s="60" customFormat="1">
      <c r="A717" s="60" t="s">
        <v>1093</v>
      </c>
      <c r="E717" s="60" t="s">
        <v>514</v>
      </c>
      <c r="F717" s="79">
        <v>0</v>
      </c>
      <c r="G717" s="79">
        <f t="shared" si="335"/>
        <v>0</v>
      </c>
      <c r="H717" s="79">
        <f t="shared" si="335"/>
        <v>0</v>
      </c>
      <c r="I717" s="79">
        <f t="shared" si="335"/>
        <v>0</v>
      </c>
      <c r="J717" s="79">
        <f t="shared" si="335"/>
        <v>0</v>
      </c>
      <c r="K717" s="79">
        <f t="shared" si="335"/>
        <v>0</v>
      </c>
      <c r="L717" s="79">
        <f t="shared" si="335"/>
        <v>0</v>
      </c>
      <c r="M717" s="79">
        <f t="shared" si="335"/>
        <v>0</v>
      </c>
      <c r="N717" s="79">
        <f t="shared" si="335"/>
        <v>0</v>
      </c>
      <c r="O717" s="79">
        <f t="shared" si="335"/>
        <v>0</v>
      </c>
      <c r="P717" s="79">
        <f t="shared" si="335"/>
        <v>0</v>
      </c>
      <c r="Q717" s="79">
        <f t="shared" si="336"/>
        <v>0</v>
      </c>
      <c r="R717" s="79">
        <f t="shared" si="336"/>
        <v>0</v>
      </c>
      <c r="S717" s="79">
        <f t="shared" si="336"/>
        <v>0</v>
      </c>
      <c r="T717" s="79">
        <f t="shared" si="336"/>
        <v>0</v>
      </c>
      <c r="U717" s="79">
        <f t="shared" si="336"/>
        <v>0</v>
      </c>
      <c r="V717" s="79">
        <f t="shared" si="336"/>
        <v>0</v>
      </c>
      <c r="W717" s="79">
        <f t="shared" si="336"/>
        <v>0</v>
      </c>
      <c r="X717" s="79">
        <f t="shared" si="336"/>
        <v>0</v>
      </c>
      <c r="Y717" s="79">
        <f t="shared" si="336"/>
        <v>0</v>
      </c>
      <c r="Z717" s="79">
        <f t="shared" si="336"/>
        <v>0</v>
      </c>
      <c r="AA717" s="79">
        <f>SUM(G717:Z717)</f>
        <v>0</v>
      </c>
      <c r="AB717" s="93" t="str">
        <f t="shared" si="331"/>
        <v>ok</v>
      </c>
    </row>
    <row r="718" spans="1:28" s="60" customFormat="1">
      <c r="A718" s="68" t="s">
        <v>686</v>
      </c>
      <c r="E718" s="60" t="s">
        <v>1025</v>
      </c>
      <c r="F718" s="79">
        <f t="shared" ref="F718:Z718" si="337">F519</f>
        <v>42336722.113755003</v>
      </c>
      <c r="G718" s="79">
        <f t="shared" si="337"/>
        <v>21446653.812674347</v>
      </c>
      <c r="H718" s="79">
        <f t="shared" si="337"/>
        <v>49148.312127757221</v>
      </c>
      <c r="I718" s="79">
        <f t="shared" si="337"/>
        <v>4947352.1160335205</v>
      </c>
      <c r="J718" s="79">
        <f t="shared" si="337"/>
        <v>278593.42244457948</v>
      </c>
      <c r="K718" s="79">
        <f t="shared" si="337"/>
        <v>4782497.6942331512</v>
      </c>
      <c r="L718" s="79">
        <f t="shared" si="337"/>
        <v>4062955.3368299073</v>
      </c>
      <c r="M718" s="79">
        <f t="shared" si="337"/>
        <v>3618896.3707772121</v>
      </c>
      <c r="N718" s="79">
        <f t="shared" si="337"/>
        <v>1750596.9582666915</v>
      </c>
      <c r="O718" s="79">
        <f t="shared" si="337"/>
        <v>119211.99827174637</v>
      </c>
      <c r="P718" s="79">
        <f t="shared" si="337"/>
        <v>1260700.9519828863</v>
      </c>
      <c r="Q718" s="79">
        <f t="shared" si="337"/>
        <v>6176.7964595694148</v>
      </c>
      <c r="R718" s="79">
        <f t="shared" si="337"/>
        <v>7614.0062368012786</v>
      </c>
      <c r="S718" s="79">
        <f t="shared" si="337"/>
        <v>152.97171819861433</v>
      </c>
      <c r="T718" s="79">
        <f t="shared" si="337"/>
        <v>2869.9743259182164</v>
      </c>
      <c r="U718" s="79">
        <f t="shared" si="337"/>
        <v>3190.2719496980626</v>
      </c>
      <c r="V718" s="79">
        <f t="shared" si="337"/>
        <v>111.11942302474998</v>
      </c>
      <c r="W718" s="79">
        <f t="shared" si="337"/>
        <v>0</v>
      </c>
      <c r="X718" s="79">
        <f t="shared" si="337"/>
        <v>0</v>
      </c>
      <c r="Y718" s="79">
        <f t="shared" si="337"/>
        <v>0</v>
      </c>
      <c r="Z718" s="79">
        <f t="shared" si="337"/>
        <v>0</v>
      </c>
      <c r="AA718" s="79">
        <f t="shared" si="330"/>
        <v>42336722.11375501</v>
      </c>
      <c r="AB718" s="93" t="str">
        <f t="shared" si="331"/>
        <v>ok</v>
      </c>
    </row>
    <row r="719" spans="1:28" s="60" customFormat="1">
      <c r="A719" s="68" t="s">
        <v>687</v>
      </c>
      <c r="F719" s="79">
        <f t="shared" ref="F719:Z719" si="338">F576</f>
        <v>-916996.00000000012</v>
      </c>
      <c r="G719" s="79">
        <f t="shared" si="338"/>
        <v>-458419.36499055044</v>
      </c>
      <c r="H719" s="79">
        <f t="shared" si="338"/>
        <v>-1053.1073582744557</v>
      </c>
      <c r="I719" s="79">
        <f t="shared" si="338"/>
        <v>-105450.26299389213</v>
      </c>
      <c r="J719" s="79">
        <f t="shared" si="338"/>
        <v>-5918.0877530716471</v>
      </c>
      <c r="K719" s="79">
        <f t="shared" si="338"/>
        <v>-101673.14294938931</v>
      </c>
      <c r="L719" s="79">
        <f t="shared" si="338"/>
        <v>-86272.106048715475</v>
      </c>
      <c r="M719" s="79">
        <f t="shared" si="338"/>
        <v>-76912.08303840326</v>
      </c>
      <c r="N719" s="79">
        <f t="shared" si="338"/>
        <v>-37081.227646483654</v>
      </c>
      <c r="O719" s="79">
        <f t="shared" si="338"/>
        <v>-2532.4364051510638</v>
      </c>
      <c r="P719" s="79">
        <f t="shared" si="338"/>
        <v>-27255.36937961269</v>
      </c>
      <c r="Q719" s="79">
        <f t="shared" si="338"/>
        <v>-132.03117377715284</v>
      </c>
      <c r="R719" s="79">
        <f t="shared" si="338"/>
        <v>-162.58047420972179</v>
      </c>
      <c r="S719" s="79">
        <f t="shared" si="338"/>
        <v>-3.3121430405708665</v>
      </c>
      <c r="T719" s="79">
        <f t="shared" si="338"/>
        <v>-3.887645428450861</v>
      </c>
      <c r="U719" s="79">
        <f t="shared" si="338"/>
        <v>-13727.717595343111</v>
      </c>
      <c r="V719" s="79">
        <f t="shared" si="338"/>
        <v>-399.28240465688896</v>
      </c>
      <c r="W719" s="79">
        <f t="shared" si="338"/>
        <v>0</v>
      </c>
      <c r="X719" s="79">
        <f t="shared" si="338"/>
        <v>0</v>
      </c>
      <c r="Y719" s="79">
        <f t="shared" si="338"/>
        <v>0</v>
      </c>
      <c r="Z719" s="79">
        <f t="shared" si="338"/>
        <v>0</v>
      </c>
      <c r="AA719" s="79">
        <f>SUM(G719:Z719)</f>
        <v>-916996.00000000023</v>
      </c>
      <c r="AB719" s="93" t="str">
        <f t="shared" si="331"/>
        <v>ok</v>
      </c>
    </row>
    <row r="720" spans="1:28" s="60" customFormat="1">
      <c r="A720" s="68" t="s">
        <v>652</v>
      </c>
      <c r="F720" s="79">
        <f t="shared" ref="F720:Z720" si="339">F634</f>
        <v>0</v>
      </c>
      <c r="G720" s="79">
        <f t="shared" si="339"/>
        <v>0</v>
      </c>
      <c r="H720" s="79">
        <f t="shared" si="339"/>
        <v>0</v>
      </c>
      <c r="I720" s="79">
        <f t="shared" si="339"/>
        <v>0</v>
      </c>
      <c r="J720" s="79">
        <f t="shared" si="339"/>
        <v>0</v>
      </c>
      <c r="K720" s="79">
        <f t="shared" si="339"/>
        <v>0</v>
      </c>
      <c r="L720" s="79">
        <f t="shared" si="339"/>
        <v>0</v>
      </c>
      <c r="M720" s="79">
        <f t="shared" si="339"/>
        <v>0</v>
      </c>
      <c r="N720" s="79">
        <f t="shared" si="339"/>
        <v>0</v>
      </c>
      <c r="O720" s="79">
        <f t="shared" si="339"/>
        <v>0</v>
      </c>
      <c r="P720" s="79">
        <f t="shared" si="339"/>
        <v>0</v>
      </c>
      <c r="Q720" s="79">
        <f t="shared" si="339"/>
        <v>0</v>
      </c>
      <c r="R720" s="79">
        <f t="shared" si="339"/>
        <v>0</v>
      </c>
      <c r="S720" s="79">
        <f t="shared" si="339"/>
        <v>0</v>
      </c>
      <c r="T720" s="79">
        <f t="shared" si="339"/>
        <v>0</v>
      </c>
      <c r="U720" s="79">
        <f t="shared" si="339"/>
        <v>0</v>
      </c>
      <c r="V720" s="79">
        <f t="shared" si="339"/>
        <v>0</v>
      </c>
      <c r="W720" s="79">
        <f t="shared" si="339"/>
        <v>0</v>
      </c>
      <c r="X720" s="79">
        <f t="shared" si="339"/>
        <v>0</v>
      </c>
      <c r="Y720" s="79">
        <f t="shared" si="339"/>
        <v>0</v>
      </c>
      <c r="Z720" s="79">
        <f t="shared" si="339"/>
        <v>0</v>
      </c>
      <c r="AA720" s="79">
        <f>SUM(G720:Z720)</f>
        <v>0</v>
      </c>
      <c r="AB720" s="93" t="str">
        <f t="shared" si="331"/>
        <v>ok</v>
      </c>
    </row>
    <row r="721" spans="1:28" s="60" customFormat="1" ht="15.75" customHeight="1">
      <c r="A721" s="68" t="s">
        <v>196</v>
      </c>
      <c r="E721" s="60" t="s">
        <v>796</v>
      </c>
      <c r="F721" s="143">
        <v>7757584.4088109927</v>
      </c>
      <c r="G721" s="143">
        <f t="shared" ref="G721:Z721" si="340">IF(VLOOKUP($E721,$D$6:$AN$1150,3,)=0,0,(VLOOKUP($E721,$D$6:$AN$1150,G$2,)/VLOOKUP($E721,$D$6:$AN$1150,3,))*$F721)</f>
        <v>-1459042.7658063322</v>
      </c>
      <c r="H721" s="143">
        <f t="shared" si="340"/>
        <v>9050.9016600282412</v>
      </c>
      <c r="I721" s="143">
        <f t="shared" si="340"/>
        <v>3159921.8499474893</v>
      </c>
      <c r="J721" s="143">
        <f t="shared" si="340"/>
        <v>250060.03899988401</v>
      </c>
      <c r="K721" s="143">
        <f t="shared" si="340"/>
        <v>2758857.9237937434</v>
      </c>
      <c r="L721" s="143">
        <f t="shared" si="340"/>
        <v>1357403.0337456816</v>
      </c>
      <c r="M721" s="143">
        <f t="shared" si="340"/>
        <v>721955.85956011713</v>
      </c>
      <c r="N721" s="143">
        <f t="shared" si="340"/>
        <v>318327.42282620521</v>
      </c>
      <c r="O721" s="143">
        <f t="shared" si="340"/>
        <v>12452.619412846529</v>
      </c>
      <c r="P721" s="143">
        <f t="shared" si="340"/>
        <v>610673.77007351315</v>
      </c>
      <c r="Q721" s="143">
        <f t="shared" si="340"/>
        <v>4168.4440362303321</v>
      </c>
      <c r="R721" s="143">
        <f t="shared" si="340"/>
        <v>7614.3429868638923</v>
      </c>
      <c r="S721" s="143">
        <f t="shared" si="340"/>
        <v>1201.4942377418922</v>
      </c>
      <c r="T721" s="143">
        <f t="shared" si="340"/>
        <v>-3406.3059474204624</v>
      </c>
      <c r="U721" s="143">
        <f t="shared" si="340"/>
        <v>8620.7700180759803</v>
      </c>
      <c r="V721" s="143">
        <f t="shared" si="340"/>
        <v>-274.99073369243331</v>
      </c>
      <c r="W721" s="143">
        <f t="shared" si="340"/>
        <v>0</v>
      </c>
      <c r="X721" s="143">
        <f t="shared" si="340"/>
        <v>0</v>
      </c>
      <c r="Y721" s="143">
        <f t="shared" si="340"/>
        <v>0</v>
      </c>
      <c r="Z721" s="143">
        <f t="shared" si="340"/>
        <v>0</v>
      </c>
      <c r="AA721" s="143">
        <f>SUM(G721:Z721)</f>
        <v>7757584.408810976</v>
      </c>
      <c r="AB721" s="144" t="str">
        <f t="shared" si="331"/>
        <v>ok</v>
      </c>
    </row>
    <row r="722" spans="1:28" s="60" customFormat="1">
      <c r="A722" s="68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93"/>
    </row>
    <row r="723" spans="1:28" s="70" customFormat="1">
      <c r="A723" s="283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1"/>
    </row>
    <row r="724" spans="1:28" s="60" customFormat="1">
      <c r="A724" s="68"/>
      <c r="AA724" s="80"/>
      <c r="AB724" s="93"/>
    </row>
    <row r="725" spans="1:28" s="60" customFormat="1">
      <c r="A725" s="60" t="s">
        <v>1043</v>
      </c>
      <c r="D725" s="60" t="s">
        <v>1004</v>
      </c>
      <c r="F725" s="80">
        <f>SUM(F712:F721)</f>
        <v>969736807.38150656</v>
      </c>
      <c r="G725" s="80">
        <f t="shared" ref="G725:U725" si="341">SUM(G712:G721)</f>
        <v>430736077.22452414</v>
      </c>
      <c r="H725" s="80">
        <f t="shared" si="341"/>
        <v>1048110.4354345733</v>
      </c>
      <c r="I725" s="80">
        <f t="shared" si="341"/>
        <v>114695905.53897126</v>
      </c>
      <c r="J725" s="80">
        <f t="shared" si="341"/>
        <v>7587580.9711611364</v>
      </c>
      <c r="K725" s="80">
        <f t="shared" si="341"/>
        <v>119333509.9898494</v>
      </c>
      <c r="L725" s="80">
        <f t="shared" si="341"/>
        <v>123988524.56747393</v>
      </c>
      <c r="M725" s="80">
        <f t="shared" si="341"/>
        <v>93879464.001734555</v>
      </c>
      <c r="N725" s="80">
        <f t="shared" si="341"/>
        <v>59721484.399380952</v>
      </c>
      <c r="O725" s="80">
        <f t="shared" si="341"/>
        <v>3527371.3032987956</v>
      </c>
      <c r="P725" s="80">
        <f t="shared" si="341"/>
        <v>14551896.340536224</v>
      </c>
      <c r="Q725" s="80">
        <f t="shared" si="341"/>
        <v>207402.03538726128</v>
      </c>
      <c r="R725" s="80">
        <f t="shared" si="341"/>
        <v>243952.53871367086</v>
      </c>
      <c r="S725" s="80">
        <f t="shared" si="341"/>
        <v>3816.8503239704123</v>
      </c>
      <c r="T725" s="80">
        <f t="shared" si="341"/>
        <v>45264.079851497896</v>
      </c>
      <c r="U725" s="80">
        <f t="shared" si="341"/>
        <v>153855.85858076424</v>
      </c>
      <c r="V725" s="80">
        <f>SUM(V712:V724)</f>
        <v>12591.246284675426</v>
      </c>
      <c r="W725" s="80">
        <f>SUM(W712:W724)</f>
        <v>0</v>
      </c>
      <c r="X725" s="80">
        <f>SUM(X712:X724)</f>
        <v>0</v>
      </c>
      <c r="Y725" s="80">
        <f>SUM(Y712:Y724)</f>
        <v>0</v>
      </c>
      <c r="Z725" s="80">
        <f>SUM(Z712:Z724)</f>
        <v>0</v>
      </c>
      <c r="AA725" s="80">
        <f>SUM(G725:Z725)</f>
        <v>969736807.38150692</v>
      </c>
      <c r="AB725" s="93" t="str">
        <f>IF(ABS(F725-AA725)&lt;0.01,"ok","err")</f>
        <v>ok</v>
      </c>
    </row>
    <row r="726" spans="1:28" s="60" customFormat="1">
      <c r="A726" s="68"/>
    </row>
    <row r="727" spans="1:28" s="60" customFormat="1">
      <c r="A727" s="60" t="s">
        <v>664</v>
      </c>
      <c r="D727" s="60" t="s">
        <v>992</v>
      </c>
      <c r="F727" s="80">
        <f t="shared" ref="F727:Z727" si="342">F709-F725</f>
        <v>150339127.86581695</v>
      </c>
      <c r="G727" s="80">
        <f t="shared" si="342"/>
        <v>24130365.795382321</v>
      </c>
      <c r="H727" s="80">
        <f t="shared" si="342"/>
        <v>174976.5755352166</v>
      </c>
      <c r="I727" s="80">
        <f t="shared" si="342"/>
        <v>39328178.527324572</v>
      </c>
      <c r="J727" s="80">
        <f t="shared" si="342"/>
        <v>2910988.835017357</v>
      </c>
      <c r="K727" s="80">
        <f t="shared" si="342"/>
        <v>35161218.156468466</v>
      </c>
      <c r="L727" s="80">
        <f t="shared" si="342"/>
        <v>20346752.022863403</v>
      </c>
      <c r="M727" s="80">
        <f t="shared" si="342"/>
        <v>13419699.612251863</v>
      </c>
      <c r="N727" s="80">
        <f t="shared" si="342"/>
        <v>6193228.7726490647</v>
      </c>
      <c r="O727" s="80">
        <f t="shared" si="342"/>
        <v>332668.05927112047</v>
      </c>
      <c r="P727" s="80">
        <f t="shared" si="342"/>
        <v>8142805.9438125324</v>
      </c>
      <c r="Q727" s="80">
        <f t="shared" si="342"/>
        <v>51257.203948447161</v>
      </c>
      <c r="R727" s="80">
        <f t="shared" si="342"/>
        <v>87098.31405410415</v>
      </c>
      <c r="S727" s="80">
        <f t="shared" si="342"/>
        <v>11874.009238830233</v>
      </c>
      <c r="T727" s="80">
        <f t="shared" si="342"/>
        <v>-32568.857135101905</v>
      </c>
      <c r="U727" s="80">
        <f t="shared" si="342"/>
        <v>83240.141419235762</v>
      </c>
      <c r="V727" s="80">
        <f t="shared" si="342"/>
        <v>-2655.2462846754261</v>
      </c>
      <c r="W727" s="80">
        <f t="shared" si="342"/>
        <v>0</v>
      </c>
      <c r="X727" s="80">
        <f t="shared" si="342"/>
        <v>0</v>
      </c>
      <c r="Y727" s="80">
        <f t="shared" si="342"/>
        <v>0</v>
      </c>
      <c r="Z727" s="80">
        <f t="shared" si="342"/>
        <v>0</v>
      </c>
      <c r="AA727" s="80">
        <f>SUM(G727:Z727)</f>
        <v>150339127.86581677</v>
      </c>
      <c r="AB727" s="93" t="str">
        <f>IF(ABS(F727-AA727)&lt;0.01,"ok","err")</f>
        <v>ok</v>
      </c>
    </row>
    <row r="728" spans="1:28" s="60" customFormat="1"/>
    <row r="729" spans="1:28" s="60" customFormat="1">
      <c r="A729" s="60" t="s">
        <v>1026</v>
      </c>
      <c r="F729" s="80">
        <f t="shared" ref="F729:Z729" si="343">F176</f>
        <v>3460077816.1601419</v>
      </c>
      <c r="G729" s="80">
        <f t="shared" si="343"/>
        <v>1748092633.3997715</v>
      </c>
      <c r="H729" s="80">
        <f t="shared" si="343"/>
        <v>4038872.4825251354</v>
      </c>
      <c r="I729" s="80">
        <f t="shared" si="343"/>
        <v>403486900.96194375</v>
      </c>
      <c r="J729" s="80">
        <f t="shared" si="343"/>
        <v>22814218.96311127</v>
      </c>
      <c r="K729" s="80">
        <f t="shared" si="343"/>
        <v>390090310.94908422</v>
      </c>
      <c r="L729" s="80">
        <f t="shared" si="343"/>
        <v>335323415.21704251</v>
      </c>
      <c r="M729" s="80">
        <f t="shared" si="343"/>
        <v>296063156.00640303</v>
      </c>
      <c r="N729" s="80">
        <f t="shared" si="343"/>
        <v>145224286.58182222</v>
      </c>
      <c r="O729" s="80">
        <f t="shared" si="343"/>
        <v>9832808.5275934432</v>
      </c>
      <c r="P729" s="80">
        <f t="shared" si="343"/>
        <v>101460556.34610823</v>
      </c>
      <c r="Q729" s="80">
        <f t="shared" si="343"/>
        <v>518946.28609536134</v>
      </c>
      <c r="R729" s="80">
        <f t="shared" si="343"/>
        <v>623432.36842078215</v>
      </c>
      <c r="S729" s="80">
        <f t="shared" si="343"/>
        <v>12817.118099669618</v>
      </c>
      <c r="T729" s="80">
        <f t="shared" si="343"/>
        <v>120162.32212078768</v>
      </c>
      <c r="U729" s="80">
        <f t="shared" si="343"/>
        <v>2314621.8400000003</v>
      </c>
      <c r="V729" s="80">
        <f t="shared" si="343"/>
        <v>60676.790000000008</v>
      </c>
      <c r="W729" s="80">
        <f t="shared" si="343"/>
        <v>0</v>
      </c>
      <c r="X729" s="80">
        <f t="shared" si="343"/>
        <v>0</v>
      </c>
      <c r="Y729" s="80">
        <f t="shared" si="343"/>
        <v>0</v>
      </c>
      <c r="Z729" s="80">
        <f t="shared" si="343"/>
        <v>0</v>
      </c>
      <c r="AA729" s="80">
        <f>SUM(G729:Z729)</f>
        <v>3460077816.1601419</v>
      </c>
      <c r="AB729" s="93" t="str">
        <f>IF(ABS(F729-AA729)&lt;0.01,"ok","err")</f>
        <v>ok</v>
      </c>
    </row>
    <row r="730" spans="1:28" s="60" customFormat="1"/>
    <row r="731" spans="1:28" s="60" customFormat="1"/>
    <row r="732" spans="1:28" s="60" customFormat="1" ht="14.1">
      <c r="A732" s="65" t="s">
        <v>797</v>
      </c>
    </row>
    <row r="733" spans="1:28" s="60" customFormat="1"/>
    <row r="734" spans="1:28" s="60" customFormat="1">
      <c r="A734" s="60" t="s">
        <v>794</v>
      </c>
      <c r="F734" s="80">
        <f t="shared" ref="F734:Z734" si="344">F709</f>
        <v>1120075935.2473235</v>
      </c>
      <c r="G734" s="80">
        <f t="shared" si="344"/>
        <v>454866443.01990646</v>
      </c>
      <c r="H734" s="80">
        <f t="shared" si="344"/>
        <v>1223087.0109697899</v>
      </c>
      <c r="I734" s="80">
        <f t="shared" si="344"/>
        <v>154024084.06629583</v>
      </c>
      <c r="J734" s="80">
        <f t="shared" si="344"/>
        <v>10498569.806178493</v>
      </c>
      <c r="K734" s="80">
        <f t="shared" si="344"/>
        <v>154494728.14631787</v>
      </c>
      <c r="L734" s="80">
        <f t="shared" si="344"/>
        <v>144335276.59033734</v>
      </c>
      <c r="M734" s="80">
        <f t="shared" si="344"/>
        <v>107299163.61398642</v>
      </c>
      <c r="N734" s="80">
        <f t="shared" si="344"/>
        <v>65914713.172030017</v>
      </c>
      <c r="O734" s="80">
        <f t="shared" si="344"/>
        <v>3860039.3625699161</v>
      </c>
      <c r="P734" s="80">
        <f t="shared" si="344"/>
        <v>22694702.284348756</v>
      </c>
      <c r="Q734" s="80">
        <f t="shared" si="344"/>
        <v>258659.23933570844</v>
      </c>
      <c r="R734" s="80">
        <f t="shared" si="344"/>
        <v>331050.85276777501</v>
      </c>
      <c r="S734" s="80">
        <f t="shared" si="344"/>
        <v>15690.859562800646</v>
      </c>
      <c r="T734" s="80">
        <f t="shared" si="344"/>
        <v>12695.222716395989</v>
      </c>
      <c r="U734" s="80">
        <f t="shared" si="344"/>
        <v>237096</v>
      </c>
      <c r="V734" s="80">
        <f t="shared" si="344"/>
        <v>9936</v>
      </c>
      <c r="W734" s="80">
        <f t="shared" si="344"/>
        <v>0</v>
      </c>
      <c r="X734" s="80">
        <f t="shared" si="344"/>
        <v>0</v>
      </c>
      <c r="Y734" s="80">
        <f t="shared" si="344"/>
        <v>0</v>
      </c>
      <c r="Z734" s="80">
        <f t="shared" si="344"/>
        <v>0</v>
      </c>
      <c r="AA734" s="80">
        <f>SUM(G734:Z734)</f>
        <v>1120075935.2473235</v>
      </c>
      <c r="AB734" s="93" t="str">
        <f>IF(ABS(F734-AA734)&lt;0.01,"ok","err")</f>
        <v>ok</v>
      </c>
    </row>
    <row r="735" spans="1:28" s="60" customFormat="1"/>
    <row r="736" spans="1:28" s="60" customFormat="1">
      <c r="A736" s="60" t="s">
        <v>1040</v>
      </c>
      <c r="F736" s="80">
        <f t="shared" ref="F736:U736" si="345">F712+F713+F714+F715+F718+F719+F720+F722+F723+F717+F716</f>
        <v>961979222.97269559</v>
      </c>
      <c r="G736" s="80">
        <f t="shared" si="345"/>
        <v>432195119.99033046</v>
      </c>
      <c r="H736" s="80">
        <f t="shared" si="345"/>
        <v>1039059.5337745451</v>
      </c>
      <c r="I736" s="80">
        <f t="shared" si="345"/>
        <v>111535983.68902378</v>
      </c>
      <c r="J736" s="80">
        <f t="shared" si="345"/>
        <v>7337520.932161252</v>
      </c>
      <c r="K736" s="80">
        <f t="shared" si="345"/>
        <v>116574652.06605566</v>
      </c>
      <c r="L736" s="80">
        <f t="shared" si="345"/>
        <v>122631121.53372826</v>
      </c>
      <c r="M736" s="80">
        <f t="shared" si="345"/>
        <v>93157508.142174438</v>
      </c>
      <c r="N736" s="80">
        <f t="shared" si="345"/>
        <v>59403156.976554744</v>
      </c>
      <c r="O736" s="80">
        <f t="shared" si="345"/>
        <v>3514918.6838859492</v>
      </c>
      <c r="P736" s="80">
        <f t="shared" si="345"/>
        <v>13941222.570462711</v>
      </c>
      <c r="Q736" s="80">
        <f t="shared" si="345"/>
        <v>203233.59135103095</v>
      </c>
      <c r="R736" s="80">
        <f t="shared" si="345"/>
        <v>236338.19572680697</v>
      </c>
      <c r="S736" s="80">
        <f t="shared" si="345"/>
        <v>2615.3560862285199</v>
      </c>
      <c r="T736" s="80">
        <f t="shared" si="345"/>
        <v>48670.38579891836</v>
      </c>
      <c r="U736" s="80">
        <f t="shared" si="345"/>
        <v>145235.08856268827</v>
      </c>
      <c r="V736" s="80">
        <f>V712+V713+V715+V718+V719+V720+V722+V723+V717+V716</f>
        <v>12866.237018367859</v>
      </c>
      <c r="W736" s="80">
        <f>W712+W713+W715+W718+W719+W720+W722+W723+W717+W716</f>
        <v>0</v>
      </c>
      <c r="X736" s="80">
        <f>X712+X713+X715+X718+X719+X720+X722+X723+X717+X716</f>
        <v>0</v>
      </c>
      <c r="Y736" s="80">
        <f>Y712+Y713+Y715+Y718+Y719+Y720+Y722+Y723+Y717+Y716</f>
        <v>0</v>
      </c>
      <c r="Z736" s="80">
        <f>Z712+Z713+Z715+Z718+Z719+Z720+Z722+Z723+Z717+Z716</f>
        <v>0</v>
      </c>
      <c r="AA736" s="80">
        <f>SUM(G736:Z736)</f>
        <v>961979222.97269583</v>
      </c>
      <c r="AB736" s="93" t="str">
        <f>IF(ABS(F736-AA736)&lt;0.01,"ok","err")</f>
        <v>ok</v>
      </c>
    </row>
    <row r="737" spans="1:28" s="60" customFormat="1"/>
    <row r="738" spans="1:28" s="60" customFormat="1">
      <c r="A738" s="60" t="s">
        <v>795</v>
      </c>
      <c r="D738" s="60" t="s">
        <v>799</v>
      </c>
      <c r="F738" s="134">
        <f t="shared" ref="F738:Z738" si="346">F691</f>
        <v>75433705.043134436</v>
      </c>
      <c r="G738" s="134">
        <f t="shared" si="346"/>
        <v>38218541.898882881</v>
      </c>
      <c r="H738" s="134">
        <f t="shared" si="346"/>
        <v>87583.183463206195</v>
      </c>
      <c r="I738" s="134">
        <f t="shared" si="346"/>
        <v>8816711.3252257481</v>
      </c>
      <c r="J738" s="134">
        <f t="shared" si="346"/>
        <v>496467.5142994732</v>
      </c>
      <c r="K738" s="134">
        <f t="shared" si="346"/>
        <v>8522330.5338261351</v>
      </c>
      <c r="L738" s="134">
        <f t="shared" si="346"/>
        <v>7239985.428351243</v>
      </c>
      <c r="M738" s="134">
        <f t="shared" si="346"/>
        <v>6448662.4865401536</v>
      </c>
      <c r="N738" s="134">
        <f t="shared" si="346"/>
        <v>3119533.5414673835</v>
      </c>
      <c r="O738" s="134">
        <f t="shared" si="346"/>
        <v>212428.47524419267</v>
      </c>
      <c r="P738" s="134">
        <f t="shared" si="346"/>
        <v>2246282.6778685777</v>
      </c>
      <c r="Q738" s="134">
        <f t="shared" si="346"/>
        <v>11007.682113804402</v>
      </c>
      <c r="R738" s="134">
        <f t="shared" si="346"/>
        <v>13575.996939492743</v>
      </c>
      <c r="S738" s="134">
        <f t="shared" si="346"/>
        <v>272.66155708878466</v>
      </c>
      <c r="T738" s="134">
        <f t="shared" si="346"/>
        <v>321.63735505793045</v>
      </c>
      <c r="U738" s="134">
        <f t="shared" si="346"/>
        <v>0</v>
      </c>
      <c r="V738" s="134">
        <f t="shared" si="346"/>
        <v>0</v>
      </c>
      <c r="W738" s="134">
        <f t="shared" si="346"/>
        <v>0</v>
      </c>
      <c r="X738" s="134">
        <f t="shared" si="346"/>
        <v>0</v>
      </c>
      <c r="Y738" s="134">
        <f t="shared" si="346"/>
        <v>0</v>
      </c>
      <c r="Z738" s="134">
        <f t="shared" si="346"/>
        <v>0</v>
      </c>
      <c r="AA738" s="134">
        <f>SUM(G738:Z738)</f>
        <v>75433705.043134451</v>
      </c>
      <c r="AB738" s="93" t="str">
        <f>IF(ABS(F738-AA738)&lt;0.01,"ok","err")</f>
        <v>ok</v>
      </c>
    </row>
    <row r="739" spans="1:28" s="60" customFormat="1"/>
    <row r="740" spans="1:28" s="60" customFormat="1">
      <c r="A740" s="60" t="s">
        <v>793</v>
      </c>
      <c r="D740" s="60" t="s">
        <v>796</v>
      </c>
      <c r="F740" s="80">
        <f>F734-F736-F738</f>
        <v>82663007.231493488</v>
      </c>
      <c r="G740" s="80">
        <f t="shared" ref="G740:Z740" si="347">G734-G736-G738</f>
        <v>-15547218.869306877</v>
      </c>
      <c r="H740" s="80">
        <f t="shared" si="347"/>
        <v>96444.29373203867</v>
      </c>
      <c r="I740" s="80">
        <f t="shared" si="347"/>
        <v>33671389.052046306</v>
      </c>
      <c r="J740" s="80">
        <f t="shared" si="347"/>
        <v>2664581.3597177682</v>
      </c>
      <c r="K740" s="80">
        <f t="shared" si="347"/>
        <v>29397745.546436079</v>
      </c>
      <c r="L740" s="80">
        <f t="shared" si="347"/>
        <v>14464169.628257837</v>
      </c>
      <c r="M740" s="80">
        <f t="shared" si="347"/>
        <v>7692992.9852718264</v>
      </c>
      <c r="N740" s="80">
        <f t="shared" si="347"/>
        <v>3392022.6540078893</v>
      </c>
      <c r="O740" s="80">
        <f>O734-O736-O738</f>
        <v>132692.2034397742</v>
      </c>
      <c r="P740" s="80">
        <f t="shared" si="347"/>
        <v>6507197.0360174673</v>
      </c>
      <c r="Q740" s="80">
        <f t="shared" si="347"/>
        <v>44417.965870873086</v>
      </c>
      <c r="R740" s="80">
        <f t="shared" si="347"/>
        <v>81136.660101475296</v>
      </c>
      <c r="S740" s="80">
        <f t="shared" si="347"/>
        <v>12802.841919483342</v>
      </c>
      <c r="T740" s="80">
        <f t="shared" si="347"/>
        <v>-36296.800437580299</v>
      </c>
      <c r="U740" s="80">
        <f t="shared" si="347"/>
        <v>91860.911437311734</v>
      </c>
      <c r="V740" s="80">
        <f t="shared" si="347"/>
        <v>-2930.2370183678595</v>
      </c>
      <c r="W740" s="80">
        <f t="shared" si="347"/>
        <v>0</v>
      </c>
      <c r="X740" s="80">
        <f t="shared" si="347"/>
        <v>0</v>
      </c>
      <c r="Y740" s="80">
        <f t="shared" si="347"/>
        <v>0</v>
      </c>
      <c r="Z740" s="80">
        <f t="shared" si="347"/>
        <v>0</v>
      </c>
      <c r="AA740" s="80">
        <f>SUM(G740:Z740)</f>
        <v>82663007.231493309</v>
      </c>
      <c r="AB740" s="93" t="str">
        <f>IF(ABS(F740-AA740)&lt;0.01,"ok","err")</f>
        <v>ok</v>
      </c>
    </row>
    <row r="741" spans="1:28" s="60" customFormat="1"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93"/>
    </row>
    <row r="744" spans="1:28" ht="14.1">
      <c r="A744" s="65" t="s">
        <v>198</v>
      </c>
    </row>
    <row r="745" spans="1:28">
      <c r="F745" s="80"/>
    </row>
    <row r="746" spans="1:28" ht="14.1">
      <c r="A746" s="65" t="s">
        <v>1036</v>
      </c>
    </row>
    <row r="747" spans="1:28" s="60" customFormat="1"/>
    <row r="748" spans="1:28" s="60" customFormat="1" hidden="1">
      <c r="A748" s="60" t="s">
        <v>133</v>
      </c>
      <c r="F748" s="80">
        <f t="shared" ref="F748:Z748" si="348">F709</f>
        <v>1120075935.2473235</v>
      </c>
      <c r="G748" s="80">
        <f t="shared" si="348"/>
        <v>454866443.01990646</v>
      </c>
      <c r="H748" s="80">
        <f t="shared" si="348"/>
        <v>1223087.0109697899</v>
      </c>
      <c r="I748" s="80">
        <f t="shared" si="348"/>
        <v>154024084.06629583</v>
      </c>
      <c r="J748" s="80">
        <f t="shared" si="348"/>
        <v>10498569.806178493</v>
      </c>
      <c r="K748" s="80">
        <f t="shared" si="348"/>
        <v>154494728.14631787</v>
      </c>
      <c r="L748" s="80">
        <f t="shared" si="348"/>
        <v>144335276.59033734</v>
      </c>
      <c r="M748" s="80">
        <f t="shared" si="348"/>
        <v>107299163.61398642</v>
      </c>
      <c r="N748" s="80">
        <f t="shared" si="348"/>
        <v>65914713.172030017</v>
      </c>
      <c r="O748" s="80">
        <f t="shared" si="348"/>
        <v>3860039.3625699161</v>
      </c>
      <c r="P748" s="80">
        <f t="shared" si="348"/>
        <v>22694702.284348756</v>
      </c>
      <c r="Q748" s="80">
        <f t="shared" si="348"/>
        <v>258659.23933570844</v>
      </c>
      <c r="R748" s="80">
        <f t="shared" si="348"/>
        <v>331050.85276777501</v>
      </c>
      <c r="S748" s="80">
        <f t="shared" si="348"/>
        <v>15690.859562800646</v>
      </c>
      <c r="T748" s="80">
        <f t="shared" si="348"/>
        <v>12695.222716395989</v>
      </c>
      <c r="U748" s="80">
        <f t="shared" si="348"/>
        <v>237096</v>
      </c>
      <c r="V748" s="80">
        <f t="shared" si="348"/>
        <v>9936</v>
      </c>
      <c r="W748" s="80">
        <f t="shared" si="348"/>
        <v>0</v>
      </c>
      <c r="X748" s="80">
        <f t="shared" si="348"/>
        <v>0</v>
      </c>
      <c r="Y748" s="80">
        <f t="shared" si="348"/>
        <v>0</v>
      </c>
      <c r="Z748" s="80">
        <f t="shared" si="348"/>
        <v>0</v>
      </c>
      <c r="AA748" s="80">
        <f>SUM(G748:Z748)</f>
        <v>1120075935.2473235</v>
      </c>
      <c r="AB748" s="93" t="str">
        <f>IF(ABS(F748-AA748)&lt;0.01,"ok","err")</f>
        <v>ok</v>
      </c>
    </row>
    <row r="749" spans="1:28" s="60" customFormat="1" hidden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 hidden="1">
      <c r="A750" s="60" t="s">
        <v>134</v>
      </c>
      <c r="F750" s="80"/>
      <c r="G750" s="80"/>
      <c r="H750" s="80"/>
      <c r="I750" s="80"/>
      <c r="J750" s="80"/>
      <c r="K750" s="80"/>
      <c r="L750" s="80"/>
      <c r="M750" s="80"/>
      <c r="N750" s="80"/>
      <c r="O750" s="217"/>
      <c r="P750" s="217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93"/>
    </row>
    <row r="751" spans="1:28" s="60" customFormat="1" ht="14.1" hidden="1" customHeight="1">
      <c r="B751" s="60" t="s">
        <v>1163</v>
      </c>
      <c r="E751" s="60" t="s">
        <v>129</v>
      </c>
      <c r="F751" s="76"/>
      <c r="G751" s="76">
        <f t="shared" ref="G751:Z751" si="349">IF(VLOOKUP($E751,$D$6:$AN$1150,3,)=0,0,(VLOOKUP($E751,$D$6:$AN$1150,G$2,)/VLOOKUP($E751,$D$6:$AN$1150,3,))*$F751)</f>
        <v>0</v>
      </c>
      <c r="H751" s="76">
        <f t="shared" si="349"/>
        <v>0</v>
      </c>
      <c r="I751" s="76">
        <f t="shared" si="349"/>
        <v>0</v>
      </c>
      <c r="J751" s="76">
        <f t="shared" si="349"/>
        <v>0</v>
      </c>
      <c r="K751" s="76">
        <f t="shared" si="349"/>
        <v>0</v>
      </c>
      <c r="L751" s="76">
        <f t="shared" si="349"/>
        <v>0</v>
      </c>
      <c r="M751" s="76">
        <f t="shared" si="349"/>
        <v>0</v>
      </c>
      <c r="N751" s="76">
        <f t="shared" si="349"/>
        <v>0</v>
      </c>
      <c r="O751" s="76">
        <f t="shared" si="349"/>
        <v>0</v>
      </c>
      <c r="P751" s="76">
        <f t="shared" si="349"/>
        <v>0</v>
      </c>
      <c r="Q751" s="76">
        <f t="shared" si="349"/>
        <v>0</v>
      </c>
      <c r="R751" s="76">
        <f t="shared" si="349"/>
        <v>0</v>
      </c>
      <c r="S751" s="76">
        <f t="shared" si="349"/>
        <v>0</v>
      </c>
      <c r="T751" s="76">
        <f t="shared" si="349"/>
        <v>0</v>
      </c>
      <c r="U751" s="76">
        <f t="shared" si="349"/>
        <v>0</v>
      </c>
      <c r="V751" s="76">
        <f t="shared" si="349"/>
        <v>0</v>
      </c>
      <c r="W751" s="76">
        <f t="shared" si="349"/>
        <v>0</v>
      </c>
      <c r="X751" s="76">
        <f t="shared" si="349"/>
        <v>0</v>
      </c>
      <c r="Y751" s="76">
        <f t="shared" si="349"/>
        <v>0</v>
      </c>
      <c r="Z751" s="76">
        <f t="shared" si="349"/>
        <v>0</v>
      </c>
      <c r="AA751" s="80">
        <f t="shared" ref="AA751:AA752" si="350">SUM(G751:Z751)</f>
        <v>0</v>
      </c>
      <c r="AB751" s="93" t="str">
        <f t="shared" ref="AB751:AB752" si="351">IF(ABS(F751-AA751)&lt;0.01,"ok","err")</f>
        <v>ok</v>
      </c>
    </row>
    <row r="752" spans="1:28" s="60" customFormat="1" hidden="1">
      <c r="B752" s="60" t="s">
        <v>1201</v>
      </c>
      <c r="F752" s="79">
        <v>0</v>
      </c>
      <c r="G752" s="79"/>
      <c r="H752" s="79"/>
      <c r="I752" s="79"/>
      <c r="J752" s="79"/>
      <c r="K752" s="79"/>
      <c r="L752" s="79"/>
      <c r="M752" s="79"/>
      <c r="N752" s="79"/>
      <c r="O752" s="79">
        <v>0</v>
      </c>
      <c r="P752" s="79"/>
      <c r="Q752" s="79">
        <v>0</v>
      </c>
      <c r="R752" s="79"/>
      <c r="S752" s="79"/>
      <c r="T752" s="79"/>
      <c r="U752" s="79"/>
      <c r="V752" s="79"/>
      <c r="W752" s="79"/>
      <c r="X752" s="79"/>
      <c r="Y752" s="79"/>
      <c r="Z752" s="79"/>
      <c r="AA752" s="79">
        <f t="shared" si="350"/>
        <v>0</v>
      </c>
      <c r="AB752" s="93" t="str">
        <f t="shared" si="351"/>
        <v>ok</v>
      </c>
    </row>
    <row r="753" spans="1:28" s="60" customFormat="1">
      <c r="E753" s="112"/>
      <c r="F753" s="80"/>
      <c r="G753" s="80"/>
    </row>
    <row r="754" spans="1:28" s="60" customFormat="1">
      <c r="A754" s="60" t="s">
        <v>135</v>
      </c>
      <c r="E754" s="112"/>
      <c r="F754" s="80">
        <f t="shared" ref="F754:Z754" si="352">SUM(F748:F752)</f>
        <v>1120075935.2473235</v>
      </c>
      <c r="G754" s="80">
        <f t="shared" si="352"/>
        <v>454866443.01990646</v>
      </c>
      <c r="H754" s="80">
        <f t="shared" si="352"/>
        <v>1223087.0109697899</v>
      </c>
      <c r="I754" s="80">
        <f t="shared" si="352"/>
        <v>154024084.06629583</v>
      </c>
      <c r="J754" s="80">
        <f t="shared" si="352"/>
        <v>10498569.806178493</v>
      </c>
      <c r="K754" s="80">
        <f t="shared" si="352"/>
        <v>154494728.14631787</v>
      </c>
      <c r="L754" s="80">
        <f t="shared" si="352"/>
        <v>144335276.59033734</v>
      </c>
      <c r="M754" s="80">
        <f t="shared" si="352"/>
        <v>107299163.61398642</v>
      </c>
      <c r="N754" s="80">
        <f t="shared" si="352"/>
        <v>65914713.172030017</v>
      </c>
      <c r="O754" s="80">
        <f t="shared" si="352"/>
        <v>3860039.3625699161</v>
      </c>
      <c r="P754" s="80">
        <f t="shared" si="352"/>
        <v>22694702.284348756</v>
      </c>
      <c r="Q754" s="80">
        <f t="shared" si="352"/>
        <v>258659.23933570844</v>
      </c>
      <c r="R754" s="80">
        <f t="shared" si="352"/>
        <v>331050.85276777501</v>
      </c>
      <c r="S754" s="80">
        <f t="shared" si="352"/>
        <v>15690.859562800646</v>
      </c>
      <c r="T754" s="80">
        <f t="shared" si="352"/>
        <v>12695.222716395989</v>
      </c>
      <c r="U754" s="80">
        <f t="shared" si="352"/>
        <v>237096</v>
      </c>
      <c r="V754" s="80">
        <f t="shared" si="352"/>
        <v>9936</v>
      </c>
      <c r="W754" s="80">
        <f t="shared" si="352"/>
        <v>0</v>
      </c>
      <c r="X754" s="80">
        <f t="shared" si="352"/>
        <v>0</v>
      </c>
      <c r="Y754" s="80">
        <f t="shared" si="352"/>
        <v>0</v>
      </c>
      <c r="Z754" s="80">
        <f t="shared" si="352"/>
        <v>0</v>
      </c>
      <c r="AA754" s="80">
        <f>SUM(G754:Z754)</f>
        <v>1120075935.2473235</v>
      </c>
      <c r="AB754" s="93" t="str">
        <f>IF(ABS(F754-AA754)&lt;0.01,"ok","err")</f>
        <v>ok</v>
      </c>
    </row>
    <row r="755" spans="1:28" s="60" customFormat="1" ht="16.5" customHeight="1">
      <c r="E755" s="80"/>
    </row>
    <row r="756" spans="1:28" s="60" customFormat="1" ht="14.1">
      <c r="A756" s="65" t="s">
        <v>1040</v>
      </c>
      <c r="F756" s="80"/>
    </row>
    <row r="757" spans="1:28" s="60" customFormat="1"/>
    <row r="758" spans="1:28">
      <c r="A758" s="68" t="s">
        <v>1041</v>
      </c>
      <c r="F758" s="80">
        <f t="shared" ref="F758:AA758" si="353">F233</f>
        <v>643436661.24131227</v>
      </c>
      <c r="G758" s="80">
        <f t="shared" si="353"/>
        <v>278465752.40621531</v>
      </c>
      <c r="H758" s="80">
        <f t="shared" si="353"/>
        <v>707494.56579689239</v>
      </c>
      <c r="I758" s="80">
        <f t="shared" si="353"/>
        <v>73711390.713541612</v>
      </c>
      <c r="J758" s="80">
        <f t="shared" si="353"/>
        <v>5054451.6343531748</v>
      </c>
      <c r="K758" s="80">
        <f t="shared" si="353"/>
        <v>78033557.201062396</v>
      </c>
      <c r="L758" s="80">
        <f t="shared" si="353"/>
        <v>89085516.423879668</v>
      </c>
      <c r="M758" s="80">
        <f t="shared" si="353"/>
        <v>63831084.879150748</v>
      </c>
      <c r="N758" s="80">
        <f t="shared" si="353"/>
        <v>44246128.238391086</v>
      </c>
      <c r="O758" s="80">
        <f t="shared" si="353"/>
        <v>2539872.5921789329</v>
      </c>
      <c r="P758" s="80">
        <f t="shared" si="353"/>
        <v>7312220.6606835518</v>
      </c>
      <c r="Q758" s="80">
        <f t="shared" si="353"/>
        <v>159176.3667899883</v>
      </c>
      <c r="R758" s="80">
        <f t="shared" si="353"/>
        <v>179674.04525289033</v>
      </c>
      <c r="S758" s="80">
        <f t="shared" si="353"/>
        <v>1862.0712958148063</v>
      </c>
      <c r="T758" s="80">
        <f t="shared" si="353"/>
        <v>26576.442720333296</v>
      </c>
      <c r="U758" s="80">
        <f t="shared" si="353"/>
        <v>71903</v>
      </c>
      <c r="V758" s="80">
        <f t="shared" si="353"/>
        <v>10000</v>
      </c>
      <c r="W758" s="80">
        <f t="shared" si="353"/>
        <v>0</v>
      </c>
      <c r="X758" s="64">
        <f t="shared" si="353"/>
        <v>0</v>
      </c>
      <c r="Y758" s="64">
        <f t="shared" si="353"/>
        <v>0</v>
      </c>
      <c r="Z758" s="64">
        <f t="shared" si="353"/>
        <v>0</v>
      </c>
      <c r="AA758" s="64">
        <f t="shared" si="353"/>
        <v>643436661.24131238</v>
      </c>
      <c r="AB758" s="58" t="str">
        <f t="shared" ref="AB758:AB771" si="354">IF(ABS(F758-AA758)&lt;0.01,"ok","err")</f>
        <v>ok</v>
      </c>
    </row>
    <row r="759" spans="1:28">
      <c r="A759" s="68" t="s">
        <v>1042</v>
      </c>
      <c r="F759" s="79">
        <f t="shared" ref="F759:AA759" si="355">F347</f>
        <v>277122835.61762834</v>
      </c>
      <c r="G759" s="79">
        <f t="shared" si="355"/>
        <v>132741133.13643135</v>
      </c>
      <c r="H759" s="79">
        <f t="shared" si="355"/>
        <v>283469.76320816984</v>
      </c>
      <c r="I759" s="79">
        <f t="shared" si="355"/>
        <v>32982691.122442532</v>
      </c>
      <c r="J759" s="79">
        <f t="shared" si="355"/>
        <v>2010393.9631165694</v>
      </c>
      <c r="K759" s="79">
        <f t="shared" si="355"/>
        <v>33860270.313709497</v>
      </c>
      <c r="L759" s="79">
        <f t="shared" si="355"/>
        <v>29568921.879067402</v>
      </c>
      <c r="M759" s="79">
        <f t="shared" si="355"/>
        <v>25784438.975284874</v>
      </c>
      <c r="N759" s="79">
        <f t="shared" si="355"/>
        <v>13443513.007543452</v>
      </c>
      <c r="O759" s="79">
        <f t="shared" si="355"/>
        <v>858366.52984042082</v>
      </c>
      <c r="P759" s="79">
        <f t="shared" si="355"/>
        <v>5395556.3271758882</v>
      </c>
      <c r="Q759" s="79">
        <f t="shared" si="355"/>
        <v>38012.459275250396</v>
      </c>
      <c r="R759" s="79">
        <f t="shared" si="355"/>
        <v>49212.724711325078</v>
      </c>
      <c r="S759" s="79">
        <f t="shared" si="355"/>
        <v>603.62521525567001</v>
      </c>
      <c r="T759" s="79">
        <f t="shared" si="355"/>
        <v>19227.856398095297</v>
      </c>
      <c r="U759" s="79">
        <f t="shared" si="355"/>
        <v>83869.534208333309</v>
      </c>
      <c r="V759" s="79">
        <f t="shared" si="355"/>
        <v>3154.4</v>
      </c>
      <c r="W759" s="79">
        <f t="shared" si="355"/>
        <v>0</v>
      </c>
      <c r="X759" s="63">
        <f t="shared" si="355"/>
        <v>0</v>
      </c>
      <c r="Y759" s="63">
        <f t="shared" si="355"/>
        <v>0</v>
      </c>
      <c r="Z759" s="63">
        <f t="shared" si="355"/>
        <v>0</v>
      </c>
      <c r="AA759" s="63">
        <f t="shared" si="355"/>
        <v>277122835.6176284</v>
      </c>
      <c r="AB759" s="58" t="str">
        <f t="shared" si="354"/>
        <v>ok</v>
      </c>
    </row>
    <row r="760" spans="1:28" hidden="1">
      <c r="A760" s="111" t="s">
        <v>270</v>
      </c>
      <c r="F760" s="79">
        <f t="shared" ref="F760:Z760" si="356">F714</f>
        <v>0</v>
      </c>
      <c r="G760" s="79">
        <f t="shared" si="356"/>
        <v>0</v>
      </c>
      <c r="H760" s="79">
        <f t="shared" si="356"/>
        <v>0</v>
      </c>
      <c r="I760" s="79">
        <f t="shared" si="356"/>
        <v>0</v>
      </c>
      <c r="J760" s="79">
        <f t="shared" si="356"/>
        <v>0</v>
      </c>
      <c r="K760" s="79">
        <f t="shared" si="356"/>
        <v>0</v>
      </c>
      <c r="L760" s="79">
        <f t="shared" si="356"/>
        <v>0</v>
      </c>
      <c r="M760" s="79">
        <f t="shared" si="356"/>
        <v>0</v>
      </c>
      <c r="N760" s="79">
        <f t="shared" si="356"/>
        <v>0</v>
      </c>
      <c r="O760" s="79">
        <f t="shared" si="356"/>
        <v>0</v>
      </c>
      <c r="P760" s="79">
        <f t="shared" si="356"/>
        <v>0</v>
      </c>
      <c r="Q760" s="79">
        <f t="shared" si="356"/>
        <v>0</v>
      </c>
      <c r="R760" s="79">
        <f t="shared" si="356"/>
        <v>0</v>
      </c>
      <c r="S760" s="79">
        <f t="shared" si="356"/>
        <v>0</v>
      </c>
      <c r="T760" s="79">
        <f t="shared" si="356"/>
        <v>0</v>
      </c>
      <c r="U760" s="79">
        <f t="shared" si="356"/>
        <v>0</v>
      </c>
      <c r="V760" s="79">
        <f t="shared" si="356"/>
        <v>0</v>
      </c>
      <c r="W760" s="79">
        <f t="shared" si="356"/>
        <v>0</v>
      </c>
      <c r="X760" s="63">
        <f t="shared" si="356"/>
        <v>0</v>
      </c>
      <c r="Y760" s="63">
        <f t="shared" si="356"/>
        <v>0</v>
      </c>
      <c r="Z760" s="63">
        <f t="shared" si="356"/>
        <v>0</v>
      </c>
      <c r="AA760" s="63">
        <f t="shared" ref="AA760:AA765" si="357">SUM(G760:Z760)</f>
        <v>0</v>
      </c>
      <c r="AB760" s="58" t="str">
        <f t="shared" si="354"/>
        <v>ok</v>
      </c>
    </row>
    <row r="761" spans="1:28" hidden="1">
      <c r="A761" s="68" t="s">
        <v>762</v>
      </c>
      <c r="F761" s="79">
        <f t="shared" ref="F761:Z761" si="358">F715</f>
        <v>0</v>
      </c>
      <c r="G761" s="79">
        <f t="shared" si="358"/>
        <v>0</v>
      </c>
      <c r="H761" s="79">
        <f t="shared" si="358"/>
        <v>0</v>
      </c>
      <c r="I761" s="79">
        <f t="shared" si="358"/>
        <v>0</v>
      </c>
      <c r="J761" s="79">
        <f t="shared" si="358"/>
        <v>0</v>
      </c>
      <c r="K761" s="79">
        <f t="shared" si="358"/>
        <v>0</v>
      </c>
      <c r="L761" s="79">
        <f t="shared" si="358"/>
        <v>0</v>
      </c>
      <c r="M761" s="79">
        <f t="shared" si="358"/>
        <v>0</v>
      </c>
      <c r="N761" s="79">
        <f t="shared" si="358"/>
        <v>0</v>
      </c>
      <c r="O761" s="79">
        <f t="shared" si="358"/>
        <v>0</v>
      </c>
      <c r="P761" s="79">
        <f t="shared" si="358"/>
        <v>0</v>
      </c>
      <c r="Q761" s="79">
        <f t="shared" si="358"/>
        <v>0</v>
      </c>
      <c r="R761" s="79">
        <f t="shared" si="358"/>
        <v>0</v>
      </c>
      <c r="S761" s="79">
        <f t="shared" si="358"/>
        <v>0</v>
      </c>
      <c r="T761" s="79">
        <f t="shared" si="358"/>
        <v>0</v>
      </c>
      <c r="U761" s="79">
        <f t="shared" si="358"/>
        <v>0</v>
      </c>
      <c r="V761" s="79">
        <f t="shared" si="358"/>
        <v>0</v>
      </c>
      <c r="W761" s="79">
        <f t="shared" si="358"/>
        <v>0</v>
      </c>
      <c r="X761" s="63">
        <f t="shared" si="358"/>
        <v>0</v>
      </c>
      <c r="Y761" s="63">
        <f t="shared" si="358"/>
        <v>0</v>
      </c>
      <c r="Z761" s="63">
        <f t="shared" si="358"/>
        <v>0</v>
      </c>
      <c r="AA761" s="63">
        <f t="shared" si="357"/>
        <v>0</v>
      </c>
      <c r="AB761" s="58" t="str">
        <f t="shared" si="354"/>
        <v>ok</v>
      </c>
    </row>
    <row r="762" spans="1:28" hidden="1">
      <c r="A762" s="60" t="s">
        <v>1092</v>
      </c>
      <c r="F762" s="79">
        <f t="shared" ref="F762:Z762" si="359">F716</f>
        <v>0</v>
      </c>
      <c r="G762" s="79">
        <f t="shared" si="359"/>
        <v>0</v>
      </c>
      <c r="H762" s="79">
        <f t="shared" si="359"/>
        <v>0</v>
      </c>
      <c r="I762" s="79">
        <f t="shared" si="359"/>
        <v>0</v>
      </c>
      <c r="J762" s="79">
        <f t="shared" si="359"/>
        <v>0</v>
      </c>
      <c r="K762" s="79">
        <f t="shared" si="359"/>
        <v>0</v>
      </c>
      <c r="L762" s="79">
        <f t="shared" si="359"/>
        <v>0</v>
      </c>
      <c r="M762" s="79">
        <f t="shared" si="359"/>
        <v>0</v>
      </c>
      <c r="N762" s="79">
        <f t="shared" si="359"/>
        <v>0</v>
      </c>
      <c r="O762" s="79">
        <f t="shared" si="359"/>
        <v>0</v>
      </c>
      <c r="P762" s="79">
        <f t="shared" si="359"/>
        <v>0</v>
      </c>
      <c r="Q762" s="79">
        <f t="shared" si="359"/>
        <v>0</v>
      </c>
      <c r="R762" s="79">
        <f t="shared" si="359"/>
        <v>0</v>
      </c>
      <c r="S762" s="79">
        <f t="shared" si="359"/>
        <v>0</v>
      </c>
      <c r="T762" s="79">
        <f t="shared" si="359"/>
        <v>0</v>
      </c>
      <c r="U762" s="79">
        <f t="shared" si="359"/>
        <v>0</v>
      </c>
      <c r="V762" s="79">
        <f t="shared" si="359"/>
        <v>0</v>
      </c>
      <c r="W762" s="79">
        <f t="shared" si="359"/>
        <v>0</v>
      </c>
      <c r="X762" s="63">
        <f t="shared" si="359"/>
        <v>0</v>
      </c>
      <c r="Y762" s="63">
        <f t="shared" si="359"/>
        <v>0</v>
      </c>
      <c r="Z762" s="63">
        <f t="shared" si="359"/>
        <v>0</v>
      </c>
      <c r="AA762" s="63">
        <f t="shared" si="357"/>
        <v>0</v>
      </c>
      <c r="AB762" s="58" t="str">
        <f t="shared" si="354"/>
        <v>ok</v>
      </c>
    </row>
    <row r="763" spans="1:28" hidden="1">
      <c r="A763" s="60" t="s">
        <v>1093</v>
      </c>
      <c r="F763" s="79">
        <f t="shared" ref="F763:W763" si="360">F717</f>
        <v>0</v>
      </c>
      <c r="G763" s="79">
        <f t="shared" si="360"/>
        <v>0</v>
      </c>
      <c r="H763" s="79">
        <f t="shared" si="360"/>
        <v>0</v>
      </c>
      <c r="I763" s="79">
        <f t="shared" si="360"/>
        <v>0</v>
      </c>
      <c r="J763" s="79">
        <f t="shared" si="360"/>
        <v>0</v>
      </c>
      <c r="K763" s="79">
        <f t="shared" si="360"/>
        <v>0</v>
      </c>
      <c r="L763" s="79">
        <f t="shared" si="360"/>
        <v>0</v>
      </c>
      <c r="M763" s="79">
        <f t="shared" si="360"/>
        <v>0</v>
      </c>
      <c r="N763" s="79">
        <f t="shared" si="360"/>
        <v>0</v>
      </c>
      <c r="O763" s="79">
        <f t="shared" si="360"/>
        <v>0</v>
      </c>
      <c r="P763" s="79">
        <f t="shared" si="360"/>
        <v>0</v>
      </c>
      <c r="Q763" s="79">
        <f t="shared" si="360"/>
        <v>0</v>
      </c>
      <c r="R763" s="79">
        <f t="shared" si="360"/>
        <v>0</v>
      </c>
      <c r="S763" s="79">
        <f t="shared" si="360"/>
        <v>0</v>
      </c>
      <c r="T763" s="79">
        <f t="shared" si="360"/>
        <v>0</v>
      </c>
      <c r="U763" s="79">
        <f t="shared" si="360"/>
        <v>0</v>
      </c>
      <c r="V763" s="79">
        <f t="shared" si="360"/>
        <v>0</v>
      </c>
      <c r="W763" s="79">
        <f t="shared" si="360"/>
        <v>0</v>
      </c>
      <c r="X763" s="63"/>
      <c r="Y763" s="63"/>
      <c r="Z763" s="63"/>
      <c r="AA763" s="63">
        <f t="shared" si="357"/>
        <v>0</v>
      </c>
      <c r="AB763" s="58" t="str">
        <f t="shared" si="354"/>
        <v>ok</v>
      </c>
    </row>
    <row r="764" spans="1:28">
      <c r="A764" s="68" t="s">
        <v>686</v>
      </c>
      <c r="E764" s="60" t="s">
        <v>1025</v>
      </c>
      <c r="F764" s="79">
        <f t="shared" ref="F764:W764" si="361">F718</f>
        <v>42336722.113755003</v>
      </c>
      <c r="G764" s="79">
        <f t="shared" si="361"/>
        <v>21446653.812674347</v>
      </c>
      <c r="H764" s="79">
        <f t="shared" si="361"/>
        <v>49148.312127757221</v>
      </c>
      <c r="I764" s="79">
        <f t="shared" si="361"/>
        <v>4947352.1160335205</v>
      </c>
      <c r="J764" s="79">
        <f t="shared" si="361"/>
        <v>278593.42244457948</v>
      </c>
      <c r="K764" s="79">
        <f t="shared" si="361"/>
        <v>4782497.6942331512</v>
      </c>
      <c r="L764" s="79">
        <f t="shared" si="361"/>
        <v>4062955.3368299073</v>
      </c>
      <c r="M764" s="79">
        <f t="shared" si="361"/>
        <v>3618896.3707772121</v>
      </c>
      <c r="N764" s="79">
        <f t="shared" si="361"/>
        <v>1750596.9582666915</v>
      </c>
      <c r="O764" s="79">
        <f t="shared" si="361"/>
        <v>119211.99827174637</v>
      </c>
      <c r="P764" s="79">
        <f t="shared" si="361"/>
        <v>1260700.9519828863</v>
      </c>
      <c r="Q764" s="79">
        <f t="shared" si="361"/>
        <v>6176.7964595694148</v>
      </c>
      <c r="R764" s="79">
        <f t="shared" si="361"/>
        <v>7614.0062368012786</v>
      </c>
      <c r="S764" s="79">
        <f t="shared" si="361"/>
        <v>152.97171819861433</v>
      </c>
      <c r="T764" s="79">
        <f t="shared" si="361"/>
        <v>2869.9743259182164</v>
      </c>
      <c r="U764" s="79">
        <f t="shared" si="361"/>
        <v>3190.2719496980626</v>
      </c>
      <c r="V764" s="79">
        <f t="shared" si="361"/>
        <v>111.11942302474998</v>
      </c>
      <c r="W764" s="79">
        <f t="shared" si="361"/>
        <v>0</v>
      </c>
      <c r="X764" s="63">
        <f>X718</f>
        <v>0</v>
      </c>
      <c r="Y764" s="63">
        <f>Y718</f>
        <v>0</v>
      </c>
      <c r="Z764" s="63">
        <f>Z718</f>
        <v>0</v>
      </c>
      <c r="AA764" s="63">
        <f t="shared" si="357"/>
        <v>42336722.11375501</v>
      </c>
      <c r="AB764" s="58" t="str">
        <f t="shared" si="354"/>
        <v>ok</v>
      </c>
    </row>
    <row r="765" spans="1:28">
      <c r="A765" s="68" t="s">
        <v>687</v>
      </c>
      <c r="F765" s="79">
        <f t="shared" ref="F765:Z765" si="362">F576</f>
        <v>-916996.00000000012</v>
      </c>
      <c r="G765" s="79">
        <f t="shared" si="362"/>
        <v>-458419.36499055044</v>
      </c>
      <c r="H765" s="79">
        <f t="shared" si="362"/>
        <v>-1053.1073582744557</v>
      </c>
      <c r="I765" s="79">
        <f t="shared" si="362"/>
        <v>-105450.26299389213</v>
      </c>
      <c r="J765" s="79">
        <f t="shared" si="362"/>
        <v>-5918.0877530716471</v>
      </c>
      <c r="K765" s="79">
        <f t="shared" si="362"/>
        <v>-101673.14294938931</v>
      </c>
      <c r="L765" s="79">
        <f t="shared" si="362"/>
        <v>-86272.106048715475</v>
      </c>
      <c r="M765" s="79">
        <f t="shared" si="362"/>
        <v>-76912.08303840326</v>
      </c>
      <c r="N765" s="79">
        <f t="shared" si="362"/>
        <v>-37081.227646483654</v>
      </c>
      <c r="O765" s="79">
        <f t="shared" si="362"/>
        <v>-2532.4364051510638</v>
      </c>
      <c r="P765" s="79">
        <f t="shared" si="362"/>
        <v>-27255.36937961269</v>
      </c>
      <c r="Q765" s="79">
        <f t="shared" si="362"/>
        <v>-132.03117377715284</v>
      </c>
      <c r="R765" s="79">
        <f t="shared" si="362"/>
        <v>-162.58047420972179</v>
      </c>
      <c r="S765" s="79">
        <f t="shared" si="362"/>
        <v>-3.3121430405708665</v>
      </c>
      <c r="T765" s="79">
        <f t="shared" si="362"/>
        <v>-3.887645428450861</v>
      </c>
      <c r="U765" s="79">
        <f t="shared" si="362"/>
        <v>-13727.717595343111</v>
      </c>
      <c r="V765" s="79">
        <f t="shared" si="362"/>
        <v>-399.28240465688896</v>
      </c>
      <c r="W765" s="79">
        <f t="shared" si="362"/>
        <v>0</v>
      </c>
      <c r="X765" s="63">
        <f t="shared" si="362"/>
        <v>0</v>
      </c>
      <c r="Y765" s="63">
        <f t="shared" si="362"/>
        <v>0</v>
      </c>
      <c r="Z765" s="63">
        <f t="shared" si="362"/>
        <v>0</v>
      </c>
      <c r="AA765" s="63">
        <f t="shared" si="357"/>
        <v>-916996.00000000023</v>
      </c>
      <c r="AB765" s="58" t="str">
        <f t="shared" si="354"/>
        <v>ok</v>
      </c>
    </row>
    <row r="766" spans="1:28" hidden="1">
      <c r="A766" s="68" t="s">
        <v>652</v>
      </c>
      <c r="F766" s="79">
        <f t="shared" ref="F766:AA766" si="363">F720</f>
        <v>0</v>
      </c>
      <c r="G766" s="79">
        <f t="shared" si="363"/>
        <v>0</v>
      </c>
      <c r="H766" s="79">
        <f t="shared" si="363"/>
        <v>0</v>
      </c>
      <c r="I766" s="79">
        <f t="shared" si="363"/>
        <v>0</v>
      </c>
      <c r="J766" s="79">
        <f t="shared" si="363"/>
        <v>0</v>
      </c>
      <c r="K766" s="79">
        <f t="shared" si="363"/>
        <v>0</v>
      </c>
      <c r="L766" s="79">
        <f t="shared" si="363"/>
        <v>0</v>
      </c>
      <c r="M766" s="79">
        <f t="shared" si="363"/>
        <v>0</v>
      </c>
      <c r="N766" s="79">
        <f t="shared" si="363"/>
        <v>0</v>
      </c>
      <c r="O766" s="79">
        <f t="shared" si="363"/>
        <v>0</v>
      </c>
      <c r="P766" s="79">
        <f t="shared" si="363"/>
        <v>0</v>
      </c>
      <c r="Q766" s="79">
        <f t="shared" si="363"/>
        <v>0</v>
      </c>
      <c r="R766" s="79">
        <f t="shared" si="363"/>
        <v>0</v>
      </c>
      <c r="S766" s="79">
        <f t="shared" si="363"/>
        <v>0</v>
      </c>
      <c r="T766" s="79">
        <f t="shared" si="363"/>
        <v>0</v>
      </c>
      <c r="U766" s="79">
        <f t="shared" si="363"/>
        <v>0</v>
      </c>
      <c r="V766" s="79">
        <f t="shared" si="363"/>
        <v>0</v>
      </c>
      <c r="W766" s="79">
        <f t="shared" si="363"/>
        <v>0</v>
      </c>
      <c r="X766" s="63">
        <f t="shared" si="363"/>
        <v>0</v>
      </c>
      <c r="Y766" s="63">
        <f t="shared" si="363"/>
        <v>0</v>
      </c>
      <c r="Z766" s="63">
        <f t="shared" si="363"/>
        <v>0</v>
      </c>
      <c r="AA766" s="63">
        <f t="shared" si="363"/>
        <v>0</v>
      </c>
      <c r="AB766" s="58" t="str">
        <f t="shared" si="354"/>
        <v>ok</v>
      </c>
    </row>
    <row r="767" spans="1:28">
      <c r="A767" s="68" t="s">
        <v>196</v>
      </c>
      <c r="E767" s="60" t="s">
        <v>796</v>
      </c>
      <c r="F767" s="79">
        <f>F721</f>
        <v>7757584.4088109927</v>
      </c>
      <c r="G767" s="79">
        <f t="shared" ref="G767:Z767" si="364">IF(VLOOKUP($E767,$D$6:$AN$1150,3,)=0,0,(VLOOKUP($E767,$D$6:$AN$1150,G$2,)/VLOOKUP($E767,$D$6:$AN$1150,3,))*$F767)</f>
        <v>-1459042.7658063322</v>
      </c>
      <c r="H767" s="79">
        <f t="shared" si="364"/>
        <v>9050.9016600282412</v>
      </c>
      <c r="I767" s="79">
        <f t="shared" si="364"/>
        <v>3159921.8499474893</v>
      </c>
      <c r="J767" s="79">
        <f t="shared" si="364"/>
        <v>250060.03899988401</v>
      </c>
      <c r="K767" s="79">
        <f t="shared" si="364"/>
        <v>2758857.9237937434</v>
      </c>
      <c r="L767" s="79">
        <f t="shared" si="364"/>
        <v>1357403.0337456816</v>
      </c>
      <c r="M767" s="79">
        <f t="shared" si="364"/>
        <v>721955.85956011713</v>
      </c>
      <c r="N767" s="79">
        <f t="shared" si="364"/>
        <v>318327.42282620521</v>
      </c>
      <c r="O767" s="79">
        <f t="shared" si="364"/>
        <v>12452.619412846529</v>
      </c>
      <c r="P767" s="79">
        <f t="shared" si="364"/>
        <v>610673.77007351315</v>
      </c>
      <c r="Q767" s="79">
        <f t="shared" si="364"/>
        <v>4168.4440362303321</v>
      </c>
      <c r="R767" s="79">
        <f t="shared" si="364"/>
        <v>7614.3429868638923</v>
      </c>
      <c r="S767" s="79">
        <f t="shared" si="364"/>
        <v>1201.4942377418922</v>
      </c>
      <c r="T767" s="79">
        <f t="shared" si="364"/>
        <v>-3406.3059474204624</v>
      </c>
      <c r="U767" s="79">
        <f t="shared" si="364"/>
        <v>8620.7700180759803</v>
      </c>
      <c r="V767" s="79">
        <f t="shared" si="364"/>
        <v>-274.99073369243331</v>
      </c>
      <c r="W767" s="79">
        <f t="shared" si="364"/>
        <v>0</v>
      </c>
      <c r="X767" s="63">
        <f t="shared" si="364"/>
        <v>0</v>
      </c>
      <c r="Y767" s="63">
        <f t="shared" si="364"/>
        <v>0</v>
      </c>
      <c r="Z767" s="63">
        <f t="shared" si="364"/>
        <v>0</v>
      </c>
      <c r="AA767" s="63">
        <f>SUM(G767:Z767)</f>
        <v>7757584.408810976</v>
      </c>
      <c r="AB767" s="58" t="str">
        <f t="shared" si="354"/>
        <v>ok</v>
      </c>
    </row>
    <row r="768" spans="1:28">
      <c r="A768" s="68" t="s">
        <v>659</v>
      </c>
      <c r="F768" s="79">
        <f>-F1121</f>
        <v>-2468360</v>
      </c>
      <c r="G768" s="79">
        <f t="shared" ref="G768:J770" si="365">G1119</f>
        <v>0</v>
      </c>
      <c r="H768" s="79">
        <f t="shared" si="365"/>
        <v>0</v>
      </c>
      <c r="I768" s="79">
        <f t="shared" si="365"/>
        <v>0</v>
      </c>
      <c r="J768" s="79">
        <f t="shared" si="365"/>
        <v>0</v>
      </c>
      <c r="K768" s="79">
        <f>-K1119</f>
        <v>0</v>
      </c>
      <c r="L768" s="79">
        <f>-L1121</f>
        <v>-142467</v>
      </c>
      <c r="M768" s="79">
        <f>-M1119</f>
        <v>0</v>
      </c>
      <c r="N768" s="79">
        <f>-N1121</f>
        <v>-2325893</v>
      </c>
      <c r="O768" s="79">
        <f>-O1119</f>
        <v>0</v>
      </c>
      <c r="P768" s="79">
        <v>0</v>
      </c>
      <c r="Q768" s="79">
        <f t="shared" ref="Q768:Z770" si="366">Q1119</f>
        <v>0</v>
      </c>
      <c r="R768" s="79">
        <f t="shared" si="366"/>
        <v>0</v>
      </c>
      <c r="S768" s="79">
        <f t="shared" si="366"/>
        <v>0</v>
      </c>
      <c r="T768" s="79">
        <f t="shared" si="366"/>
        <v>0</v>
      </c>
      <c r="U768" s="79">
        <f t="shared" si="366"/>
        <v>0</v>
      </c>
      <c r="V768" s="79">
        <f t="shared" si="366"/>
        <v>0</v>
      </c>
      <c r="W768" s="79">
        <f t="shared" si="366"/>
        <v>0</v>
      </c>
      <c r="X768" s="63">
        <f t="shared" si="366"/>
        <v>0</v>
      </c>
      <c r="Y768" s="63">
        <f t="shared" si="366"/>
        <v>0</v>
      </c>
      <c r="Z768" s="63">
        <f t="shared" si="366"/>
        <v>0</v>
      </c>
      <c r="AA768" s="63">
        <f>SUM(G768:Z768)</f>
        <v>-2468360</v>
      </c>
      <c r="AB768" s="58" t="str">
        <f t="shared" ref="AB768:AB769" si="367">IF(ABS(F768-AA768)&lt;0.01,"ok","err")</f>
        <v>ok</v>
      </c>
    </row>
    <row r="769" spans="1:54">
      <c r="A769" s="68" t="s">
        <v>660</v>
      </c>
      <c r="E769" s="60" t="s">
        <v>661</v>
      </c>
      <c r="F769" s="79">
        <f>-F768</f>
        <v>2468360</v>
      </c>
      <c r="G769" s="79">
        <f t="shared" ref="G769:Z769" si="368">IF(VLOOKUP($E769,$D$6:$AN$1150,3,)=0,0,(VLOOKUP($E769,$D$6:$AN$1150,G$2,)/VLOOKUP($E769,$D$6:$AN$1150,3,))*$F769)</f>
        <v>1079344.3833355091</v>
      </c>
      <c r="H769" s="79">
        <f t="shared" si="368"/>
        <v>2023.6054645446882</v>
      </c>
      <c r="I769" s="79">
        <f t="shared" si="368"/>
        <v>302010.03604700073</v>
      </c>
      <c r="J769" s="79">
        <f t="shared" si="368"/>
        <v>20465.479357403608</v>
      </c>
      <c r="K769" s="79">
        <f t="shared" si="368"/>
        <v>336699.21456988534</v>
      </c>
      <c r="L769" s="79">
        <f t="shared" si="368"/>
        <v>303928.14513800305</v>
      </c>
      <c r="M769" s="79">
        <f t="shared" si="368"/>
        <v>258577.97450933841</v>
      </c>
      <c r="N769" s="79">
        <f t="shared" si="368"/>
        <v>146911.89141154609</v>
      </c>
      <c r="O769" s="79">
        <f t="shared" si="368"/>
        <v>8720.8522003665876</v>
      </c>
      <c r="P769" s="79">
        <f t="shared" si="368"/>
        <v>8937.9691349388104</v>
      </c>
      <c r="Q769" s="79">
        <f t="shared" si="368"/>
        <v>311.30964731234235</v>
      </c>
      <c r="R769" s="79">
        <f t="shared" si="368"/>
        <v>428.71684020430052</v>
      </c>
      <c r="S769" s="79">
        <f t="shared" si="368"/>
        <v>0.42234394669388503</v>
      </c>
      <c r="T769" s="79">
        <f t="shared" si="368"/>
        <v>0</v>
      </c>
      <c r="U769" s="79">
        <f t="shared" si="368"/>
        <v>0</v>
      </c>
      <c r="V769" s="79">
        <f t="shared" si="368"/>
        <v>0</v>
      </c>
      <c r="W769" s="79">
        <f t="shared" si="368"/>
        <v>0</v>
      </c>
      <c r="X769" s="63">
        <f t="shared" si="368"/>
        <v>0</v>
      </c>
      <c r="Y769" s="63">
        <f t="shared" si="368"/>
        <v>0</v>
      </c>
      <c r="Z769" s="63">
        <f t="shared" si="368"/>
        <v>0</v>
      </c>
      <c r="AA769" s="63">
        <f>SUM(G769:Z769)</f>
        <v>2468359.9999999995</v>
      </c>
      <c r="AB769" s="58" t="str">
        <f t="shared" si="367"/>
        <v>ok</v>
      </c>
    </row>
    <row r="770" spans="1:54">
      <c r="A770" s="68" t="s">
        <v>659</v>
      </c>
      <c r="F770" s="142">
        <v>264171.03555149998</v>
      </c>
      <c r="G770" s="142"/>
      <c r="H770" s="142">
        <f>(3718100.43*(0.09278-0.02173))</f>
        <v>264171.03555150004</v>
      </c>
      <c r="I770" s="142">
        <f t="shared" si="365"/>
        <v>0</v>
      </c>
      <c r="J770" s="142">
        <f t="shared" si="365"/>
        <v>0</v>
      </c>
      <c r="K770" s="142">
        <f>-K1121</f>
        <v>0</v>
      </c>
      <c r="L770" s="142">
        <f>-L1123</f>
        <v>0</v>
      </c>
      <c r="M770" s="142">
        <f>-M1121</f>
        <v>0</v>
      </c>
      <c r="N770" s="142">
        <f>-N1123</f>
        <v>0</v>
      </c>
      <c r="O770" s="142">
        <f>-O1121</f>
        <v>0</v>
      </c>
      <c r="P770" s="142">
        <v>0</v>
      </c>
      <c r="Q770" s="142">
        <f t="shared" si="366"/>
        <v>0</v>
      </c>
      <c r="R770" s="142">
        <f t="shared" si="366"/>
        <v>0</v>
      </c>
      <c r="S770" s="142">
        <f t="shared" si="366"/>
        <v>0</v>
      </c>
      <c r="T770" s="142">
        <f t="shared" si="366"/>
        <v>0</v>
      </c>
      <c r="U770" s="142">
        <f t="shared" si="366"/>
        <v>0</v>
      </c>
      <c r="V770" s="142">
        <f t="shared" si="366"/>
        <v>0</v>
      </c>
      <c r="W770" s="142">
        <f t="shared" si="366"/>
        <v>0</v>
      </c>
      <c r="X770" s="349">
        <f t="shared" si="366"/>
        <v>0</v>
      </c>
      <c r="Y770" s="349">
        <f t="shared" si="366"/>
        <v>0</v>
      </c>
      <c r="Z770" s="349">
        <f t="shared" si="366"/>
        <v>0</v>
      </c>
      <c r="AA770" s="349">
        <f>SUM(G770:Z770)</f>
        <v>264171.03555150004</v>
      </c>
      <c r="AB770" s="268" t="str">
        <f t="shared" ref="AB770" si="369">IF(ABS(F770-AA770)&lt;0.01,"ok","err")</f>
        <v>ok</v>
      </c>
      <c r="AC770" s="69"/>
      <c r="AD770" s="69"/>
      <c r="AE770" s="69"/>
      <c r="AF770" s="69"/>
      <c r="AG770" s="69"/>
      <c r="AH770" s="69"/>
      <c r="AI770" s="69"/>
    </row>
    <row r="771" spans="1:54">
      <c r="A771" s="68" t="s">
        <v>1407</v>
      </c>
      <c r="E771" s="60" t="s">
        <v>854</v>
      </c>
      <c r="F771" s="79">
        <f>-F770</f>
        <v>-264171.03555149998</v>
      </c>
      <c r="G771" s="79">
        <f t="shared" ref="G771:Z771" si="370">IF(VLOOKUP($E771,$D$6:$AN$1150,3,)=0,0,(VLOOKUP($E771,$D$6:$AN$1150,G$2,)/VLOOKUP($E771,$D$6:$AN$1150,3,))*$F771)</f>
        <v>-94700.563519768126</v>
      </c>
      <c r="H771" s="79">
        <f t="shared" si="370"/>
        <v>-254.41712725459215</v>
      </c>
      <c r="I771" s="79">
        <f t="shared" si="370"/>
        <v>-28072.72885989619</v>
      </c>
      <c r="J771" s="79">
        <f t="shared" si="370"/>
        <v>-2378.3668822773448</v>
      </c>
      <c r="K771" s="79">
        <f t="shared" si="370"/>
        <v>-35384.345646431451</v>
      </c>
      <c r="L771" s="79">
        <f t="shared" si="370"/>
        <v>-45740.424807397481</v>
      </c>
      <c r="M771" s="79">
        <f t="shared" si="370"/>
        <v>-30207.765879848757</v>
      </c>
      <c r="N771" s="79">
        <f t="shared" si="370"/>
        <v>-23660.290716785235</v>
      </c>
      <c r="O771" s="79">
        <f t="shared" si="370"/>
        <v>-1293.4925569823502</v>
      </c>
      <c r="P771" s="79">
        <f t="shared" si="370"/>
        <v>-2321.665907492335</v>
      </c>
      <c r="Q771" s="79">
        <f t="shared" si="370"/>
        <v>-80.863670920348838</v>
      </c>
      <c r="R771" s="79">
        <f t="shared" si="370"/>
        <v>-75.411141685856578</v>
      </c>
      <c r="S771" s="79">
        <f t="shared" si="370"/>
        <v>-0.27085709653555634</v>
      </c>
      <c r="T771" s="79">
        <f t="shared" si="370"/>
        <v>-0.4279776633570479</v>
      </c>
      <c r="U771" s="79">
        <f t="shared" si="370"/>
        <v>0</v>
      </c>
      <c r="V771" s="79">
        <f t="shared" si="370"/>
        <v>0</v>
      </c>
      <c r="W771" s="79">
        <f t="shared" si="370"/>
        <v>0</v>
      </c>
      <c r="X771" s="63">
        <f t="shared" si="370"/>
        <v>0</v>
      </c>
      <c r="Y771" s="63">
        <f t="shared" si="370"/>
        <v>0</v>
      </c>
      <c r="Z771" s="63">
        <f t="shared" si="370"/>
        <v>0</v>
      </c>
      <c r="AA771" s="63">
        <f>SUM(G771:Z771)</f>
        <v>-264171.03555149998</v>
      </c>
      <c r="AB771" s="58" t="str">
        <f t="shared" si="354"/>
        <v>ok</v>
      </c>
    </row>
    <row r="772" spans="1:54">
      <c r="A772" s="68"/>
      <c r="D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63"/>
      <c r="Y772" s="63"/>
      <c r="Z772" s="63"/>
      <c r="AA772" s="63"/>
      <c r="AB772" s="58"/>
    </row>
    <row r="773" spans="1:54" hidden="1">
      <c r="A773" s="60" t="s">
        <v>197</v>
      </c>
      <c r="AA773" s="64"/>
      <c r="AB773" s="58"/>
    </row>
    <row r="774" spans="1:54" s="60" customFormat="1" hidden="1">
      <c r="B774" s="60" t="s">
        <v>1164</v>
      </c>
      <c r="E774" s="60" t="s">
        <v>1037</v>
      </c>
      <c r="F774" s="79"/>
      <c r="G774" s="79">
        <f t="shared" ref="G774:P775" si="371">IF(VLOOKUP($E774,$D$6:$AN$1150,3,)=0,0,(VLOOKUP($E774,$D$6:$AN$1150,G$2,)/VLOOKUP($E774,$D$6:$AN$1150,3,))*$F774)</f>
        <v>0</v>
      </c>
      <c r="H774" s="79">
        <f t="shared" si="371"/>
        <v>0</v>
      </c>
      <c r="I774" s="79">
        <f t="shared" si="371"/>
        <v>0</v>
      </c>
      <c r="J774" s="79">
        <f t="shared" si="371"/>
        <v>0</v>
      </c>
      <c r="K774" s="79">
        <f t="shared" si="371"/>
        <v>0</v>
      </c>
      <c r="L774" s="79">
        <f t="shared" si="371"/>
        <v>0</v>
      </c>
      <c r="M774" s="79">
        <f t="shared" si="371"/>
        <v>0</v>
      </c>
      <c r="N774" s="79">
        <f t="shared" si="371"/>
        <v>0</v>
      </c>
      <c r="O774" s="79">
        <f t="shared" si="371"/>
        <v>0</v>
      </c>
      <c r="P774" s="79">
        <f t="shared" si="371"/>
        <v>0</v>
      </c>
      <c r="Q774" s="79">
        <f t="shared" ref="Q774:Z775" si="372">IF(VLOOKUP($E774,$D$6:$AN$1150,3,)=0,0,(VLOOKUP($E774,$D$6:$AN$1150,Q$2,)/VLOOKUP($E774,$D$6:$AN$1150,3,))*$F774)</f>
        <v>0</v>
      </c>
      <c r="R774" s="79">
        <f t="shared" si="372"/>
        <v>0</v>
      </c>
      <c r="S774" s="79">
        <f t="shared" si="372"/>
        <v>0</v>
      </c>
      <c r="T774" s="79">
        <f t="shared" si="372"/>
        <v>0</v>
      </c>
      <c r="U774" s="79">
        <f t="shared" si="372"/>
        <v>0</v>
      </c>
      <c r="V774" s="79">
        <f t="shared" si="372"/>
        <v>0</v>
      </c>
      <c r="W774" s="79">
        <f t="shared" si="372"/>
        <v>0</v>
      </c>
      <c r="X774" s="79">
        <f t="shared" si="372"/>
        <v>0</v>
      </c>
      <c r="Y774" s="79">
        <f t="shared" si="372"/>
        <v>0</v>
      </c>
      <c r="Z774" s="79">
        <f t="shared" si="372"/>
        <v>0</v>
      </c>
      <c r="AA774" s="79">
        <f t="shared" ref="AA774:AA775" si="373">SUM(G774:Z774)</f>
        <v>0</v>
      </c>
      <c r="AB774" s="93" t="str">
        <f t="shared" ref="AB774:AB776" si="374">IF(ABS(F774-AA774)&lt;0.01,"ok","err")</f>
        <v>ok</v>
      </c>
    </row>
    <row r="775" spans="1:54" s="70" customFormat="1" hidden="1">
      <c r="B775" s="70" t="s">
        <v>1100</v>
      </c>
      <c r="E775" s="70" t="s">
        <v>796</v>
      </c>
      <c r="F775" s="143">
        <v>0</v>
      </c>
      <c r="G775" s="143">
        <f t="shared" si="371"/>
        <v>0</v>
      </c>
      <c r="H775" s="143">
        <f t="shared" si="371"/>
        <v>0</v>
      </c>
      <c r="I775" s="143">
        <f t="shared" si="371"/>
        <v>0</v>
      </c>
      <c r="J775" s="143">
        <f t="shared" si="371"/>
        <v>0</v>
      </c>
      <c r="K775" s="143">
        <f t="shared" si="371"/>
        <v>0</v>
      </c>
      <c r="L775" s="143">
        <f t="shared" si="371"/>
        <v>0</v>
      </c>
      <c r="M775" s="143">
        <f t="shared" si="371"/>
        <v>0</v>
      </c>
      <c r="N775" s="143">
        <f t="shared" si="371"/>
        <v>0</v>
      </c>
      <c r="O775" s="143">
        <f t="shared" si="371"/>
        <v>0</v>
      </c>
      <c r="P775" s="143">
        <f t="shared" si="371"/>
        <v>0</v>
      </c>
      <c r="Q775" s="143">
        <f t="shared" si="372"/>
        <v>0</v>
      </c>
      <c r="R775" s="143">
        <f t="shared" si="372"/>
        <v>0</v>
      </c>
      <c r="S775" s="143">
        <f t="shared" si="372"/>
        <v>0</v>
      </c>
      <c r="T775" s="143">
        <f t="shared" si="372"/>
        <v>0</v>
      </c>
      <c r="U775" s="143">
        <f t="shared" si="372"/>
        <v>0</v>
      </c>
      <c r="V775" s="142">
        <f t="shared" si="372"/>
        <v>0</v>
      </c>
      <c r="W775" s="142">
        <f t="shared" si="372"/>
        <v>0</v>
      </c>
      <c r="X775" s="142">
        <f t="shared" si="372"/>
        <v>0</v>
      </c>
      <c r="Y775" s="142">
        <f t="shared" si="372"/>
        <v>0</v>
      </c>
      <c r="Z775" s="142">
        <f t="shared" si="372"/>
        <v>0</v>
      </c>
      <c r="AA775" s="142">
        <f t="shared" si="373"/>
        <v>0</v>
      </c>
      <c r="AB775" s="141" t="str">
        <f t="shared" si="374"/>
        <v>ok</v>
      </c>
    </row>
    <row r="776" spans="1:54" s="60" customFormat="1" hidden="1">
      <c r="A776" s="60" t="s">
        <v>668</v>
      </c>
      <c r="F776" s="79">
        <f t="shared" ref="F776:Z776" si="375">SUM(F774:F775)</f>
        <v>0</v>
      </c>
      <c r="G776" s="79">
        <f t="shared" si="375"/>
        <v>0</v>
      </c>
      <c r="H776" s="79">
        <f t="shared" si="375"/>
        <v>0</v>
      </c>
      <c r="I776" s="79">
        <f t="shared" si="375"/>
        <v>0</v>
      </c>
      <c r="J776" s="79">
        <f t="shared" si="375"/>
        <v>0</v>
      </c>
      <c r="K776" s="79">
        <f t="shared" si="375"/>
        <v>0</v>
      </c>
      <c r="L776" s="79">
        <f t="shared" si="375"/>
        <v>0</v>
      </c>
      <c r="M776" s="79">
        <f t="shared" si="375"/>
        <v>0</v>
      </c>
      <c r="N776" s="79">
        <f t="shared" si="375"/>
        <v>0</v>
      </c>
      <c r="O776" s="79">
        <f t="shared" si="375"/>
        <v>0</v>
      </c>
      <c r="P776" s="79">
        <f t="shared" si="375"/>
        <v>0</v>
      </c>
      <c r="Q776" s="79">
        <f t="shared" si="375"/>
        <v>0</v>
      </c>
      <c r="R776" s="79">
        <f t="shared" si="375"/>
        <v>0</v>
      </c>
      <c r="S776" s="79">
        <f t="shared" si="375"/>
        <v>0</v>
      </c>
      <c r="T776" s="79">
        <f t="shared" si="375"/>
        <v>0</v>
      </c>
      <c r="U776" s="79">
        <f t="shared" si="375"/>
        <v>0</v>
      </c>
      <c r="V776" s="79">
        <f t="shared" si="375"/>
        <v>0</v>
      </c>
      <c r="W776" s="79">
        <f t="shared" si="375"/>
        <v>0</v>
      </c>
      <c r="X776" s="79">
        <f t="shared" si="375"/>
        <v>0</v>
      </c>
      <c r="Y776" s="79">
        <f t="shared" si="375"/>
        <v>0</v>
      </c>
      <c r="Z776" s="79">
        <f t="shared" si="375"/>
        <v>0</v>
      </c>
      <c r="AA776" s="149">
        <f>SUM(G776:Z776)</f>
        <v>0</v>
      </c>
      <c r="AB776" s="141" t="str">
        <f t="shared" si="374"/>
        <v>ok</v>
      </c>
    </row>
    <row r="777" spans="1:54" s="60" customFormat="1">
      <c r="AA777" s="149"/>
      <c r="AB777" s="141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</row>
    <row r="778" spans="1:54" s="60" customFormat="1">
      <c r="A778" s="60" t="s">
        <v>1043</v>
      </c>
      <c r="D778" s="60" t="s">
        <v>1004</v>
      </c>
      <c r="F778" s="80">
        <f t="shared" ref="F778:Z778" si="376">SUM(F758:F775)</f>
        <v>969736807.38150656</v>
      </c>
      <c r="G778" s="80">
        <f t="shared" si="376"/>
        <v>431720721.0443399</v>
      </c>
      <c r="H778" s="80">
        <f t="shared" si="376"/>
        <v>1314050.6593233633</v>
      </c>
      <c r="I778" s="80">
        <f t="shared" si="376"/>
        <v>114969842.84615836</v>
      </c>
      <c r="J778" s="80">
        <f t="shared" si="376"/>
        <v>7605668.0836362625</v>
      </c>
      <c r="K778" s="80">
        <f t="shared" si="376"/>
        <v>119634824.85877286</v>
      </c>
      <c r="L778" s="80">
        <f t="shared" si="376"/>
        <v>124104245.28780454</v>
      </c>
      <c r="M778" s="80">
        <f t="shared" si="376"/>
        <v>94107834.210364044</v>
      </c>
      <c r="N778" s="80">
        <f t="shared" si="376"/>
        <v>57518843.000075713</v>
      </c>
      <c r="O778" s="80">
        <f t="shared" si="376"/>
        <v>3534798.6629421799</v>
      </c>
      <c r="P778" s="80">
        <f t="shared" si="376"/>
        <v>14558512.643763669</v>
      </c>
      <c r="Q778" s="80">
        <f t="shared" si="376"/>
        <v>207632.48136365326</v>
      </c>
      <c r="R778" s="80">
        <f t="shared" si="376"/>
        <v>244305.8444121893</v>
      </c>
      <c r="S778" s="80">
        <f t="shared" si="376"/>
        <v>3817.0018108205704</v>
      </c>
      <c r="T778" s="80">
        <f t="shared" si="376"/>
        <v>45263.65187383454</v>
      </c>
      <c r="U778" s="80">
        <f t="shared" si="376"/>
        <v>153855.85858076424</v>
      </c>
      <c r="V778" s="80">
        <f t="shared" si="376"/>
        <v>12591.246284675426</v>
      </c>
      <c r="W778" s="80">
        <f t="shared" si="376"/>
        <v>0</v>
      </c>
      <c r="X778" s="80">
        <f t="shared" si="376"/>
        <v>0</v>
      </c>
      <c r="Y778" s="80">
        <f t="shared" si="376"/>
        <v>0</v>
      </c>
      <c r="Z778" s="80">
        <f t="shared" si="376"/>
        <v>0</v>
      </c>
      <c r="AA778" s="80">
        <f>SUM(G778:Z778)</f>
        <v>969736807.3815068</v>
      </c>
      <c r="AB778" s="93" t="str">
        <f>IF(ABS(F778-AA778)&lt;0.01,"ok","err")</f>
        <v>ok</v>
      </c>
    </row>
    <row r="779" spans="1:54" s="60" customFormat="1"/>
    <row r="780" spans="1:54" s="60" customFormat="1" ht="14.1">
      <c r="A780" s="65" t="s">
        <v>822</v>
      </c>
      <c r="F780" s="80">
        <f t="shared" ref="F780:AA780" si="377">F754-F778</f>
        <v>150339127.86581695</v>
      </c>
      <c r="G780" s="80">
        <f t="shared" si="377"/>
        <v>23145721.975566566</v>
      </c>
      <c r="H780" s="80">
        <f t="shared" si="377"/>
        <v>-90963.648353573401</v>
      </c>
      <c r="I780" s="80">
        <f t="shared" si="377"/>
        <v>39054241.220137477</v>
      </c>
      <c r="J780" s="80">
        <f t="shared" si="377"/>
        <v>2892901.722542231</v>
      </c>
      <c r="K780" s="80">
        <f t="shared" si="377"/>
        <v>34859903.28754501</v>
      </c>
      <c r="L780" s="80">
        <f t="shared" si="377"/>
        <v>20231031.302532792</v>
      </c>
      <c r="M780" s="80">
        <f t="shared" si="377"/>
        <v>13191329.403622374</v>
      </c>
      <c r="N780" s="80">
        <f t="shared" si="377"/>
        <v>8395870.171954304</v>
      </c>
      <c r="O780" s="80">
        <f t="shared" si="377"/>
        <v>325240.69962773612</v>
      </c>
      <c r="P780" s="80">
        <f t="shared" si="377"/>
        <v>8136189.6405850872</v>
      </c>
      <c r="Q780" s="80">
        <f t="shared" si="377"/>
        <v>51026.757972055173</v>
      </c>
      <c r="R780" s="80">
        <f t="shared" si="377"/>
        <v>86745.008355585713</v>
      </c>
      <c r="S780" s="80">
        <f t="shared" si="377"/>
        <v>11873.857751980075</v>
      </c>
      <c r="T780" s="80">
        <f t="shared" si="377"/>
        <v>-32568.42915743855</v>
      </c>
      <c r="U780" s="80">
        <f t="shared" si="377"/>
        <v>83240.141419235762</v>
      </c>
      <c r="V780" s="80">
        <f t="shared" si="377"/>
        <v>-2655.2462846754261</v>
      </c>
      <c r="W780" s="80">
        <f t="shared" si="377"/>
        <v>0</v>
      </c>
      <c r="X780" s="80">
        <f t="shared" si="377"/>
        <v>0</v>
      </c>
      <c r="Y780" s="80">
        <f t="shared" si="377"/>
        <v>0</v>
      </c>
      <c r="Z780" s="80">
        <f t="shared" si="377"/>
        <v>0</v>
      </c>
      <c r="AA780" s="80">
        <f t="shared" si="377"/>
        <v>150339127.86581671</v>
      </c>
      <c r="AB780" s="93" t="str">
        <f>IF(ABS(F780-AA780)&lt;0.01,"ok","err")</f>
        <v>ok</v>
      </c>
    </row>
    <row r="781" spans="1:54" s="60" customFormat="1" ht="14.1">
      <c r="A781" s="65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93"/>
    </row>
    <row r="782" spans="1:54" s="60" customFormat="1" ht="14.1">
      <c r="A782" s="65"/>
      <c r="F782" s="80"/>
      <c r="G782" s="80"/>
      <c r="H782" s="80"/>
      <c r="I782" s="80"/>
      <c r="J782" s="132"/>
      <c r="K782" s="80"/>
      <c r="L782" s="80"/>
      <c r="M782" s="80"/>
      <c r="N782" s="132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93"/>
    </row>
    <row r="783" spans="1:54" s="60" customFormat="1" ht="14.1">
      <c r="A783" s="65" t="s">
        <v>198</v>
      </c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93"/>
    </row>
    <row r="784" spans="1:54" s="60" customFormat="1" ht="14.1">
      <c r="A784" s="65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93"/>
    </row>
    <row r="785" spans="1:28" s="60" customFormat="1" ht="14.1">
      <c r="A785" s="65" t="s">
        <v>822</v>
      </c>
      <c r="F785" s="80">
        <f>F780</f>
        <v>150339127.86581695</v>
      </c>
      <c r="G785" s="80">
        <f t="shared" ref="G785:Z785" si="378">G780</f>
        <v>23145721.975566566</v>
      </c>
      <c r="H785" s="80">
        <f t="shared" si="378"/>
        <v>-90963.648353573401</v>
      </c>
      <c r="I785" s="80">
        <f t="shared" si="378"/>
        <v>39054241.220137477</v>
      </c>
      <c r="J785" s="80">
        <f t="shared" si="378"/>
        <v>2892901.722542231</v>
      </c>
      <c r="K785" s="80">
        <f t="shared" si="378"/>
        <v>34859903.28754501</v>
      </c>
      <c r="L785" s="80">
        <f t="shared" si="378"/>
        <v>20231031.302532792</v>
      </c>
      <c r="M785" s="80">
        <f t="shared" si="378"/>
        <v>13191329.403622374</v>
      </c>
      <c r="N785" s="80">
        <f t="shared" si="378"/>
        <v>8395870.171954304</v>
      </c>
      <c r="O785" s="80">
        <f>O780</f>
        <v>325240.69962773612</v>
      </c>
      <c r="P785" s="80">
        <f t="shared" si="378"/>
        <v>8136189.6405850872</v>
      </c>
      <c r="Q785" s="80">
        <f t="shared" si="378"/>
        <v>51026.757972055173</v>
      </c>
      <c r="R785" s="80">
        <f t="shared" si="378"/>
        <v>86745.008355585713</v>
      </c>
      <c r="S785" s="80">
        <f t="shared" si="378"/>
        <v>11873.857751980075</v>
      </c>
      <c r="T785" s="80">
        <f t="shared" si="378"/>
        <v>-32568.42915743855</v>
      </c>
      <c r="U785" s="80">
        <f t="shared" si="378"/>
        <v>83240.141419235762</v>
      </c>
      <c r="V785" s="80">
        <f t="shared" si="378"/>
        <v>-2655.2462846754261</v>
      </c>
      <c r="W785" s="80">
        <f t="shared" si="378"/>
        <v>0</v>
      </c>
      <c r="X785" s="80">
        <f t="shared" si="378"/>
        <v>0</v>
      </c>
      <c r="Y785" s="80">
        <f t="shared" si="378"/>
        <v>0</v>
      </c>
      <c r="Z785" s="80">
        <f t="shared" si="378"/>
        <v>0</v>
      </c>
      <c r="AA785" s="80"/>
      <c r="AB785" s="93"/>
    </row>
    <row r="786" spans="1:28" s="60" customFormat="1"/>
    <row r="787" spans="1:28" s="60" customFormat="1" ht="14.1" hidden="1">
      <c r="A787" s="65" t="s">
        <v>1026</v>
      </c>
      <c r="F787" s="80">
        <f t="shared" ref="F787:Z787" si="379">F729</f>
        <v>3460077816.1601419</v>
      </c>
      <c r="G787" s="80">
        <f t="shared" si="379"/>
        <v>1748092633.3997715</v>
      </c>
      <c r="H787" s="80">
        <f t="shared" si="379"/>
        <v>4038872.4825251354</v>
      </c>
      <c r="I787" s="80">
        <f t="shared" si="379"/>
        <v>403486900.96194375</v>
      </c>
      <c r="J787" s="80">
        <f t="shared" si="379"/>
        <v>22814218.96311127</v>
      </c>
      <c r="K787" s="80">
        <f t="shared" si="379"/>
        <v>390090310.94908422</v>
      </c>
      <c r="L787" s="80">
        <f t="shared" si="379"/>
        <v>335323415.21704251</v>
      </c>
      <c r="M787" s="80">
        <f t="shared" si="379"/>
        <v>296063156.00640303</v>
      </c>
      <c r="N787" s="80">
        <f t="shared" si="379"/>
        <v>145224286.58182222</v>
      </c>
      <c r="O787" s="80">
        <f t="shared" si="379"/>
        <v>9832808.5275934432</v>
      </c>
      <c r="P787" s="80">
        <f t="shared" si="379"/>
        <v>101460556.34610823</v>
      </c>
      <c r="Q787" s="80">
        <f t="shared" si="379"/>
        <v>518946.28609536134</v>
      </c>
      <c r="R787" s="80">
        <f t="shared" si="379"/>
        <v>623432.36842078215</v>
      </c>
      <c r="S787" s="80">
        <f t="shared" si="379"/>
        <v>12817.118099669618</v>
      </c>
      <c r="T787" s="80">
        <f t="shared" si="379"/>
        <v>120162.32212078768</v>
      </c>
      <c r="U787" s="80">
        <f t="shared" si="379"/>
        <v>2314621.8400000003</v>
      </c>
      <c r="V787" s="80">
        <f t="shared" si="379"/>
        <v>60676.790000000008</v>
      </c>
      <c r="W787" s="80">
        <f t="shared" si="379"/>
        <v>0</v>
      </c>
      <c r="X787" s="80">
        <f t="shared" si="379"/>
        <v>0</v>
      </c>
      <c r="Y787" s="80">
        <f t="shared" si="379"/>
        <v>0</v>
      </c>
      <c r="Z787" s="80">
        <f t="shared" si="379"/>
        <v>0</v>
      </c>
      <c r="AA787" s="80">
        <f>SUM(G787:Z787)</f>
        <v>3460077816.1601419</v>
      </c>
      <c r="AB787" s="93" t="str">
        <f>IF(ABS(F787-AA787)&lt;0.01,"ok","err")</f>
        <v>ok</v>
      </c>
    </row>
    <row r="788" spans="1:28" s="60" customFormat="1" ht="14.1" hidden="1">
      <c r="A788" s="65" t="s">
        <v>0</v>
      </c>
      <c r="E788" s="60" t="s">
        <v>663</v>
      </c>
      <c r="F788" s="79">
        <v>0</v>
      </c>
      <c r="G788" s="79">
        <f t="shared" ref="G788:Z788" si="380">IF(VLOOKUP($E788,$D$6:$AN$1150,3,)=0,0,(VLOOKUP($E788,$D$6:$AN$1150,G$2,)/VLOOKUP($E788,$D$6:$AN$1150,3,))*$F788)</f>
        <v>0</v>
      </c>
      <c r="H788" s="79">
        <f t="shared" si="380"/>
        <v>0</v>
      </c>
      <c r="I788" s="79">
        <f t="shared" si="380"/>
        <v>0</v>
      </c>
      <c r="J788" s="79">
        <f t="shared" si="380"/>
        <v>0</v>
      </c>
      <c r="K788" s="79">
        <f t="shared" si="380"/>
        <v>0</v>
      </c>
      <c r="L788" s="79">
        <f t="shared" si="380"/>
        <v>0</v>
      </c>
      <c r="M788" s="79">
        <f t="shared" si="380"/>
        <v>0</v>
      </c>
      <c r="N788" s="79">
        <f t="shared" si="380"/>
        <v>0</v>
      </c>
      <c r="O788" s="79">
        <f t="shared" si="380"/>
        <v>0</v>
      </c>
      <c r="P788" s="79">
        <f t="shared" si="380"/>
        <v>0</v>
      </c>
      <c r="Q788" s="79">
        <f t="shared" si="380"/>
        <v>0</v>
      </c>
      <c r="R788" s="79">
        <f t="shared" si="380"/>
        <v>0</v>
      </c>
      <c r="S788" s="79">
        <f t="shared" si="380"/>
        <v>0</v>
      </c>
      <c r="T788" s="79">
        <f t="shared" si="380"/>
        <v>0</v>
      </c>
      <c r="U788" s="79">
        <f t="shared" si="380"/>
        <v>0</v>
      </c>
      <c r="V788" s="79">
        <f t="shared" si="380"/>
        <v>0</v>
      </c>
      <c r="W788" s="79">
        <f t="shared" si="380"/>
        <v>0</v>
      </c>
      <c r="X788" s="79">
        <f t="shared" si="380"/>
        <v>0</v>
      </c>
      <c r="Y788" s="79">
        <f t="shared" si="380"/>
        <v>0</v>
      </c>
      <c r="Z788" s="79">
        <f t="shared" si="380"/>
        <v>0</v>
      </c>
      <c r="AA788" s="79">
        <f>SUM(G788:Z788)</f>
        <v>0</v>
      </c>
      <c r="AB788" s="93" t="str">
        <f>IF(ABS(F788-AA788)&lt;0.01,"ok","err")</f>
        <v>ok</v>
      </c>
    </row>
    <row r="789" spans="1:28" s="60" customFormat="1" ht="14.1">
      <c r="A789" s="65" t="s">
        <v>836</v>
      </c>
      <c r="F789" s="80">
        <f t="shared" ref="F789:Z789" si="381">SUM(F787:F788)</f>
        <v>3460077816.1601419</v>
      </c>
      <c r="G789" s="80">
        <f t="shared" si="381"/>
        <v>1748092633.3997715</v>
      </c>
      <c r="H789" s="80">
        <f t="shared" si="381"/>
        <v>4038872.4825251354</v>
      </c>
      <c r="I789" s="80">
        <f t="shared" si="381"/>
        <v>403486900.96194375</v>
      </c>
      <c r="J789" s="80">
        <f t="shared" si="381"/>
        <v>22814218.96311127</v>
      </c>
      <c r="K789" s="80">
        <f t="shared" si="381"/>
        <v>390090310.94908422</v>
      </c>
      <c r="L789" s="80">
        <f t="shared" si="381"/>
        <v>335323415.21704251</v>
      </c>
      <c r="M789" s="80">
        <f t="shared" si="381"/>
        <v>296063156.00640303</v>
      </c>
      <c r="N789" s="80">
        <f t="shared" si="381"/>
        <v>145224286.58182222</v>
      </c>
      <c r="O789" s="80">
        <f t="shared" si="381"/>
        <v>9832808.5275934432</v>
      </c>
      <c r="P789" s="80">
        <f t="shared" si="381"/>
        <v>101460556.34610823</v>
      </c>
      <c r="Q789" s="80">
        <f t="shared" si="381"/>
        <v>518946.28609536134</v>
      </c>
      <c r="R789" s="80">
        <f t="shared" si="381"/>
        <v>623432.36842078215</v>
      </c>
      <c r="S789" s="80">
        <f t="shared" si="381"/>
        <v>12817.118099669618</v>
      </c>
      <c r="T789" s="80">
        <f t="shared" si="381"/>
        <v>120162.32212078768</v>
      </c>
      <c r="U789" s="80">
        <f t="shared" si="381"/>
        <v>2314621.8400000003</v>
      </c>
      <c r="V789" s="80">
        <f t="shared" si="381"/>
        <v>60676.790000000008</v>
      </c>
      <c r="W789" s="80">
        <f t="shared" si="381"/>
        <v>0</v>
      </c>
      <c r="X789" s="80">
        <f t="shared" si="381"/>
        <v>0</v>
      </c>
      <c r="Y789" s="80">
        <f t="shared" si="381"/>
        <v>0</v>
      </c>
      <c r="Z789" s="80">
        <f t="shared" si="381"/>
        <v>0</v>
      </c>
      <c r="AA789" s="80">
        <f>SUM(G789:Z789)</f>
        <v>3460077816.1601419</v>
      </c>
      <c r="AB789" s="93" t="str">
        <f>IF(ABS(F789-AA789)&lt;0.01,"ok","err")</f>
        <v>ok</v>
      </c>
    </row>
    <row r="790" spans="1:28" s="60" customFormat="1" ht="14.1" thickBot="1"/>
    <row r="791" spans="1:28" s="60" customFormat="1" ht="14.4" thickBot="1">
      <c r="A791" s="281" t="s">
        <v>1044</v>
      </c>
      <c r="B791" s="146"/>
      <c r="C791" s="146"/>
      <c r="D791" s="146"/>
      <c r="E791" s="146"/>
      <c r="F791" s="147">
        <f t="shared" ref="F791:Z791" si="382">F780/F789</f>
        <v>4.3449637798220787E-2</v>
      </c>
      <c r="G791" s="147">
        <f t="shared" si="382"/>
        <v>1.3240558042139732E-2</v>
      </c>
      <c r="H791" s="147">
        <f t="shared" si="382"/>
        <v>-2.2522040185012773E-2</v>
      </c>
      <c r="I791" s="147">
        <f t="shared" si="382"/>
        <v>9.6791844114466091E-2</v>
      </c>
      <c r="J791" s="147">
        <f t="shared" si="382"/>
        <v>0.12680257549994664</v>
      </c>
      <c r="K791" s="147">
        <f t="shared" si="382"/>
        <v>8.9363673767572843E-2</v>
      </c>
      <c r="L791" s="147">
        <f t="shared" si="382"/>
        <v>6.0332891723168185E-2</v>
      </c>
      <c r="M791" s="147">
        <f t="shared" si="382"/>
        <v>4.4555795397037114E-2</v>
      </c>
      <c r="N791" s="147">
        <f t="shared" si="382"/>
        <v>5.7813127332692428E-2</v>
      </c>
      <c r="O791" s="147">
        <f t="shared" si="382"/>
        <v>3.3077090712691624E-2</v>
      </c>
      <c r="P791" s="147">
        <f t="shared" si="382"/>
        <v>8.0190666536761712E-2</v>
      </c>
      <c r="Q791" s="147">
        <f t="shared" si="382"/>
        <v>9.8327629157901941E-2</v>
      </c>
      <c r="R791" s="147">
        <f t="shared" si="382"/>
        <v>0.13914100831068441</v>
      </c>
      <c r="S791" s="147">
        <f t="shared" si="382"/>
        <v>0.92640620611010382</v>
      </c>
      <c r="T791" s="147">
        <f t="shared" si="382"/>
        <v>-0.27103694887571017</v>
      </c>
      <c r="U791" s="147">
        <f t="shared" si="382"/>
        <v>3.5962739131173045E-2</v>
      </c>
      <c r="V791" s="147">
        <f t="shared" si="382"/>
        <v>-4.3760493669415042E-2</v>
      </c>
      <c r="W791" s="147" t="e">
        <f t="shared" si="382"/>
        <v>#DIV/0!</v>
      </c>
      <c r="X791" s="147" t="e">
        <f t="shared" si="382"/>
        <v>#DIV/0!</v>
      </c>
      <c r="Y791" s="147" t="e">
        <f t="shared" si="382"/>
        <v>#DIV/0!</v>
      </c>
      <c r="Z791" s="147" t="e">
        <f t="shared" si="382"/>
        <v>#DIV/0!</v>
      </c>
      <c r="AA791" s="137"/>
      <c r="AB791" s="137"/>
    </row>
    <row r="792" spans="1:28" s="60" customFormat="1"/>
    <row r="793" spans="1:28" s="60" customFormat="1" ht="14.1">
      <c r="A793" s="65" t="s">
        <v>798</v>
      </c>
    </row>
    <row r="794" spans="1:28" s="60" customFormat="1"/>
    <row r="795" spans="1:28" s="60" customFormat="1">
      <c r="A795" s="60" t="s">
        <v>794</v>
      </c>
      <c r="F795" s="80">
        <f t="shared" ref="F795:Z795" si="383">F754</f>
        <v>1120075935.2473235</v>
      </c>
      <c r="G795" s="80">
        <f t="shared" si="383"/>
        <v>454866443.01990646</v>
      </c>
      <c r="H795" s="80">
        <f t="shared" si="383"/>
        <v>1223087.0109697899</v>
      </c>
      <c r="I795" s="80">
        <f t="shared" si="383"/>
        <v>154024084.06629583</v>
      </c>
      <c r="J795" s="80">
        <f t="shared" si="383"/>
        <v>10498569.806178493</v>
      </c>
      <c r="K795" s="80">
        <f t="shared" si="383"/>
        <v>154494728.14631787</v>
      </c>
      <c r="L795" s="80">
        <f t="shared" si="383"/>
        <v>144335276.59033734</v>
      </c>
      <c r="M795" s="80">
        <f t="shared" si="383"/>
        <v>107299163.61398642</v>
      </c>
      <c r="N795" s="80">
        <f t="shared" si="383"/>
        <v>65914713.172030017</v>
      </c>
      <c r="O795" s="80">
        <f t="shared" si="383"/>
        <v>3860039.3625699161</v>
      </c>
      <c r="P795" s="80">
        <f t="shared" si="383"/>
        <v>22694702.284348756</v>
      </c>
      <c r="Q795" s="80">
        <f t="shared" si="383"/>
        <v>258659.23933570844</v>
      </c>
      <c r="R795" s="80">
        <f t="shared" si="383"/>
        <v>331050.85276777501</v>
      </c>
      <c r="S795" s="80">
        <f t="shared" si="383"/>
        <v>15690.859562800646</v>
      </c>
      <c r="T795" s="80">
        <f t="shared" si="383"/>
        <v>12695.222716395989</v>
      </c>
      <c r="U795" s="80">
        <f t="shared" si="383"/>
        <v>237096</v>
      </c>
      <c r="V795" s="80">
        <f t="shared" si="383"/>
        <v>9936</v>
      </c>
      <c r="W795" s="80">
        <f t="shared" si="383"/>
        <v>0</v>
      </c>
      <c r="X795" s="80">
        <f t="shared" si="383"/>
        <v>0</v>
      </c>
      <c r="Y795" s="80">
        <f t="shared" si="383"/>
        <v>0</v>
      </c>
      <c r="Z795" s="80">
        <f t="shared" si="383"/>
        <v>0</v>
      </c>
      <c r="AA795" s="80">
        <f>SUM(G795:Z795)</f>
        <v>1120075935.2473235</v>
      </c>
      <c r="AB795" s="93" t="str">
        <f>IF(ABS(F795-AA795)&lt;0.01,"ok","err")</f>
        <v>ok</v>
      </c>
    </row>
    <row r="796" spans="1:28" s="60" customFormat="1"/>
    <row r="797" spans="1:28" s="60" customFormat="1">
      <c r="A797" s="60" t="s">
        <v>1040</v>
      </c>
      <c r="F797" s="80">
        <f>F758+F759+F761+F764+F765+F768+F769+F770+F771</f>
        <v>961979222.97269559</v>
      </c>
      <c r="G797" s="80">
        <f t="shared" ref="G797:Z797" si="384">G758+G759+G761+G764+G765+G768+G769+G770+G771</f>
        <v>433179763.81014621</v>
      </c>
      <c r="H797" s="80">
        <f t="shared" si="384"/>
        <v>1304999.7576633352</v>
      </c>
      <c r="I797" s="80">
        <f t="shared" si="384"/>
        <v>111809920.99621087</v>
      </c>
      <c r="J797" s="80">
        <f t="shared" si="384"/>
        <v>7355608.0446363781</v>
      </c>
      <c r="K797" s="80">
        <f t="shared" si="384"/>
        <v>116875966.93497911</v>
      </c>
      <c r="L797" s="80">
        <f t="shared" si="384"/>
        <v>122746842.25405887</v>
      </c>
      <c r="M797" s="80">
        <f t="shared" si="384"/>
        <v>93385878.350803927</v>
      </c>
      <c r="N797" s="80">
        <f t="shared" si="384"/>
        <v>57200515.577249505</v>
      </c>
      <c r="O797" s="80">
        <f t="shared" si="384"/>
        <v>3522346.0435293335</v>
      </c>
      <c r="P797" s="80">
        <f t="shared" si="384"/>
        <v>13947838.873690156</v>
      </c>
      <c r="Q797" s="80">
        <f t="shared" si="384"/>
        <v>203464.03732742294</v>
      </c>
      <c r="R797" s="80">
        <f t="shared" si="384"/>
        <v>236691.5014253254</v>
      </c>
      <c r="S797" s="80">
        <f t="shared" si="384"/>
        <v>2615.507573078678</v>
      </c>
      <c r="T797" s="80">
        <f t="shared" si="384"/>
        <v>48669.957821255004</v>
      </c>
      <c r="U797" s="80">
        <f t="shared" si="384"/>
        <v>145235.08856268827</v>
      </c>
      <c r="V797" s="80">
        <f t="shared" si="384"/>
        <v>12866.237018367859</v>
      </c>
      <c r="W797" s="80">
        <f t="shared" si="384"/>
        <v>0</v>
      </c>
      <c r="X797" s="80">
        <f t="shared" si="384"/>
        <v>0</v>
      </c>
      <c r="Y797" s="80">
        <f t="shared" si="384"/>
        <v>0</v>
      </c>
      <c r="Z797" s="80">
        <f t="shared" si="384"/>
        <v>0</v>
      </c>
      <c r="AA797" s="80">
        <f>SUM(G797:Z797)</f>
        <v>961979222.97269583</v>
      </c>
      <c r="AB797" s="93" t="str">
        <f>IF(ABS(F797-AA797)&lt;0.01,"ok","err")</f>
        <v>ok</v>
      </c>
    </row>
    <row r="798" spans="1:28" s="60" customFormat="1"/>
    <row r="799" spans="1:28" s="60" customFormat="1">
      <c r="A799" s="60" t="s">
        <v>795</v>
      </c>
      <c r="D799" s="60" t="s">
        <v>799</v>
      </c>
      <c r="F799" s="149">
        <f t="shared" ref="F799:Z799" si="385">F691</f>
        <v>75433705.043134436</v>
      </c>
      <c r="G799" s="149">
        <f t="shared" si="385"/>
        <v>38218541.898882881</v>
      </c>
      <c r="H799" s="149">
        <f t="shared" si="385"/>
        <v>87583.183463206195</v>
      </c>
      <c r="I799" s="149">
        <f t="shared" si="385"/>
        <v>8816711.3252257481</v>
      </c>
      <c r="J799" s="149">
        <f t="shared" si="385"/>
        <v>496467.5142994732</v>
      </c>
      <c r="K799" s="149">
        <f t="shared" si="385"/>
        <v>8522330.5338261351</v>
      </c>
      <c r="L799" s="149">
        <f t="shared" si="385"/>
        <v>7239985.428351243</v>
      </c>
      <c r="M799" s="149">
        <f t="shared" si="385"/>
        <v>6448662.4865401536</v>
      </c>
      <c r="N799" s="149">
        <f t="shared" si="385"/>
        <v>3119533.5414673835</v>
      </c>
      <c r="O799" s="149">
        <f t="shared" si="385"/>
        <v>212428.47524419267</v>
      </c>
      <c r="P799" s="149">
        <f t="shared" si="385"/>
        <v>2246282.6778685777</v>
      </c>
      <c r="Q799" s="149">
        <f t="shared" si="385"/>
        <v>11007.682113804402</v>
      </c>
      <c r="R799" s="149">
        <f t="shared" si="385"/>
        <v>13575.996939492743</v>
      </c>
      <c r="S799" s="149">
        <f t="shared" si="385"/>
        <v>272.66155708878466</v>
      </c>
      <c r="T799" s="149">
        <f t="shared" si="385"/>
        <v>321.63735505793045</v>
      </c>
      <c r="U799" s="149">
        <f t="shared" si="385"/>
        <v>0</v>
      </c>
      <c r="V799" s="149">
        <f t="shared" si="385"/>
        <v>0</v>
      </c>
      <c r="W799" s="149">
        <f t="shared" si="385"/>
        <v>0</v>
      </c>
      <c r="X799" s="149">
        <f t="shared" si="385"/>
        <v>0</v>
      </c>
      <c r="Y799" s="149">
        <f t="shared" si="385"/>
        <v>0</v>
      </c>
      <c r="Z799" s="149">
        <f t="shared" si="385"/>
        <v>0</v>
      </c>
      <c r="AA799" s="149">
        <f>SUM(G799:Z799)</f>
        <v>75433705.043134451</v>
      </c>
      <c r="AB799" s="93" t="str">
        <f>IF(ABS(F799-AA799)&lt;0.01,"ok","err")</f>
        <v>ok</v>
      </c>
    </row>
    <row r="800" spans="1:28" s="60" customFormat="1"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49"/>
      <c r="AB800" s="93"/>
    </row>
    <row r="801" spans="1:28" s="60" customFormat="1">
      <c r="A801" s="60" t="s">
        <v>800</v>
      </c>
      <c r="E801" s="60" t="s">
        <v>799</v>
      </c>
      <c r="F801" s="134">
        <f>4970091+1245637</f>
        <v>6215728</v>
      </c>
      <c r="G801" s="133">
        <f t="shared" ref="G801:Z801" si="386">IF(VLOOKUP($E801,$D$6:$AN$1150,3,)=0,0,(VLOOKUP($E801,$D$6:$AN$1150,G$2,)/VLOOKUP($E801,$D$6:$AN$1150,3,))*$F801)</f>
        <v>3149203.1428685673</v>
      </c>
      <c r="H801" s="133">
        <f t="shared" si="386"/>
        <v>7216.8435246564277</v>
      </c>
      <c r="I801" s="133">
        <f t="shared" si="386"/>
        <v>726495.92673176795</v>
      </c>
      <c r="J801" s="133">
        <f t="shared" si="386"/>
        <v>40908.861999514083</v>
      </c>
      <c r="K801" s="133">
        <f t="shared" si="386"/>
        <v>702238.98579643376</v>
      </c>
      <c r="L801" s="133">
        <f t="shared" si="386"/>
        <v>596573.90712628968</v>
      </c>
      <c r="M801" s="133">
        <f t="shared" si="386"/>
        <v>531368.99423430092</v>
      </c>
      <c r="N801" s="133">
        <f t="shared" si="386"/>
        <v>257049.17940263316</v>
      </c>
      <c r="O801" s="133">
        <f t="shared" si="386"/>
        <v>17504.080182958089</v>
      </c>
      <c r="P801" s="133">
        <f t="shared" si="386"/>
        <v>185093.41585116094</v>
      </c>
      <c r="Q801" s="133">
        <f t="shared" si="386"/>
        <v>907.03164972141974</v>
      </c>
      <c r="R801" s="133">
        <f t="shared" si="386"/>
        <v>1118.6604748695104</v>
      </c>
      <c r="S801" s="133">
        <f t="shared" si="386"/>
        <v>22.467278704542537</v>
      </c>
      <c r="T801" s="133">
        <f t="shared" si="386"/>
        <v>26.502878422004237</v>
      </c>
      <c r="U801" s="133">
        <f t="shared" si="386"/>
        <v>0</v>
      </c>
      <c r="V801" s="133">
        <f t="shared" si="386"/>
        <v>0</v>
      </c>
      <c r="W801" s="133">
        <f t="shared" si="386"/>
        <v>0</v>
      </c>
      <c r="X801" s="79">
        <f t="shared" si="386"/>
        <v>0</v>
      </c>
      <c r="Y801" s="79">
        <f t="shared" si="386"/>
        <v>0</v>
      </c>
      <c r="Z801" s="79">
        <f t="shared" si="386"/>
        <v>0</v>
      </c>
      <c r="AA801" s="134">
        <f>SUM(G801:Z801)</f>
        <v>6215728.0000000009</v>
      </c>
      <c r="AB801" s="93" t="str">
        <f>IF(ABS(F801-AA801)&lt;0.01,"ok","err")</f>
        <v>ok</v>
      </c>
    </row>
    <row r="802" spans="1:28" s="60" customFormat="1"/>
    <row r="803" spans="1:28" s="60" customFormat="1">
      <c r="A803" s="60" t="s">
        <v>793</v>
      </c>
      <c r="D803" s="60" t="s">
        <v>801</v>
      </c>
      <c r="F803" s="80">
        <f>F795-F797-F799-F801</f>
        <v>76447279.231493488</v>
      </c>
      <c r="G803" s="80">
        <f t="shared" ref="G803:Z803" si="387">G795-G797-G799-G801</f>
        <v>-19681065.831991199</v>
      </c>
      <c r="H803" s="80">
        <f t="shared" si="387"/>
        <v>-176712.77368140788</v>
      </c>
      <c r="I803" s="80">
        <f t="shared" si="387"/>
        <v>32670955.818127442</v>
      </c>
      <c r="J803" s="80">
        <f t="shared" si="387"/>
        <v>2605585.3852431281</v>
      </c>
      <c r="K803" s="80">
        <f t="shared" si="387"/>
        <v>28394191.69171619</v>
      </c>
      <c r="L803" s="80">
        <f t="shared" si="387"/>
        <v>13751875.000800937</v>
      </c>
      <c r="M803" s="80">
        <f t="shared" si="387"/>
        <v>6933253.7824080363</v>
      </c>
      <c r="N803" s="80">
        <f t="shared" si="387"/>
        <v>5337614.8739104951</v>
      </c>
      <c r="O803" s="80">
        <f>O795-O797-O799-O801</f>
        <v>107760.76361343176</v>
      </c>
      <c r="P803" s="80">
        <f t="shared" si="387"/>
        <v>6315487.3169388613</v>
      </c>
      <c r="Q803" s="80">
        <f t="shared" si="387"/>
        <v>43280.488244759676</v>
      </c>
      <c r="R803" s="80">
        <f t="shared" si="387"/>
        <v>79664.693928087348</v>
      </c>
      <c r="S803" s="80">
        <f t="shared" si="387"/>
        <v>12780.223153928642</v>
      </c>
      <c r="T803" s="80">
        <f t="shared" si="387"/>
        <v>-36322.875338338948</v>
      </c>
      <c r="U803" s="80">
        <f t="shared" si="387"/>
        <v>91860.911437311734</v>
      </c>
      <c r="V803" s="80">
        <f t="shared" si="387"/>
        <v>-2930.2370183678595</v>
      </c>
      <c r="W803" s="80">
        <f t="shared" si="387"/>
        <v>0</v>
      </c>
      <c r="X803" s="80">
        <f t="shared" si="387"/>
        <v>0</v>
      </c>
      <c r="Y803" s="80">
        <f t="shared" si="387"/>
        <v>0</v>
      </c>
      <c r="Z803" s="80">
        <f t="shared" si="387"/>
        <v>0</v>
      </c>
      <c r="AA803" s="80">
        <f>SUM(G803:Z803)</f>
        <v>76447279.231493309</v>
      </c>
      <c r="AB803" s="93" t="str">
        <f>IF(ABS(F803-AA803)&lt;0.01,"ok","err")</f>
        <v>ok</v>
      </c>
    </row>
    <row r="804" spans="1:28" s="60" customFormat="1"/>
    <row r="805" spans="1:28" s="60" customFormat="1" hidden="1"/>
    <row r="806" spans="1:28" s="60" customFormat="1" ht="14.1" hidden="1">
      <c r="A806" s="65" t="s">
        <v>1187</v>
      </c>
    </row>
    <row r="807" spans="1:28" s="60" customFormat="1" hidden="1"/>
    <row r="808" spans="1:28" s="60" customFormat="1" ht="14.1" hidden="1">
      <c r="A808" s="65" t="s">
        <v>1036</v>
      </c>
    </row>
    <row r="809" spans="1:28" s="60" customFormat="1" hidden="1"/>
    <row r="810" spans="1:28" s="60" customFormat="1" hidden="1">
      <c r="A810" s="60" t="s">
        <v>133</v>
      </c>
      <c r="F810" s="80">
        <f t="shared" ref="F810:Z810" si="388">F754</f>
        <v>1120075935.2473235</v>
      </c>
      <c r="G810" s="80">
        <f t="shared" si="388"/>
        <v>454866443.01990646</v>
      </c>
      <c r="H810" s="80">
        <f t="shared" si="388"/>
        <v>1223087.0109697899</v>
      </c>
      <c r="I810" s="80">
        <f t="shared" si="388"/>
        <v>154024084.06629583</v>
      </c>
      <c r="J810" s="80">
        <f t="shared" si="388"/>
        <v>10498569.806178493</v>
      </c>
      <c r="K810" s="80">
        <f t="shared" si="388"/>
        <v>154494728.14631787</v>
      </c>
      <c r="L810" s="80">
        <f t="shared" si="388"/>
        <v>144335276.59033734</v>
      </c>
      <c r="M810" s="80">
        <f t="shared" si="388"/>
        <v>107299163.61398642</v>
      </c>
      <c r="N810" s="80">
        <f t="shared" si="388"/>
        <v>65914713.172030017</v>
      </c>
      <c r="O810" s="80">
        <f t="shared" si="388"/>
        <v>3860039.3625699161</v>
      </c>
      <c r="P810" s="80">
        <f t="shared" si="388"/>
        <v>22694702.284348756</v>
      </c>
      <c r="Q810" s="80">
        <f t="shared" si="388"/>
        <v>258659.23933570844</v>
      </c>
      <c r="R810" s="80">
        <f t="shared" si="388"/>
        <v>331050.85276777501</v>
      </c>
      <c r="S810" s="80">
        <f t="shared" si="388"/>
        <v>15690.859562800646</v>
      </c>
      <c r="T810" s="80">
        <f t="shared" si="388"/>
        <v>12695.222716395989</v>
      </c>
      <c r="U810" s="80">
        <f t="shared" si="388"/>
        <v>237096</v>
      </c>
      <c r="V810" s="80">
        <f t="shared" si="388"/>
        <v>9936</v>
      </c>
      <c r="W810" s="80">
        <f t="shared" si="388"/>
        <v>0</v>
      </c>
      <c r="X810" s="80">
        <f t="shared" si="388"/>
        <v>0</v>
      </c>
      <c r="Y810" s="80">
        <f t="shared" si="388"/>
        <v>0</v>
      </c>
      <c r="Z810" s="80">
        <f t="shared" si="388"/>
        <v>0</v>
      </c>
      <c r="AA810" s="80">
        <f>ROUND(SUM(G810:Z810),2)</f>
        <v>1120075935.25</v>
      </c>
      <c r="AB810" s="93" t="str">
        <f>IF(ABS(F810-AA810)&lt;0.01,"ok","err")</f>
        <v>ok</v>
      </c>
    </row>
    <row r="811" spans="1:28" s="60" customFormat="1" hidden="1"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93"/>
    </row>
    <row r="812" spans="1:28" s="60" customFormat="1" hidden="1">
      <c r="A812" s="60" t="s">
        <v>134</v>
      </c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93"/>
    </row>
    <row r="813" spans="1:28" s="60" customFormat="1" hidden="1">
      <c r="A813" s="60" t="s">
        <v>828</v>
      </c>
      <c r="F813" s="76">
        <f t="shared" ref="F813:Z813" si="389">($F$791*F789-F785)/(1-$E$823)</f>
        <v>0</v>
      </c>
      <c r="G813" s="76">
        <f t="shared" si="389"/>
        <v>70274872.092669755</v>
      </c>
      <c r="H813" s="76">
        <f t="shared" si="389"/>
        <v>354581.27510326868</v>
      </c>
      <c r="I813" s="76">
        <f t="shared" si="389"/>
        <v>-28641683.430983614</v>
      </c>
      <c r="J813" s="76">
        <f t="shared" si="389"/>
        <v>-2530606.6303430144</v>
      </c>
      <c r="K813" s="76">
        <f t="shared" si="389"/>
        <v>-23834648.904314145</v>
      </c>
      <c r="L813" s="76">
        <f t="shared" si="389"/>
        <v>-7533870.6320176274</v>
      </c>
      <c r="M813" s="76">
        <f t="shared" si="389"/>
        <v>-435812.31364159565</v>
      </c>
      <c r="N813" s="76">
        <f t="shared" si="389"/>
        <v>-2775858.5974662947</v>
      </c>
      <c r="O813" s="76">
        <f t="shared" si="389"/>
        <v>135725.39762323102</v>
      </c>
      <c r="P813" s="76">
        <f t="shared" si="389"/>
        <v>-4960742.4151262892</v>
      </c>
      <c r="Q813" s="76">
        <f t="shared" si="389"/>
        <v>-37898.213718809595</v>
      </c>
      <c r="R813" s="76">
        <f t="shared" si="389"/>
        <v>-79388.984555264498</v>
      </c>
      <c r="S813" s="76">
        <f t="shared" si="389"/>
        <v>-15060.09990980596</v>
      </c>
      <c r="T813" s="76">
        <f t="shared" si="389"/>
        <v>50288.486445081893</v>
      </c>
      <c r="U813" s="76">
        <f t="shared" si="389"/>
        <v>23061.105741964006</v>
      </c>
      <c r="V813" s="76">
        <f t="shared" si="389"/>
        <v>7041.8644934098702</v>
      </c>
      <c r="W813" s="76">
        <f t="shared" si="389"/>
        <v>0</v>
      </c>
      <c r="X813" s="76">
        <f t="shared" si="389"/>
        <v>0</v>
      </c>
      <c r="Y813" s="76">
        <f t="shared" si="389"/>
        <v>0</v>
      </c>
      <c r="Z813" s="76">
        <f t="shared" si="389"/>
        <v>0</v>
      </c>
      <c r="AA813" s="80">
        <f>SUM(G813:Z813)</f>
        <v>2.4988548830151558E-7</v>
      </c>
      <c r="AB813" s="93" t="str">
        <f>IF(ABS(F813-AA813)&lt;0.01,"ok","err")</f>
        <v>ok</v>
      </c>
    </row>
    <row r="814" spans="1:28" s="60" customFormat="1" hidden="1"/>
    <row r="815" spans="1:28" s="60" customFormat="1" hidden="1">
      <c r="A815" s="60" t="s">
        <v>135</v>
      </c>
      <c r="F815" s="80">
        <f t="shared" ref="F815:Z815" si="390">SUM(F810:F813)</f>
        <v>1120075935.2473235</v>
      </c>
      <c r="G815" s="80">
        <f t="shared" si="390"/>
        <v>525141315.11257625</v>
      </c>
      <c r="H815" s="80">
        <f t="shared" si="390"/>
        <v>1577668.2860730586</v>
      </c>
      <c r="I815" s="80">
        <f t="shared" si="390"/>
        <v>125382400.63531221</v>
      </c>
      <c r="J815" s="80">
        <f t="shared" si="390"/>
        <v>7967963.1758354791</v>
      </c>
      <c r="K815" s="80">
        <f t="shared" si="390"/>
        <v>130660079.24200372</v>
      </c>
      <c r="L815" s="80">
        <f t="shared" si="390"/>
        <v>136801405.95831972</v>
      </c>
      <c r="M815" s="80">
        <f t="shared" si="390"/>
        <v>106863351.30034482</v>
      </c>
      <c r="N815" s="80">
        <f t="shared" si="390"/>
        <v>63138854.574563719</v>
      </c>
      <c r="O815" s="80">
        <f t="shared" si="390"/>
        <v>3995764.7601931472</v>
      </c>
      <c r="P815" s="80">
        <f t="shared" si="390"/>
        <v>17733959.869222466</v>
      </c>
      <c r="Q815" s="80">
        <f t="shared" si="390"/>
        <v>220761.02561689884</v>
      </c>
      <c r="R815" s="80">
        <f t="shared" si="390"/>
        <v>251661.86821251051</v>
      </c>
      <c r="S815" s="80">
        <f t="shared" si="390"/>
        <v>630.75965299468589</v>
      </c>
      <c r="T815" s="80">
        <f t="shared" si="390"/>
        <v>62983.709161477884</v>
      </c>
      <c r="U815" s="80">
        <f t="shared" si="390"/>
        <v>260157.10574196401</v>
      </c>
      <c r="V815" s="80">
        <f t="shared" si="390"/>
        <v>16977.86449340987</v>
      </c>
      <c r="W815" s="80">
        <f t="shared" si="390"/>
        <v>0</v>
      </c>
      <c r="X815" s="80">
        <f t="shared" si="390"/>
        <v>0</v>
      </c>
      <c r="Y815" s="80">
        <f t="shared" si="390"/>
        <v>0</v>
      </c>
      <c r="Z815" s="80">
        <f t="shared" si="390"/>
        <v>0</v>
      </c>
      <c r="AA815" s="80">
        <f>ROUND(SUM(G815:Z815),2)</f>
        <v>1120075935.25</v>
      </c>
      <c r="AB815" s="93" t="str">
        <f>IF(ABS(F815-AA815)&lt;0.01,"ok","err")</f>
        <v>ok</v>
      </c>
    </row>
    <row r="816" spans="1:28" s="60" customFormat="1" hidden="1"/>
    <row r="817" spans="1:28" s="60" customFormat="1" ht="14.1" hidden="1">
      <c r="A817" s="65" t="s">
        <v>1040</v>
      </c>
    </row>
    <row r="818" spans="1:28" s="60" customFormat="1" hidden="1"/>
    <row r="819" spans="1:28" s="60" customFormat="1" hidden="1">
      <c r="A819" s="60" t="s">
        <v>1043</v>
      </c>
      <c r="F819" s="80">
        <f t="shared" ref="F819:Z819" si="391">F778</f>
        <v>969736807.38150656</v>
      </c>
      <c r="G819" s="80">
        <f t="shared" si="391"/>
        <v>431720721.0443399</v>
      </c>
      <c r="H819" s="80">
        <f t="shared" si="391"/>
        <v>1314050.6593233633</v>
      </c>
      <c r="I819" s="80">
        <f t="shared" si="391"/>
        <v>114969842.84615836</v>
      </c>
      <c r="J819" s="80">
        <f t="shared" si="391"/>
        <v>7605668.0836362625</v>
      </c>
      <c r="K819" s="80">
        <f t="shared" si="391"/>
        <v>119634824.85877286</v>
      </c>
      <c r="L819" s="80">
        <f t="shared" si="391"/>
        <v>124104245.28780454</v>
      </c>
      <c r="M819" s="80">
        <f t="shared" si="391"/>
        <v>94107834.210364044</v>
      </c>
      <c r="N819" s="80">
        <f t="shared" si="391"/>
        <v>57518843.000075713</v>
      </c>
      <c r="O819" s="80">
        <f t="shared" si="391"/>
        <v>3534798.6629421799</v>
      </c>
      <c r="P819" s="80">
        <f t="shared" si="391"/>
        <v>14558512.643763669</v>
      </c>
      <c r="Q819" s="80">
        <f t="shared" si="391"/>
        <v>207632.48136365326</v>
      </c>
      <c r="R819" s="80">
        <f t="shared" si="391"/>
        <v>244305.8444121893</v>
      </c>
      <c r="S819" s="80">
        <f t="shared" si="391"/>
        <v>3817.0018108205704</v>
      </c>
      <c r="T819" s="80">
        <f t="shared" si="391"/>
        <v>45263.65187383454</v>
      </c>
      <c r="U819" s="80">
        <f t="shared" si="391"/>
        <v>153855.85858076424</v>
      </c>
      <c r="V819" s="80">
        <f t="shared" si="391"/>
        <v>12591.246284675426</v>
      </c>
      <c r="W819" s="80">
        <f t="shared" si="391"/>
        <v>0</v>
      </c>
      <c r="X819" s="80">
        <f t="shared" si="391"/>
        <v>0</v>
      </c>
      <c r="Y819" s="80">
        <f t="shared" si="391"/>
        <v>0</v>
      </c>
      <c r="Z819" s="80">
        <f t="shared" si="391"/>
        <v>0</v>
      </c>
      <c r="AA819" s="80">
        <f>ROUND(SUM(G819:Z819),2)</f>
        <v>969736807.38</v>
      </c>
      <c r="AB819" s="93" t="str">
        <f>IF(ABS(F819-AA819)&lt;0.01,"ok","err")</f>
        <v>ok</v>
      </c>
    </row>
    <row r="820" spans="1:28" s="60" customFormat="1" hidden="1"/>
    <row r="821" spans="1:28" s="60" customFormat="1" hidden="1">
      <c r="A821" s="60" t="s">
        <v>670</v>
      </c>
      <c r="F821" s="112">
        <f t="shared" ref="F821:Z821" si="392">F793</f>
        <v>0</v>
      </c>
      <c r="G821" s="112">
        <f t="shared" si="392"/>
        <v>0</v>
      </c>
      <c r="H821" s="112">
        <f t="shared" si="392"/>
        <v>0</v>
      </c>
      <c r="I821" s="112">
        <f t="shared" si="392"/>
        <v>0</v>
      </c>
      <c r="J821" s="112">
        <f t="shared" si="392"/>
        <v>0</v>
      </c>
      <c r="K821" s="112">
        <f t="shared" si="392"/>
        <v>0</v>
      </c>
      <c r="L821" s="112">
        <f t="shared" si="392"/>
        <v>0</v>
      </c>
      <c r="M821" s="112">
        <f t="shared" si="392"/>
        <v>0</v>
      </c>
      <c r="N821" s="112">
        <f t="shared" si="392"/>
        <v>0</v>
      </c>
      <c r="O821" s="112">
        <f t="shared" si="392"/>
        <v>0</v>
      </c>
      <c r="P821" s="112">
        <f t="shared" si="392"/>
        <v>0</v>
      </c>
      <c r="Q821" s="112">
        <f t="shared" si="392"/>
        <v>0</v>
      </c>
      <c r="R821" s="112">
        <f t="shared" si="392"/>
        <v>0</v>
      </c>
      <c r="S821" s="112">
        <f t="shared" si="392"/>
        <v>0</v>
      </c>
      <c r="T821" s="112">
        <f t="shared" si="392"/>
        <v>0</v>
      </c>
      <c r="U821" s="112">
        <f t="shared" si="392"/>
        <v>0</v>
      </c>
      <c r="V821" s="112">
        <f t="shared" si="392"/>
        <v>0</v>
      </c>
      <c r="W821" s="112">
        <f t="shared" si="392"/>
        <v>0</v>
      </c>
      <c r="X821" s="112">
        <f t="shared" si="392"/>
        <v>0</v>
      </c>
      <c r="Y821" s="112">
        <f t="shared" si="392"/>
        <v>0</v>
      </c>
      <c r="Z821" s="112">
        <f t="shared" si="392"/>
        <v>0</v>
      </c>
      <c r="AA821" s="80">
        <f>ROUND(SUM(G821:Z821),2)</f>
        <v>0</v>
      </c>
      <c r="AB821" s="93" t="str">
        <f>IF(ABS(F821-AA821)&lt;0.01,"ok","err")</f>
        <v>ok</v>
      </c>
    </row>
    <row r="822" spans="1:28" s="60" customFormat="1" hidden="1"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80"/>
      <c r="AB822" s="93"/>
    </row>
    <row r="823" spans="1:28" s="60" customFormat="1" hidden="1">
      <c r="A823" s="60" t="s">
        <v>671</v>
      </c>
      <c r="E823" s="60">
        <f>0.049809+0.19873791</f>
        <v>0.24854690999999998</v>
      </c>
      <c r="F823" s="112">
        <f>F813*$E$823</f>
        <v>0</v>
      </c>
      <c r="G823" s="112">
        <f>G813*$E$823</f>
        <v>17466602.309278302</v>
      </c>
      <c r="H823" s="112">
        <f>H813*$E$823</f>
        <v>88130.080270777355</v>
      </c>
      <c r="I823" s="112">
        <f t="shared" ref="I823:Z823" si="393">I813*$E$823</f>
        <v>-7118801.913969175</v>
      </c>
      <c r="J823" s="112">
        <f t="shared" si="393"/>
        <v>-628974.45839726843</v>
      </c>
      <c r="K823" s="112">
        <f t="shared" si="393"/>
        <v>-5924028.3361021662</v>
      </c>
      <c r="L823" s="112">
        <f t="shared" si="393"/>
        <v>-1872520.2659277283</v>
      </c>
      <c r="M823" s="112">
        <f t="shared" si="393"/>
        <v>-108319.80389556944</v>
      </c>
      <c r="N823" s="112">
        <f t="shared" si="393"/>
        <v>-689931.07699718128</v>
      </c>
      <c r="O823" s="112">
        <f t="shared" si="393"/>
        <v>33734.128187775415</v>
      </c>
      <c r="P823" s="112">
        <f t="shared" si="393"/>
        <v>-1232977.1985855764</v>
      </c>
      <c r="Q823" s="112">
        <f t="shared" si="393"/>
        <v>-9419.4839143297322</v>
      </c>
      <c r="R823" s="112">
        <f t="shared" si="393"/>
        <v>-19731.886799248714</v>
      </c>
      <c r="S823" s="112">
        <f t="shared" si="393"/>
        <v>-3743.1412968735499</v>
      </c>
      <c r="T823" s="112">
        <f t="shared" si="393"/>
        <v>12499.047914501989</v>
      </c>
      <c r="U823" s="112">
        <f t="shared" si="393"/>
        <v>5731.7665733484109</v>
      </c>
      <c r="V823" s="112">
        <f t="shared" si="393"/>
        <v>1750.2336604757384</v>
      </c>
      <c r="W823" s="112">
        <f t="shared" si="393"/>
        <v>0</v>
      </c>
      <c r="X823" s="112">
        <f t="shared" si="393"/>
        <v>0</v>
      </c>
      <c r="Y823" s="112">
        <f t="shared" si="393"/>
        <v>0</v>
      </c>
      <c r="Z823" s="112">
        <f t="shared" si="393"/>
        <v>0</v>
      </c>
      <c r="AA823" s="80">
        <f>ROUND(SUM(G823:Z823),2)</f>
        <v>0</v>
      </c>
      <c r="AB823" s="93" t="str">
        <f>IF(ABS(F823-AA823)&lt;0.01,"ok","err")</f>
        <v>ok</v>
      </c>
    </row>
    <row r="824" spans="1:28" s="60" customFormat="1" hidden="1">
      <c r="A824" s="68"/>
      <c r="F824" s="79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80"/>
      <c r="AB824" s="93"/>
    </row>
    <row r="825" spans="1:28" s="60" customFormat="1" hidden="1">
      <c r="A825" s="60" t="s">
        <v>136</v>
      </c>
      <c r="F825" s="80">
        <f t="shared" ref="F825:N825" si="394">SUM(F819:F824)</f>
        <v>969736807.38150656</v>
      </c>
      <c r="G825" s="80">
        <f t="shared" si="394"/>
        <v>449187323.3536182</v>
      </c>
      <c r="H825" s="80">
        <f t="shared" si="394"/>
        <v>1402180.7395941408</v>
      </c>
      <c r="I825" s="80">
        <f t="shared" si="394"/>
        <v>107851040.93218918</v>
      </c>
      <c r="J825" s="80">
        <f t="shared" si="394"/>
        <v>6976693.6252389941</v>
      </c>
      <c r="K825" s="80">
        <f t="shared" si="394"/>
        <v>113710796.52267069</v>
      </c>
      <c r="L825" s="80">
        <f t="shared" si="394"/>
        <v>122231725.02187681</v>
      </c>
      <c r="M825" s="80">
        <f t="shared" si="394"/>
        <v>93999514.406468481</v>
      </c>
      <c r="N825" s="80">
        <f t="shared" si="394"/>
        <v>56828911.92307853</v>
      </c>
      <c r="O825" s="80">
        <f>SUM(O819:O824)</f>
        <v>3568532.7911299556</v>
      </c>
      <c r="P825" s="80">
        <f t="shared" ref="P825:Z825" si="395">SUM(P819:P824)</f>
        <v>13325535.445178092</v>
      </c>
      <c r="Q825" s="80">
        <f t="shared" si="395"/>
        <v>198212.99744932353</v>
      </c>
      <c r="R825" s="80">
        <f t="shared" si="395"/>
        <v>224573.95761294058</v>
      </c>
      <c r="S825" s="80">
        <f t="shared" si="395"/>
        <v>73.860513947020536</v>
      </c>
      <c r="T825" s="80">
        <f t="shared" si="395"/>
        <v>57762.699788336526</v>
      </c>
      <c r="U825" s="80">
        <f t="shared" si="395"/>
        <v>159587.62515411264</v>
      </c>
      <c r="V825" s="80">
        <f t="shared" si="395"/>
        <v>14341.479945151164</v>
      </c>
      <c r="W825" s="80">
        <f t="shared" si="395"/>
        <v>0</v>
      </c>
      <c r="X825" s="80">
        <f t="shared" si="395"/>
        <v>0</v>
      </c>
      <c r="Y825" s="80">
        <f t="shared" si="395"/>
        <v>0</v>
      </c>
      <c r="Z825" s="80">
        <f t="shared" si="395"/>
        <v>0</v>
      </c>
      <c r="AA825" s="80">
        <f>ROUND(SUM(G825:Z825),2)</f>
        <v>969736807.38</v>
      </c>
      <c r="AB825" s="93" t="str">
        <f>IF(ABS(F825-AA825)&lt;0.01,"ok","err")</f>
        <v>ok</v>
      </c>
    </row>
    <row r="826" spans="1:28" s="60" customFormat="1" hidden="1"/>
    <row r="827" spans="1:28" s="60" customFormat="1" hidden="1"/>
    <row r="828" spans="1:28" s="60" customFormat="1" ht="14.1" hidden="1">
      <c r="A828" s="65" t="s">
        <v>822</v>
      </c>
      <c r="F828" s="80">
        <f t="shared" ref="F828:Z828" si="396">F815-F825</f>
        <v>150339127.86581695</v>
      </c>
      <c r="G828" s="80">
        <f t="shared" si="396"/>
        <v>75953991.758958042</v>
      </c>
      <c r="H828" s="80">
        <f t="shared" si="396"/>
        <v>175487.54647891782</v>
      </c>
      <c r="I828" s="80">
        <f t="shared" si="396"/>
        <v>17531359.703123033</v>
      </c>
      <c r="J828" s="80">
        <f t="shared" si="396"/>
        <v>991269.55059648491</v>
      </c>
      <c r="K828" s="80">
        <f t="shared" si="396"/>
        <v>16949282.719333038</v>
      </c>
      <c r="L828" s="80">
        <f t="shared" si="396"/>
        <v>14569680.936442912</v>
      </c>
      <c r="M828" s="80">
        <f t="shared" si="396"/>
        <v>12863836.893876344</v>
      </c>
      <c r="N828" s="80">
        <f t="shared" si="396"/>
        <v>6309942.6514851898</v>
      </c>
      <c r="O828" s="80">
        <f t="shared" si="396"/>
        <v>427231.96906319167</v>
      </c>
      <c r="P828" s="80">
        <f t="shared" si="396"/>
        <v>4408424.4240443744</v>
      </c>
      <c r="Q828" s="80">
        <f t="shared" si="396"/>
        <v>22548.028167575307</v>
      </c>
      <c r="R828" s="80">
        <f t="shared" si="396"/>
        <v>27087.910599569936</v>
      </c>
      <c r="S828" s="80">
        <f t="shared" si="396"/>
        <v>556.89913904766536</v>
      </c>
      <c r="T828" s="80">
        <f t="shared" si="396"/>
        <v>5221.0093731413581</v>
      </c>
      <c r="U828" s="80">
        <f t="shared" si="396"/>
        <v>100569.48058785137</v>
      </c>
      <c r="V828" s="80">
        <f t="shared" si="396"/>
        <v>2636.3845482587058</v>
      </c>
      <c r="W828" s="80">
        <f t="shared" si="396"/>
        <v>0</v>
      </c>
      <c r="X828" s="80">
        <f t="shared" si="396"/>
        <v>0</v>
      </c>
      <c r="Y828" s="80">
        <f t="shared" si="396"/>
        <v>0</v>
      </c>
      <c r="Z828" s="80">
        <f t="shared" si="396"/>
        <v>0</v>
      </c>
      <c r="AA828" s="80">
        <f>ROUND(SUM(G828:Z828),2)</f>
        <v>150339127.87</v>
      </c>
      <c r="AB828" s="93" t="str">
        <f>IF(ABS(F828-AA828)&lt;0.01,"ok","err")</f>
        <v>ok</v>
      </c>
    </row>
    <row r="829" spans="1:28" s="60" customFormat="1" hidden="1"/>
    <row r="830" spans="1:28" s="60" customFormat="1" ht="14.1" hidden="1">
      <c r="A830" s="65" t="s">
        <v>1026</v>
      </c>
      <c r="F830" s="80">
        <f>F789</f>
        <v>3460077816.1601419</v>
      </c>
      <c r="G830" s="80">
        <f t="shared" ref="G830:Z830" si="397">G789</f>
        <v>1748092633.3997715</v>
      </c>
      <c r="H830" s="80">
        <f t="shared" si="397"/>
        <v>4038872.4825251354</v>
      </c>
      <c r="I830" s="80">
        <f t="shared" si="397"/>
        <v>403486900.96194375</v>
      </c>
      <c r="J830" s="80">
        <f t="shared" si="397"/>
        <v>22814218.96311127</v>
      </c>
      <c r="K830" s="80">
        <f t="shared" si="397"/>
        <v>390090310.94908422</v>
      </c>
      <c r="L830" s="80">
        <f t="shared" si="397"/>
        <v>335323415.21704251</v>
      </c>
      <c r="M830" s="80">
        <f t="shared" si="397"/>
        <v>296063156.00640303</v>
      </c>
      <c r="N830" s="80">
        <f t="shared" si="397"/>
        <v>145224286.58182222</v>
      </c>
      <c r="O830" s="80">
        <f t="shared" si="397"/>
        <v>9832808.5275934432</v>
      </c>
      <c r="P830" s="80">
        <f t="shared" si="397"/>
        <v>101460556.34610823</v>
      </c>
      <c r="Q830" s="80">
        <f t="shared" si="397"/>
        <v>518946.28609536134</v>
      </c>
      <c r="R830" s="80">
        <f t="shared" si="397"/>
        <v>623432.36842078215</v>
      </c>
      <c r="S830" s="80">
        <f t="shared" si="397"/>
        <v>12817.118099669618</v>
      </c>
      <c r="T830" s="80">
        <f t="shared" si="397"/>
        <v>120162.32212078768</v>
      </c>
      <c r="U830" s="80">
        <f t="shared" si="397"/>
        <v>2314621.8400000003</v>
      </c>
      <c r="V830" s="80">
        <f t="shared" si="397"/>
        <v>60676.790000000008</v>
      </c>
      <c r="W830" s="80">
        <f t="shared" si="397"/>
        <v>0</v>
      </c>
      <c r="X830" s="80">
        <f t="shared" si="397"/>
        <v>0</v>
      </c>
      <c r="Y830" s="80">
        <f t="shared" si="397"/>
        <v>0</v>
      </c>
      <c r="Z830" s="80">
        <f t="shared" si="397"/>
        <v>0</v>
      </c>
      <c r="AA830" s="80">
        <f>ROUND(SUM(G830:Z830),2)</f>
        <v>3460077816.1599998</v>
      </c>
      <c r="AB830" s="93" t="str">
        <f>IF(ABS(F830-AA830)&lt;0.01,"ok","err")</f>
        <v>ok</v>
      </c>
    </row>
    <row r="831" spans="1:28" s="60" customFormat="1" ht="14.1" hidden="1" thickBot="1"/>
    <row r="832" spans="1:28" s="60" customFormat="1" ht="14.4" hidden="1" thickBot="1">
      <c r="A832" s="281" t="s">
        <v>1044</v>
      </c>
      <c r="B832" s="146"/>
      <c r="C832" s="146"/>
      <c r="D832" s="146"/>
      <c r="E832" s="146"/>
      <c r="F832" s="147">
        <f t="shared" ref="F832:N832" si="398">F828/F830</f>
        <v>4.3449637798220787E-2</v>
      </c>
      <c r="G832" s="147">
        <f t="shared" si="398"/>
        <v>4.3449637798220794E-2</v>
      </c>
      <c r="H832" s="147">
        <f t="shared" si="398"/>
        <v>4.3449637798220753E-2</v>
      </c>
      <c r="I832" s="147">
        <f t="shared" si="398"/>
        <v>4.3449637798220773E-2</v>
      </c>
      <c r="J832" s="147">
        <f t="shared" si="398"/>
        <v>4.3449637798220787E-2</v>
      </c>
      <c r="K832" s="147">
        <f t="shared" si="398"/>
        <v>4.3449637798220808E-2</v>
      </c>
      <c r="L832" s="147">
        <f t="shared" si="398"/>
        <v>4.3449637798220843E-2</v>
      </c>
      <c r="M832" s="147">
        <f t="shared" si="398"/>
        <v>4.344963779822078E-2</v>
      </c>
      <c r="N832" s="147">
        <f t="shared" si="398"/>
        <v>4.344963779822078E-2</v>
      </c>
      <c r="O832" s="147">
        <f>O828/O830</f>
        <v>4.344963779822078E-2</v>
      </c>
      <c r="P832" s="147">
        <f>P828/P830</f>
        <v>4.3449637798220787E-2</v>
      </c>
      <c r="Q832" s="147">
        <f>Q828/Q830</f>
        <v>4.344963779822078E-2</v>
      </c>
      <c r="R832" s="147">
        <f t="shared" ref="R832:Z832" si="399">R828/R830</f>
        <v>4.3449637798220808E-2</v>
      </c>
      <c r="S832" s="147">
        <f t="shared" si="399"/>
        <v>4.3449637798220829E-2</v>
      </c>
      <c r="T832" s="147">
        <f t="shared" si="399"/>
        <v>4.3449637798220787E-2</v>
      </c>
      <c r="U832" s="147">
        <f t="shared" si="399"/>
        <v>4.3449637798220794E-2</v>
      </c>
      <c r="V832" s="147">
        <f t="shared" si="399"/>
        <v>4.3449637798220794E-2</v>
      </c>
      <c r="W832" s="147" t="e">
        <f t="shared" si="399"/>
        <v>#DIV/0!</v>
      </c>
      <c r="X832" s="147" t="e">
        <f t="shared" si="399"/>
        <v>#DIV/0!</v>
      </c>
      <c r="Y832" s="147" t="e">
        <f t="shared" si="399"/>
        <v>#DIV/0!</v>
      </c>
      <c r="Z832" s="147" t="e">
        <f t="shared" si="399"/>
        <v>#DIV/0!</v>
      </c>
      <c r="AA832" s="137"/>
      <c r="AB832" s="137"/>
    </row>
    <row r="833" spans="1:36" s="60" customFormat="1" hidden="1"/>
    <row r="834" spans="1:36" s="60" customFormat="1" hidden="1"/>
    <row r="835" spans="1:36" s="60" customFormat="1" ht="14.1" hidden="1">
      <c r="A835" s="65" t="s">
        <v>826</v>
      </c>
      <c r="B835" s="65"/>
      <c r="F835" s="80">
        <f t="shared" ref="F835:Z835" si="400">F813</f>
        <v>0</v>
      </c>
      <c r="G835" s="80">
        <f t="shared" si="400"/>
        <v>70274872.092669755</v>
      </c>
      <c r="H835" s="80">
        <f t="shared" si="400"/>
        <v>354581.27510326868</v>
      </c>
      <c r="I835" s="80">
        <f t="shared" si="400"/>
        <v>-28641683.430983614</v>
      </c>
      <c r="J835" s="80">
        <f t="shared" si="400"/>
        <v>-2530606.6303430144</v>
      </c>
      <c r="K835" s="80">
        <f t="shared" si="400"/>
        <v>-23834648.904314145</v>
      </c>
      <c r="L835" s="80">
        <f t="shared" si="400"/>
        <v>-7533870.6320176274</v>
      </c>
      <c r="M835" s="80">
        <f t="shared" si="400"/>
        <v>-435812.31364159565</v>
      </c>
      <c r="N835" s="80">
        <f t="shared" si="400"/>
        <v>-2775858.5974662947</v>
      </c>
      <c r="O835" s="80">
        <f t="shared" si="400"/>
        <v>135725.39762323102</v>
      </c>
      <c r="P835" s="80">
        <f t="shared" si="400"/>
        <v>-4960742.4151262892</v>
      </c>
      <c r="Q835" s="80">
        <f t="shared" si="400"/>
        <v>-37898.213718809595</v>
      </c>
      <c r="R835" s="80">
        <f t="shared" si="400"/>
        <v>-79388.984555264498</v>
      </c>
      <c r="S835" s="80">
        <f t="shared" si="400"/>
        <v>-15060.09990980596</v>
      </c>
      <c r="T835" s="80">
        <f t="shared" si="400"/>
        <v>50288.486445081893</v>
      </c>
      <c r="U835" s="80">
        <f t="shared" si="400"/>
        <v>23061.105741964006</v>
      </c>
      <c r="V835" s="80">
        <f t="shared" si="400"/>
        <v>7041.8644934098702</v>
      </c>
      <c r="W835" s="80">
        <f t="shared" si="400"/>
        <v>0</v>
      </c>
      <c r="X835" s="80">
        <f t="shared" si="400"/>
        <v>0</v>
      </c>
      <c r="Y835" s="80">
        <f t="shared" si="400"/>
        <v>0</v>
      </c>
      <c r="Z835" s="80">
        <f t="shared" si="400"/>
        <v>0</v>
      </c>
      <c r="AA835" s="80">
        <f>ROUND(SUM(G835:Z835),2)</f>
        <v>0</v>
      </c>
      <c r="AB835" s="93" t="str">
        <f>IF(ABS(F835-AA835)&lt;0.01,"ok","err")</f>
        <v>ok</v>
      </c>
    </row>
    <row r="836" spans="1:36" s="60" customFormat="1" ht="14.1" hidden="1">
      <c r="A836" s="65"/>
      <c r="B836" s="65"/>
    </row>
    <row r="837" spans="1:36" s="60" customFormat="1" ht="14.1" hidden="1">
      <c r="A837" s="65" t="s">
        <v>827</v>
      </c>
      <c r="B837" s="65"/>
      <c r="F837" s="148">
        <f t="shared" ref="F837:Z837" si="401">F835/F810</f>
        <v>0</v>
      </c>
      <c r="G837" s="148">
        <f t="shared" si="401"/>
        <v>0.15449561771606504</v>
      </c>
      <c r="H837" s="148">
        <f t="shared" si="401"/>
        <v>0.28990682749718677</v>
      </c>
      <c r="I837" s="148">
        <f t="shared" si="401"/>
        <v>-0.18595587569704694</v>
      </c>
      <c r="J837" s="148">
        <f t="shared" si="401"/>
        <v>-0.24104298747946903</v>
      </c>
      <c r="K837" s="148">
        <f t="shared" si="401"/>
        <v>-0.15427483636684988</v>
      </c>
      <c r="L837" s="148">
        <f t="shared" si="401"/>
        <v>-5.2197015241123593E-2</v>
      </c>
      <c r="M837" s="148">
        <f t="shared" si="401"/>
        <v>-4.0616562046042609E-3</v>
      </c>
      <c r="N837" s="148">
        <f t="shared" si="401"/>
        <v>-4.2112882904028037E-2</v>
      </c>
      <c r="O837" s="148">
        <f t="shared" si="401"/>
        <v>3.5161661546598451E-2</v>
      </c>
      <c r="P837" s="148">
        <f t="shared" si="401"/>
        <v>-0.21858592163808338</v>
      </c>
      <c r="Q837" s="148">
        <f t="shared" si="401"/>
        <v>-0.14651791993257313</v>
      </c>
      <c r="R837" s="148">
        <f t="shared" si="401"/>
        <v>-0.23980903203096157</v>
      </c>
      <c r="S837" s="148">
        <f t="shared" si="401"/>
        <v>-0.95980082222582186</v>
      </c>
      <c r="T837" s="148">
        <f t="shared" si="401"/>
        <v>3.9612134082637152</v>
      </c>
      <c r="U837" s="148">
        <f t="shared" si="401"/>
        <v>9.7264845218662507E-2</v>
      </c>
      <c r="V837" s="148">
        <f t="shared" si="401"/>
        <v>0.70872227188102555</v>
      </c>
      <c r="W837" s="148" t="e">
        <f t="shared" si="401"/>
        <v>#DIV/0!</v>
      </c>
      <c r="X837" s="148" t="e">
        <f t="shared" si="401"/>
        <v>#DIV/0!</v>
      </c>
      <c r="Y837" s="148" t="e">
        <f t="shared" si="401"/>
        <v>#DIV/0!</v>
      </c>
      <c r="Z837" s="148" t="e">
        <f t="shared" si="401"/>
        <v>#DIV/0!</v>
      </c>
    </row>
    <row r="838" spans="1:36" s="60" customFormat="1" ht="14.1" hidden="1">
      <c r="A838" s="65"/>
      <c r="B838" s="65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36" s="60" customFormat="1" ht="14.1" hidden="1">
      <c r="A839" s="65" t="s">
        <v>1181</v>
      </c>
    </row>
    <row r="840" spans="1:36" s="60" customFormat="1" hidden="1"/>
    <row r="841" spans="1:36" s="60" customFormat="1" ht="14.1" hidden="1">
      <c r="A841" s="65" t="s">
        <v>1036</v>
      </c>
      <c r="AH841" s="249"/>
      <c r="AI841" s="249"/>
      <c r="AJ841" s="249"/>
    </row>
    <row r="842" spans="1:36" s="60" customFormat="1" hidden="1"/>
    <row r="843" spans="1:36" s="60" customFormat="1" hidden="1">
      <c r="A843" s="60" t="s">
        <v>1</v>
      </c>
      <c r="F843" s="80">
        <f t="shared" ref="F843:Z843" si="402">F754</f>
        <v>1120075935.2473235</v>
      </c>
      <c r="G843" s="80">
        <f t="shared" si="402"/>
        <v>454866443.01990646</v>
      </c>
      <c r="H843" s="80">
        <f t="shared" si="402"/>
        <v>1223087.0109697899</v>
      </c>
      <c r="I843" s="80">
        <f t="shared" si="402"/>
        <v>154024084.06629583</v>
      </c>
      <c r="J843" s="80">
        <f t="shared" si="402"/>
        <v>10498569.806178493</v>
      </c>
      <c r="K843" s="80">
        <f t="shared" si="402"/>
        <v>154494728.14631787</v>
      </c>
      <c r="L843" s="80">
        <f t="shared" si="402"/>
        <v>144335276.59033734</v>
      </c>
      <c r="M843" s="80">
        <f t="shared" si="402"/>
        <v>107299163.61398642</v>
      </c>
      <c r="N843" s="80">
        <f t="shared" si="402"/>
        <v>65914713.172030017</v>
      </c>
      <c r="O843" s="80">
        <f t="shared" si="402"/>
        <v>3860039.3625699161</v>
      </c>
      <c r="P843" s="80">
        <f t="shared" si="402"/>
        <v>22694702.284348756</v>
      </c>
      <c r="Q843" s="80">
        <f t="shared" si="402"/>
        <v>258659.23933570844</v>
      </c>
      <c r="R843" s="80">
        <f t="shared" si="402"/>
        <v>331050.85276777501</v>
      </c>
      <c r="S843" s="80">
        <f t="shared" si="402"/>
        <v>15690.859562800646</v>
      </c>
      <c r="T843" s="80">
        <f t="shared" si="402"/>
        <v>12695.222716395989</v>
      </c>
      <c r="U843" s="80">
        <f t="shared" si="402"/>
        <v>237096</v>
      </c>
      <c r="V843" s="80">
        <f t="shared" si="402"/>
        <v>9936</v>
      </c>
      <c r="W843" s="80">
        <f t="shared" si="402"/>
        <v>0</v>
      </c>
      <c r="X843" s="80">
        <f t="shared" si="402"/>
        <v>0</v>
      </c>
      <c r="Y843" s="80">
        <f t="shared" si="402"/>
        <v>0</v>
      </c>
      <c r="Z843" s="80">
        <f t="shared" si="402"/>
        <v>0</v>
      </c>
      <c r="AA843" s="80">
        <f>ROUND(SUM(G843:Z843),2)</f>
        <v>1120075935.25</v>
      </c>
      <c r="AB843" s="93" t="str">
        <f>IF(ABS(F843-AA843)&lt;0.01,"ok","err")</f>
        <v>ok</v>
      </c>
      <c r="AH843" s="76"/>
      <c r="AI843" s="76"/>
      <c r="AJ843" s="148"/>
    </row>
    <row r="844" spans="1:36" s="60" customFormat="1" hidden="1"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93"/>
      <c r="AH844" s="79"/>
      <c r="AI844" s="79"/>
      <c r="AJ844" s="148"/>
    </row>
    <row r="845" spans="1:36" s="60" customFormat="1" hidden="1">
      <c r="A845" s="60" t="s">
        <v>134</v>
      </c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93"/>
      <c r="AH845" s="79"/>
      <c r="AI845" s="79"/>
      <c r="AJ845" s="148"/>
    </row>
    <row r="846" spans="1:36" s="60" customFormat="1" hidden="1">
      <c r="A846" s="60" t="s">
        <v>823</v>
      </c>
      <c r="F846" s="80"/>
      <c r="G846" s="80">
        <v>0</v>
      </c>
      <c r="H846" s="80">
        <v>0</v>
      </c>
      <c r="I846" s="80">
        <v>0</v>
      </c>
      <c r="J846" s="80">
        <v>0</v>
      </c>
      <c r="K846" s="80">
        <v>0</v>
      </c>
      <c r="L846" s="80">
        <v>0</v>
      </c>
      <c r="M846" s="80">
        <v>0</v>
      </c>
      <c r="N846" s="80">
        <v>0</v>
      </c>
      <c r="O846" s="80">
        <v>0</v>
      </c>
      <c r="P846" s="80">
        <v>0</v>
      </c>
      <c r="Q846" s="80">
        <v>0</v>
      </c>
      <c r="R846" s="80">
        <v>0</v>
      </c>
      <c r="S846" s="80">
        <v>0</v>
      </c>
      <c r="T846" s="80">
        <v>0</v>
      </c>
      <c r="U846" s="80">
        <v>0</v>
      </c>
      <c r="V846" s="76">
        <v>0</v>
      </c>
      <c r="W846" s="76">
        <v>0</v>
      </c>
      <c r="X846" s="76">
        <v>0</v>
      </c>
      <c r="Y846" s="76">
        <v>0</v>
      </c>
      <c r="Z846" s="76">
        <v>0</v>
      </c>
      <c r="AA846" s="80">
        <f>SUM(G846:Z846)</f>
        <v>0</v>
      </c>
      <c r="AB846" s="93" t="str">
        <f>IF(ABS(F846-AA846)&lt;0.01,"ok","err")</f>
        <v>ok</v>
      </c>
      <c r="AH846" s="79"/>
      <c r="AI846" s="79"/>
      <c r="AJ846" s="148"/>
    </row>
    <row r="847" spans="1:36" s="60" customFormat="1" hidden="1">
      <c r="A847" s="60" t="s">
        <v>1239</v>
      </c>
      <c r="E847" s="60" t="s">
        <v>661</v>
      </c>
      <c r="F847" s="76"/>
      <c r="G847" s="76">
        <f t="shared" ref="G847:P848" si="403">IF(VLOOKUP($E847,$D$6:$AN$1150,3,)=0,0,(VLOOKUP($E847,$D$6:$AN$1150,G$2,)/VLOOKUP($E847,$D$6:$AN$1150,3,))*$F847)</f>
        <v>0</v>
      </c>
      <c r="H847" s="76">
        <f t="shared" si="403"/>
        <v>0</v>
      </c>
      <c r="I847" s="76">
        <f t="shared" si="403"/>
        <v>0</v>
      </c>
      <c r="J847" s="76">
        <f t="shared" si="403"/>
        <v>0</v>
      </c>
      <c r="K847" s="76">
        <f t="shared" si="403"/>
        <v>0</v>
      </c>
      <c r="L847" s="76">
        <f t="shared" si="403"/>
        <v>0</v>
      </c>
      <c r="M847" s="76">
        <f t="shared" si="403"/>
        <v>0</v>
      </c>
      <c r="N847" s="76">
        <f t="shared" si="403"/>
        <v>0</v>
      </c>
      <c r="O847" s="76">
        <f t="shared" si="403"/>
        <v>0</v>
      </c>
      <c r="P847" s="76">
        <f t="shared" si="403"/>
        <v>0</v>
      </c>
      <c r="Q847" s="76">
        <f t="shared" ref="Q847:Z848" si="404">IF(VLOOKUP($E847,$D$6:$AN$1150,3,)=0,0,(VLOOKUP($E847,$D$6:$AN$1150,Q$2,)/VLOOKUP($E847,$D$6:$AN$1150,3,))*$F847)</f>
        <v>0</v>
      </c>
      <c r="R847" s="76">
        <f t="shared" si="404"/>
        <v>0</v>
      </c>
      <c r="S847" s="76">
        <f t="shared" si="404"/>
        <v>0</v>
      </c>
      <c r="T847" s="76">
        <f t="shared" si="404"/>
        <v>0</v>
      </c>
      <c r="U847" s="76">
        <f t="shared" si="404"/>
        <v>0</v>
      </c>
      <c r="V847" s="76">
        <f t="shared" si="404"/>
        <v>0</v>
      </c>
      <c r="W847" s="76">
        <f t="shared" si="404"/>
        <v>0</v>
      </c>
      <c r="X847" s="79">
        <f t="shared" si="404"/>
        <v>0</v>
      </c>
      <c r="Y847" s="79">
        <f t="shared" si="404"/>
        <v>0</v>
      </c>
      <c r="Z847" s="79">
        <f t="shared" si="404"/>
        <v>0</v>
      </c>
      <c r="AA847" s="80">
        <f>SUM(G847:Z847)</f>
        <v>0</v>
      </c>
      <c r="AB847" s="93" t="str">
        <f>IF(ABS(F847-AA847)&lt;0.01,"ok","err")</f>
        <v>ok</v>
      </c>
    </row>
    <row r="848" spans="1:36" s="60" customFormat="1" hidden="1">
      <c r="A848" s="60" t="s">
        <v>824</v>
      </c>
      <c r="E848" s="60" t="str">
        <f>E924</f>
        <v>MISCR</v>
      </c>
      <c r="F848" s="79">
        <f>F924</f>
        <v>89459</v>
      </c>
      <c r="G848" s="76">
        <f t="shared" si="403"/>
        <v>85150.578081008411</v>
      </c>
      <c r="H848" s="76">
        <f t="shared" si="403"/>
        <v>210.18119061010901</v>
      </c>
      <c r="I848" s="76">
        <f t="shared" si="403"/>
        <v>3390.4468885644255</v>
      </c>
      <c r="J848" s="76">
        <f t="shared" si="403"/>
        <v>14.147803411850305</v>
      </c>
      <c r="K848" s="76">
        <f t="shared" si="403"/>
        <v>562.35442074324351</v>
      </c>
      <c r="L848" s="76">
        <f t="shared" si="403"/>
        <v>26.596762954128913</v>
      </c>
      <c r="M848" s="76">
        <f t="shared" si="403"/>
        <v>102.06740350278399</v>
      </c>
      <c r="N848" s="76">
        <f t="shared" si="403"/>
        <v>2.6274492050579137</v>
      </c>
      <c r="O848" s="76">
        <f t="shared" si="403"/>
        <v>0</v>
      </c>
      <c r="P848" s="76">
        <f t="shared" si="403"/>
        <v>0</v>
      </c>
      <c r="Q848" s="76">
        <f t="shared" si="404"/>
        <v>0</v>
      </c>
      <c r="R848" s="76">
        <f t="shared" si="404"/>
        <v>0</v>
      </c>
      <c r="S848" s="76">
        <f t="shared" si="404"/>
        <v>0</v>
      </c>
      <c r="T848" s="76">
        <f t="shared" si="404"/>
        <v>0</v>
      </c>
      <c r="U848" s="76">
        <f t="shared" si="404"/>
        <v>0</v>
      </c>
      <c r="V848" s="76">
        <f t="shared" si="404"/>
        <v>0</v>
      </c>
      <c r="W848" s="76">
        <f t="shared" si="404"/>
        <v>0</v>
      </c>
      <c r="X848" s="79">
        <f t="shared" si="404"/>
        <v>0</v>
      </c>
      <c r="Y848" s="79">
        <f t="shared" si="404"/>
        <v>0</v>
      </c>
      <c r="Z848" s="79">
        <f t="shared" si="404"/>
        <v>0</v>
      </c>
      <c r="AA848" s="80">
        <f>SUM(G848:Z848)</f>
        <v>89459</v>
      </c>
      <c r="AB848" s="93" t="str">
        <f>IF(ABS(F848-AA848)&lt;0.01,"ok","err")</f>
        <v>ok</v>
      </c>
      <c r="AH848" s="79"/>
      <c r="AI848" s="79"/>
      <c r="AJ848" s="148"/>
    </row>
    <row r="849" spans="1:36" s="60" customFormat="1" hidden="1">
      <c r="AH849" s="79"/>
      <c r="AI849" s="79"/>
      <c r="AJ849" s="148"/>
    </row>
    <row r="850" spans="1:36" s="60" customFormat="1" hidden="1">
      <c r="A850" s="60" t="s">
        <v>135</v>
      </c>
      <c r="F850" s="80">
        <f>SUM(F843:F848)</f>
        <v>1120165394.2473235</v>
      </c>
      <c r="G850" s="80">
        <f t="shared" ref="G850:P850" si="405">SUM(G843:G848)</f>
        <v>454951593.59798747</v>
      </c>
      <c r="H850" s="80">
        <f t="shared" si="405"/>
        <v>1223297.1921604001</v>
      </c>
      <c r="I850" s="80">
        <f t="shared" si="405"/>
        <v>154027474.5131844</v>
      </c>
      <c r="J850" s="80">
        <f t="shared" si="405"/>
        <v>10498583.953981906</v>
      </c>
      <c r="K850" s="80">
        <f t="shared" si="405"/>
        <v>154495290.50073862</v>
      </c>
      <c r="L850" s="80">
        <f t="shared" si="405"/>
        <v>144335303.18710029</v>
      </c>
      <c r="M850" s="80">
        <f t="shared" si="405"/>
        <v>107299265.68138993</v>
      </c>
      <c r="N850" s="80">
        <f t="shared" si="405"/>
        <v>65914715.799479224</v>
      </c>
      <c r="O850" s="80">
        <f>SUM(O843:O848)</f>
        <v>3860039.3625699161</v>
      </c>
      <c r="P850" s="80">
        <f t="shared" si="405"/>
        <v>22694702.284348756</v>
      </c>
      <c r="Q850" s="80">
        <f>SUM(Q843:Q848)</f>
        <v>258659.23933570844</v>
      </c>
      <c r="R850" s="80">
        <f t="shared" ref="R850:Z850" si="406">SUM(R843:R848)</f>
        <v>331050.85276777501</v>
      </c>
      <c r="S850" s="80">
        <f t="shared" si="406"/>
        <v>15690.859562800646</v>
      </c>
      <c r="T850" s="80">
        <f t="shared" si="406"/>
        <v>12695.222716395989</v>
      </c>
      <c r="U850" s="80">
        <f t="shared" si="406"/>
        <v>237096</v>
      </c>
      <c r="V850" s="80">
        <f t="shared" si="406"/>
        <v>9936</v>
      </c>
      <c r="W850" s="80">
        <f t="shared" si="406"/>
        <v>0</v>
      </c>
      <c r="X850" s="80">
        <f t="shared" si="406"/>
        <v>0</v>
      </c>
      <c r="Y850" s="80">
        <f t="shared" si="406"/>
        <v>0</v>
      </c>
      <c r="Z850" s="80">
        <f t="shared" si="406"/>
        <v>0</v>
      </c>
      <c r="AA850" s="80">
        <f>ROUND(SUM(G850:Z850),2)</f>
        <v>1120165394.25</v>
      </c>
      <c r="AB850" s="93" t="str">
        <f>IF(ABS(F850-AA850)&lt;0.01,"ok","err")</f>
        <v>ok</v>
      </c>
    </row>
    <row r="851" spans="1:36" s="60" customFormat="1" hidden="1">
      <c r="AH851" s="76"/>
      <c r="AI851" s="76"/>
      <c r="AJ851" s="148"/>
    </row>
    <row r="852" spans="1:36" s="60" customFormat="1" hidden="1"/>
    <row r="853" spans="1:36" s="60" customFormat="1" ht="14.1" hidden="1">
      <c r="A853" s="65" t="s">
        <v>1040</v>
      </c>
      <c r="F853" s="80"/>
    </row>
    <row r="854" spans="1:36" s="60" customFormat="1" hidden="1"/>
    <row r="855" spans="1:36" s="60" customFormat="1" hidden="1">
      <c r="A855" s="60" t="s">
        <v>1043</v>
      </c>
      <c r="F855" s="80">
        <f>F778</f>
        <v>969736807.38150656</v>
      </c>
      <c r="G855" s="80">
        <f t="shared" ref="G855:U855" si="407">G778</f>
        <v>431720721.0443399</v>
      </c>
      <c r="H855" s="80">
        <f t="shared" si="407"/>
        <v>1314050.6593233633</v>
      </c>
      <c r="I855" s="80">
        <f t="shared" si="407"/>
        <v>114969842.84615836</v>
      </c>
      <c r="J855" s="80">
        <f t="shared" si="407"/>
        <v>7605668.0836362625</v>
      </c>
      <c r="K855" s="80">
        <f t="shared" si="407"/>
        <v>119634824.85877286</v>
      </c>
      <c r="L855" s="80">
        <f t="shared" si="407"/>
        <v>124104245.28780454</v>
      </c>
      <c r="M855" s="80">
        <f t="shared" si="407"/>
        <v>94107834.210364044</v>
      </c>
      <c r="N855" s="80">
        <f t="shared" si="407"/>
        <v>57518843.000075713</v>
      </c>
      <c r="O855" s="80">
        <f t="shared" si="407"/>
        <v>3534798.6629421799</v>
      </c>
      <c r="P855" s="80">
        <f t="shared" si="407"/>
        <v>14558512.643763669</v>
      </c>
      <c r="Q855" s="80">
        <f t="shared" si="407"/>
        <v>207632.48136365326</v>
      </c>
      <c r="R855" s="80">
        <f t="shared" si="407"/>
        <v>244305.8444121893</v>
      </c>
      <c r="S855" s="80">
        <f t="shared" si="407"/>
        <v>3817.0018108205704</v>
      </c>
      <c r="T855" s="80">
        <f t="shared" si="407"/>
        <v>45263.65187383454</v>
      </c>
      <c r="U855" s="80">
        <f t="shared" si="407"/>
        <v>153855.85858076424</v>
      </c>
      <c r="V855" s="80">
        <f>V725</f>
        <v>12591.246284675426</v>
      </c>
      <c r="W855" s="80">
        <f>W725</f>
        <v>0</v>
      </c>
      <c r="X855" s="80">
        <f>X725</f>
        <v>0</v>
      </c>
      <c r="Y855" s="80">
        <f>Y725</f>
        <v>0</v>
      </c>
      <c r="Z855" s="80">
        <f>Z725</f>
        <v>0</v>
      </c>
      <c r="AA855" s="80">
        <f>ROUND(SUM(G855:Z855),2)</f>
        <v>969736807.38</v>
      </c>
      <c r="AB855" s="93" t="str">
        <f>IF(ABS(F855-AA855)&lt;0.01,"ok","err")</f>
        <v>ok</v>
      </c>
    </row>
    <row r="856" spans="1:36" s="60" customFormat="1" hidden="1"/>
    <row r="857" spans="1:36" s="60" customFormat="1" hidden="1">
      <c r="A857" s="60" t="s">
        <v>670</v>
      </c>
      <c r="F857" s="112">
        <f t="shared" ref="F857:Z857" si="408">F776</f>
        <v>0</v>
      </c>
      <c r="G857" s="112">
        <f t="shared" si="408"/>
        <v>0</v>
      </c>
      <c r="H857" s="112">
        <f t="shared" si="408"/>
        <v>0</v>
      </c>
      <c r="I857" s="112">
        <f t="shared" si="408"/>
        <v>0</v>
      </c>
      <c r="J857" s="112">
        <f t="shared" si="408"/>
        <v>0</v>
      </c>
      <c r="K857" s="112">
        <f t="shared" si="408"/>
        <v>0</v>
      </c>
      <c r="L857" s="112">
        <f t="shared" si="408"/>
        <v>0</v>
      </c>
      <c r="M857" s="112">
        <f t="shared" si="408"/>
        <v>0</v>
      </c>
      <c r="N857" s="112">
        <f t="shared" si="408"/>
        <v>0</v>
      </c>
      <c r="O857" s="112">
        <f t="shared" si="408"/>
        <v>0</v>
      </c>
      <c r="P857" s="112">
        <f t="shared" si="408"/>
        <v>0</v>
      </c>
      <c r="Q857" s="112">
        <f t="shared" si="408"/>
        <v>0</v>
      </c>
      <c r="R857" s="112">
        <f t="shared" si="408"/>
        <v>0</v>
      </c>
      <c r="S857" s="112">
        <f t="shared" si="408"/>
        <v>0</v>
      </c>
      <c r="T857" s="112">
        <f t="shared" si="408"/>
        <v>0</v>
      </c>
      <c r="U857" s="112">
        <f t="shared" si="408"/>
        <v>0</v>
      </c>
      <c r="V857" s="112">
        <f t="shared" si="408"/>
        <v>0</v>
      </c>
      <c r="W857" s="112">
        <f t="shared" si="408"/>
        <v>0</v>
      </c>
      <c r="X857" s="112">
        <f t="shared" si="408"/>
        <v>0</v>
      </c>
      <c r="Y857" s="112">
        <f t="shared" si="408"/>
        <v>0</v>
      </c>
      <c r="Z857" s="112">
        <f t="shared" si="408"/>
        <v>0</v>
      </c>
      <c r="AA857" s="80">
        <f>ROUND(SUM(G857:Z857),2)</f>
        <v>0</v>
      </c>
      <c r="AB857" s="93" t="str">
        <f>IF(ABS(F857-AA857)&lt;0.01,"ok","err")</f>
        <v>ok</v>
      </c>
    </row>
    <row r="858" spans="1:36" s="60" customFormat="1" hidden="1"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80"/>
      <c r="AB858" s="93"/>
    </row>
    <row r="859" spans="1:36" s="60" customFormat="1" hidden="1">
      <c r="A859" s="60" t="s">
        <v>671</v>
      </c>
      <c r="F859" s="112">
        <f>(F846+F848)*$E$823</f>
        <v>22234.758021689999</v>
      </c>
      <c r="G859" s="112">
        <f>(G846+G848)*$E$823</f>
        <v>21163.91306674837</v>
      </c>
      <c r="H859" s="112">
        <f t="shared" ref="H859:Z859" si="409">(H846+H848)*$E$823</f>
        <v>52.239885466263608</v>
      </c>
      <c r="I859" s="112">
        <f t="shared" si="409"/>
        <v>842.68509767180228</v>
      </c>
      <c r="J859" s="112">
        <f t="shared" si="409"/>
        <v>3.5163928213028504</v>
      </c>
      <c r="K859" s="112">
        <f t="shared" si="409"/>
        <v>139.77145360057307</v>
      </c>
      <c r="L859" s="112">
        <f t="shared" si="409"/>
        <v>6.6105432482512123</v>
      </c>
      <c r="M859" s="112">
        <f t="shared" si="409"/>
        <v>25.368537752340135</v>
      </c>
      <c r="N859" s="112">
        <f t="shared" si="409"/>
        <v>0.65304438109910079</v>
      </c>
      <c r="O859" s="112">
        <f t="shared" si="409"/>
        <v>0</v>
      </c>
      <c r="P859" s="112">
        <f t="shared" si="409"/>
        <v>0</v>
      </c>
      <c r="Q859" s="112">
        <f t="shared" si="409"/>
        <v>0</v>
      </c>
      <c r="R859" s="112">
        <f t="shared" si="409"/>
        <v>0</v>
      </c>
      <c r="S859" s="112">
        <f t="shared" si="409"/>
        <v>0</v>
      </c>
      <c r="T859" s="112">
        <f t="shared" si="409"/>
        <v>0</v>
      </c>
      <c r="U859" s="112">
        <f t="shared" si="409"/>
        <v>0</v>
      </c>
      <c r="V859" s="112">
        <f t="shared" si="409"/>
        <v>0</v>
      </c>
      <c r="W859" s="112">
        <f t="shared" si="409"/>
        <v>0</v>
      </c>
      <c r="X859" s="112">
        <f t="shared" si="409"/>
        <v>0</v>
      </c>
      <c r="Y859" s="112">
        <f t="shared" si="409"/>
        <v>0</v>
      </c>
      <c r="Z859" s="112">
        <f t="shared" si="409"/>
        <v>0</v>
      </c>
      <c r="AA859" s="80">
        <f>ROUND(SUM(G859:Z859),2)</f>
        <v>22234.76</v>
      </c>
      <c r="AB859" s="93" t="str">
        <f>IF(ABS(F859-AA859)&lt;0.01,"ok","err")</f>
        <v>ok</v>
      </c>
    </row>
    <row r="860" spans="1:36" s="60" customFormat="1" hidden="1">
      <c r="A860" s="68"/>
      <c r="F860" s="79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80"/>
      <c r="AB860" s="93"/>
    </row>
    <row r="861" spans="1:36" s="60" customFormat="1" hidden="1">
      <c r="A861" s="60" t="s">
        <v>136</v>
      </c>
      <c r="F861" s="80">
        <f t="shared" ref="F861:Z861" si="410">SUM(F855:F860)</f>
        <v>969759042.13952827</v>
      </c>
      <c r="G861" s="80">
        <f>SUM(G855:G860)</f>
        <v>431741884.95740664</v>
      </c>
      <c r="H861" s="80">
        <f t="shared" si="410"/>
        <v>1314102.8992088295</v>
      </c>
      <c r="I861" s="80">
        <f t="shared" si="410"/>
        <v>114970685.53125602</v>
      </c>
      <c r="J861" s="80">
        <f t="shared" si="410"/>
        <v>7605671.6000290839</v>
      </c>
      <c r="K861" s="80">
        <f t="shared" si="410"/>
        <v>119634964.63022646</v>
      </c>
      <c r="L861" s="80">
        <f t="shared" si="410"/>
        <v>124104251.8983478</v>
      </c>
      <c r="M861" s="80">
        <f t="shared" si="410"/>
        <v>94107859.578901798</v>
      </c>
      <c r="N861" s="80">
        <f t="shared" si="410"/>
        <v>57518843.653120093</v>
      </c>
      <c r="O861" s="80">
        <f>SUM(O855:O860)</f>
        <v>3534798.6629421799</v>
      </c>
      <c r="P861" s="80">
        <f t="shared" si="410"/>
        <v>14558512.643763669</v>
      </c>
      <c r="Q861" s="80">
        <f t="shared" si="410"/>
        <v>207632.48136365326</v>
      </c>
      <c r="R861" s="80">
        <f t="shared" si="410"/>
        <v>244305.8444121893</v>
      </c>
      <c r="S861" s="80">
        <f t="shared" si="410"/>
        <v>3817.0018108205704</v>
      </c>
      <c r="T861" s="80">
        <f t="shared" si="410"/>
        <v>45263.65187383454</v>
      </c>
      <c r="U861" s="80">
        <f t="shared" si="410"/>
        <v>153855.85858076424</v>
      </c>
      <c r="V861" s="80">
        <f t="shared" si="410"/>
        <v>12591.246284675426</v>
      </c>
      <c r="W861" s="80">
        <f t="shared" si="410"/>
        <v>0</v>
      </c>
      <c r="X861" s="80">
        <f t="shared" si="410"/>
        <v>0</v>
      </c>
      <c r="Y861" s="80">
        <f t="shared" si="410"/>
        <v>0</v>
      </c>
      <c r="Z861" s="80">
        <f t="shared" si="410"/>
        <v>0</v>
      </c>
      <c r="AA861" s="80">
        <f>ROUND(SUM(G861:Z861),2)</f>
        <v>969759042.13999999</v>
      </c>
      <c r="AB861" s="93" t="str">
        <f>IF(ABS(F861-AA861)&lt;0.01,"ok","err")</f>
        <v>ok</v>
      </c>
    </row>
    <row r="862" spans="1:36" s="60" customFormat="1" hidden="1"/>
    <row r="863" spans="1:36" s="60" customFormat="1" hidden="1">
      <c r="G863" s="80"/>
      <c r="H863" s="80"/>
      <c r="I863" s="80"/>
    </row>
    <row r="864" spans="1:36" s="60" customFormat="1" ht="14.1" hidden="1">
      <c r="A864" s="65" t="s">
        <v>822</v>
      </c>
      <c r="F864" s="80">
        <f t="shared" ref="F864:Z864" si="411">F850-F861</f>
        <v>150406352.10779524</v>
      </c>
      <c r="G864" s="80">
        <f>G850-G861</f>
        <v>23209708.640580833</v>
      </c>
      <c r="H864" s="80">
        <f t="shared" si="411"/>
        <v>-90805.707048429409</v>
      </c>
      <c r="I864" s="80">
        <f t="shared" si="411"/>
        <v>39056788.981928378</v>
      </c>
      <c r="J864" s="80">
        <f t="shared" si="411"/>
        <v>2892912.3539528223</v>
      </c>
      <c r="K864" s="80">
        <f t="shared" si="411"/>
        <v>34860325.870512158</v>
      </c>
      <c r="L864" s="80">
        <f t="shared" si="411"/>
        <v>20231051.288752496</v>
      </c>
      <c r="M864" s="80">
        <f t="shared" si="411"/>
        <v>13191406.10248813</v>
      </c>
      <c r="N864" s="80">
        <f t="shared" si="411"/>
        <v>8395872.1463591307</v>
      </c>
      <c r="O864" s="80">
        <f>O850-O861</f>
        <v>325240.69962773612</v>
      </c>
      <c r="P864" s="80">
        <f t="shared" si="411"/>
        <v>8136189.6405850872</v>
      </c>
      <c r="Q864" s="80">
        <f t="shared" si="411"/>
        <v>51026.757972055173</v>
      </c>
      <c r="R864" s="80">
        <f t="shared" si="411"/>
        <v>86745.008355585713</v>
      </c>
      <c r="S864" s="80">
        <f t="shared" si="411"/>
        <v>11873.857751980075</v>
      </c>
      <c r="T864" s="80">
        <f t="shared" si="411"/>
        <v>-32568.42915743855</v>
      </c>
      <c r="U864" s="80">
        <f t="shared" si="411"/>
        <v>83240.141419235762</v>
      </c>
      <c r="V864" s="80">
        <f t="shared" si="411"/>
        <v>-2655.2462846754261</v>
      </c>
      <c r="W864" s="80">
        <f t="shared" si="411"/>
        <v>0</v>
      </c>
      <c r="X864" s="80">
        <f t="shared" si="411"/>
        <v>0</v>
      </c>
      <c r="Y864" s="80">
        <f t="shared" si="411"/>
        <v>0</v>
      </c>
      <c r="Z864" s="80">
        <f t="shared" si="411"/>
        <v>0</v>
      </c>
      <c r="AA864" s="80">
        <f>ROUND(SUM(G864:Z864),2)</f>
        <v>150406352.11000001</v>
      </c>
      <c r="AB864" s="93" t="str">
        <f>IF(ABS(F864-AA864)&lt;0.01,"ok","err")</f>
        <v>ok</v>
      </c>
    </row>
    <row r="865" spans="1:28" s="60" customFormat="1" hidden="1"/>
    <row r="866" spans="1:28" s="60" customFormat="1" ht="14.1" hidden="1">
      <c r="A866" s="65" t="s">
        <v>1026</v>
      </c>
      <c r="F866" s="80">
        <f t="shared" ref="F866:Z866" si="412">F789</f>
        <v>3460077816.1601419</v>
      </c>
      <c r="G866" s="80">
        <f t="shared" si="412"/>
        <v>1748092633.3997715</v>
      </c>
      <c r="H866" s="80">
        <f t="shared" si="412"/>
        <v>4038872.4825251354</v>
      </c>
      <c r="I866" s="80">
        <f t="shared" si="412"/>
        <v>403486900.96194375</v>
      </c>
      <c r="J866" s="80">
        <f t="shared" si="412"/>
        <v>22814218.96311127</v>
      </c>
      <c r="K866" s="80">
        <f t="shared" si="412"/>
        <v>390090310.94908422</v>
      </c>
      <c r="L866" s="80">
        <f t="shared" si="412"/>
        <v>335323415.21704251</v>
      </c>
      <c r="M866" s="80">
        <f t="shared" si="412"/>
        <v>296063156.00640303</v>
      </c>
      <c r="N866" s="80">
        <f t="shared" si="412"/>
        <v>145224286.58182222</v>
      </c>
      <c r="O866" s="80">
        <f t="shared" si="412"/>
        <v>9832808.5275934432</v>
      </c>
      <c r="P866" s="80">
        <f t="shared" si="412"/>
        <v>101460556.34610823</v>
      </c>
      <c r="Q866" s="80">
        <f t="shared" si="412"/>
        <v>518946.28609536134</v>
      </c>
      <c r="R866" s="80">
        <f t="shared" si="412"/>
        <v>623432.36842078215</v>
      </c>
      <c r="S866" s="80">
        <f t="shared" si="412"/>
        <v>12817.118099669618</v>
      </c>
      <c r="T866" s="80">
        <f t="shared" si="412"/>
        <v>120162.32212078768</v>
      </c>
      <c r="U866" s="80">
        <f t="shared" si="412"/>
        <v>2314621.8400000003</v>
      </c>
      <c r="V866" s="80">
        <f t="shared" si="412"/>
        <v>60676.790000000008</v>
      </c>
      <c r="W866" s="80">
        <f t="shared" si="412"/>
        <v>0</v>
      </c>
      <c r="X866" s="80">
        <f t="shared" si="412"/>
        <v>0</v>
      </c>
      <c r="Y866" s="80">
        <f t="shared" si="412"/>
        <v>0</v>
      </c>
      <c r="Z866" s="80">
        <f t="shared" si="412"/>
        <v>0</v>
      </c>
      <c r="AA866" s="80">
        <f>ROUND(SUM(G866:Z866),2)</f>
        <v>3460077816.1599998</v>
      </c>
      <c r="AB866" s="93" t="str">
        <f>IF(ABS(F866-AA866)&lt;0.01,"ok","err")</f>
        <v>ok</v>
      </c>
    </row>
    <row r="867" spans="1:28" s="60" customFormat="1" ht="14.1" hidden="1" thickBot="1"/>
    <row r="868" spans="1:28" s="60" customFormat="1" ht="14.4" hidden="1" thickBot="1">
      <c r="A868" s="281" t="s">
        <v>1044</v>
      </c>
      <c r="B868" s="146"/>
      <c r="C868" s="146"/>
      <c r="D868" s="146"/>
      <c r="E868" s="146"/>
      <c r="F868" s="147">
        <f t="shared" ref="F868:P868" si="413">F864/F866</f>
        <v>4.3469066332938802E-2</v>
      </c>
      <c r="G868" s="147">
        <f t="shared" si="413"/>
        <v>1.3277161745966241E-2</v>
      </c>
      <c r="H868" s="147">
        <f t="shared" si="413"/>
        <v>-2.2482934888713533E-2</v>
      </c>
      <c r="I868" s="147">
        <f t="shared" si="413"/>
        <v>9.6798158475068202E-2</v>
      </c>
      <c r="J868" s="147">
        <f t="shared" si="413"/>
        <v>0.12680304149926963</v>
      </c>
      <c r="K868" s="147">
        <f t="shared" si="413"/>
        <v>8.9364757062787528E-2</v>
      </c>
      <c r="L868" s="147">
        <f t="shared" si="413"/>
        <v>6.0332951325983847E-2</v>
      </c>
      <c r="M868" s="147">
        <f t="shared" si="413"/>
        <v>4.4556054459551991E-2</v>
      </c>
      <c r="N868" s="147">
        <f t="shared" si="413"/>
        <v>5.7813140928247776E-2</v>
      </c>
      <c r="O868" s="147">
        <f>O864/O866</f>
        <v>3.3077090712691624E-2</v>
      </c>
      <c r="P868" s="147">
        <f t="shared" si="413"/>
        <v>8.0190666536761712E-2</v>
      </c>
      <c r="Q868" s="147">
        <f>Q864/Q866</f>
        <v>9.8327629157901941E-2</v>
      </c>
      <c r="R868" s="147">
        <f t="shared" ref="R868:Z868" si="414">R864/R866</f>
        <v>0.13914100831068441</v>
      </c>
      <c r="S868" s="147">
        <f t="shared" si="414"/>
        <v>0.92640620611010382</v>
      </c>
      <c r="T868" s="147">
        <f t="shared" si="414"/>
        <v>-0.27103694887571017</v>
      </c>
      <c r="U868" s="147">
        <f t="shared" si="414"/>
        <v>3.5962739131173045E-2</v>
      </c>
      <c r="V868" s="147">
        <f t="shared" si="414"/>
        <v>-4.3760493669415042E-2</v>
      </c>
      <c r="W868" s="147" t="e">
        <f t="shared" si="414"/>
        <v>#DIV/0!</v>
      </c>
      <c r="X868" s="147" t="e">
        <f t="shared" si="414"/>
        <v>#DIV/0!</v>
      </c>
      <c r="Y868" s="147" t="e">
        <f t="shared" si="414"/>
        <v>#DIV/0!</v>
      </c>
      <c r="Z868" s="147" t="e">
        <f t="shared" si="414"/>
        <v>#DIV/0!</v>
      </c>
      <c r="AA868" s="137"/>
      <c r="AB868" s="137"/>
    </row>
    <row r="869" spans="1:28" s="60" customFormat="1" hidden="1"/>
    <row r="870" spans="1:28" s="60" customFormat="1" hidden="1"/>
    <row r="871" spans="1:28" s="60" customFormat="1" ht="14.1" hidden="1">
      <c r="A871" s="65" t="s">
        <v>1188</v>
      </c>
    </row>
    <row r="872" spans="1:28" s="60" customFormat="1" hidden="1"/>
    <row r="873" spans="1:28" s="60" customFormat="1" ht="14.1" hidden="1">
      <c r="A873" s="65" t="s">
        <v>1036</v>
      </c>
    </row>
    <row r="874" spans="1:28" s="60" customFormat="1" hidden="1"/>
    <row r="875" spans="1:28" s="60" customFormat="1" hidden="1">
      <c r="A875" s="111" t="s">
        <v>1191</v>
      </c>
      <c r="F875" s="80">
        <f>F850</f>
        <v>1120165394.2473235</v>
      </c>
      <c r="G875" s="80">
        <f t="shared" ref="G875:Z875" si="415">G850</f>
        <v>454951593.59798747</v>
      </c>
      <c r="H875" s="80">
        <f t="shared" si="415"/>
        <v>1223297.1921604001</v>
      </c>
      <c r="I875" s="80">
        <f t="shared" si="415"/>
        <v>154027474.5131844</v>
      </c>
      <c r="J875" s="80">
        <f t="shared" si="415"/>
        <v>10498583.953981906</v>
      </c>
      <c r="K875" s="80">
        <f t="shared" si="415"/>
        <v>154495290.50073862</v>
      </c>
      <c r="L875" s="80">
        <f t="shared" si="415"/>
        <v>144335303.18710029</v>
      </c>
      <c r="M875" s="80">
        <f t="shared" si="415"/>
        <v>107299265.68138993</v>
      </c>
      <c r="N875" s="80">
        <f t="shared" si="415"/>
        <v>65914715.799479224</v>
      </c>
      <c r="O875" s="80">
        <f t="shared" si="415"/>
        <v>3860039.3625699161</v>
      </c>
      <c r="P875" s="80">
        <f t="shared" si="415"/>
        <v>22694702.284348756</v>
      </c>
      <c r="Q875" s="80">
        <f t="shared" si="415"/>
        <v>258659.23933570844</v>
      </c>
      <c r="R875" s="80">
        <f t="shared" si="415"/>
        <v>331050.85276777501</v>
      </c>
      <c r="S875" s="80">
        <f t="shared" si="415"/>
        <v>15690.859562800646</v>
      </c>
      <c r="T875" s="80">
        <f t="shared" si="415"/>
        <v>12695.222716395989</v>
      </c>
      <c r="U875" s="80">
        <f t="shared" si="415"/>
        <v>237096</v>
      </c>
      <c r="V875" s="80">
        <f t="shared" si="415"/>
        <v>9936</v>
      </c>
      <c r="W875" s="80">
        <f t="shared" si="415"/>
        <v>0</v>
      </c>
      <c r="X875" s="80">
        <f t="shared" si="415"/>
        <v>0</v>
      </c>
      <c r="Y875" s="80">
        <f t="shared" si="415"/>
        <v>0</v>
      </c>
      <c r="Z875" s="80">
        <f t="shared" si="415"/>
        <v>0</v>
      </c>
      <c r="AA875" s="80">
        <f>ROUND(SUM(G875:Z875),2)</f>
        <v>1120165394.25</v>
      </c>
      <c r="AB875" s="93" t="str">
        <f>IF(ABS(F875-AA875)&lt;0.01,"ok","err")</f>
        <v>ok</v>
      </c>
    </row>
    <row r="876" spans="1:28" s="60" customFormat="1" hidden="1"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93"/>
    </row>
    <row r="877" spans="1:28" s="60" customFormat="1" hidden="1">
      <c r="A877" s="60" t="s">
        <v>134</v>
      </c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93"/>
    </row>
    <row r="878" spans="1:28" s="60" customFormat="1" hidden="1">
      <c r="A878" s="60" t="s">
        <v>828</v>
      </c>
      <c r="F878" s="76">
        <f>($F$868*F866-F864)/(1-$E$890)-SUM(F848:F849)</f>
        <v>-89459</v>
      </c>
      <c r="G878" s="76">
        <f>($F$868*G866-G864)/(1-$E$890)-SUM(G848:G849)</f>
        <v>70149767.208730534</v>
      </c>
      <c r="H878" s="76">
        <f t="shared" ref="H878:Z878" si="416">($F$868*H866-H864)/(1-$E$890)-SUM(H848:H849)</f>
        <v>354265.33623868908</v>
      </c>
      <c r="I878" s="76">
        <f t="shared" si="416"/>
        <v>-28638032.32392408</v>
      </c>
      <c r="J878" s="76">
        <f t="shared" si="416"/>
        <v>-2530045.0729688779</v>
      </c>
      <c r="K878" s="76">
        <f t="shared" si="416"/>
        <v>-23825687.976074241</v>
      </c>
      <c r="L878" s="76">
        <f t="shared" si="416"/>
        <v>-7525254.1657856526</v>
      </c>
      <c r="M878" s="76">
        <f t="shared" si="416"/>
        <v>-428361.84780654486</v>
      </c>
      <c r="N878" s="76">
        <f t="shared" si="416"/>
        <v>-2772109.1334989523</v>
      </c>
      <c r="O878" s="76">
        <f t="shared" si="416"/>
        <v>135979.62115946531</v>
      </c>
      <c r="P878" s="76">
        <f t="shared" si="416"/>
        <v>-4958119.190912148</v>
      </c>
      <c r="Q878" s="76">
        <f t="shared" si="416"/>
        <v>-37884.796559348331</v>
      </c>
      <c r="R878" s="76">
        <f t="shared" si="416"/>
        <v>-79372.865947762068</v>
      </c>
      <c r="S878" s="76">
        <f t="shared" si="416"/>
        <v>-15059.76852807728</v>
      </c>
      <c r="T878" s="76">
        <f t="shared" si="416"/>
        <v>50291.593196359107</v>
      </c>
      <c r="U878" s="76">
        <f t="shared" si="416"/>
        <v>23120.949412016002</v>
      </c>
      <c r="V878" s="250">
        <f t="shared" si="416"/>
        <v>7043.4332688088671</v>
      </c>
      <c r="W878" s="250">
        <f t="shared" si="416"/>
        <v>0</v>
      </c>
      <c r="X878" s="250">
        <f t="shared" si="416"/>
        <v>0</v>
      </c>
      <c r="Y878" s="250">
        <f t="shared" si="416"/>
        <v>0</v>
      </c>
      <c r="Z878" s="250">
        <f t="shared" si="416"/>
        <v>0</v>
      </c>
      <c r="AA878" s="80">
        <f>SUM(G878:Z878)</f>
        <v>-89458.999999819425</v>
      </c>
      <c r="AB878" s="93" t="str">
        <f>IF(ABS(F878-AA878)&lt;0.01,"ok","err")</f>
        <v>ok</v>
      </c>
    </row>
    <row r="879" spans="1:28" s="60" customFormat="1" hidden="1">
      <c r="A879" s="60" t="s">
        <v>824</v>
      </c>
      <c r="E879" s="60" t="s">
        <v>179</v>
      </c>
      <c r="F879" s="76">
        <f>F848</f>
        <v>89459</v>
      </c>
      <c r="G879" s="76">
        <f>G848</f>
        <v>85150.578081008411</v>
      </c>
      <c r="H879" s="76">
        <f t="shared" ref="H879:U879" si="417">H848</f>
        <v>210.18119061010901</v>
      </c>
      <c r="I879" s="76">
        <f t="shared" si="417"/>
        <v>3390.4468885644255</v>
      </c>
      <c r="J879" s="76">
        <f t="shared" si="417"/>
        <v>14.147803411850305</v>
      </c>
      <c r="K879" s="76">
        <f t="shared" si="417"/>
        <v>562.35442074324351</v>
      </c>
      <c r="L879" s="76">
        <f t="shared" si="417"/>
        <v>26.596762954128913</v>
      </c>
      <c r="M879" s="76">
        <f t="shared" si="417"/>
        <v>102.06740350278399</v>
      </c>
      <c r="N879" s="76">
        <f t="shared" si="417"/>
        <v>2.6274492050579137</v>
      </c>
      <c r="O879" s="76">
        <f>O848</f>
        <v>0</v>
      </c>
      <c r="P879" s="76">
        <f t="shared" si="417"/>
        <v>0</v>
      </c>
      <c r="Q879" s="76">
        <f t="shared" si="417"/>
        <v>0</v>
      </c>
      <c r="R879" s="76">
        <f t="shared" si="417"/>
        <v>0</v>
      </c>
      <c r="S879" s="76">
        <f t="shared" si="417"/>
        <v>0</v>
      </c>
      <c r="T879" s="76">
        <f t="shared" si="417"/>
        <v>0</v>
      </c>
      <c r="U879" s="76">
        <f t="shared" si="417"/>
        <v>0</v>
      </c>
      <c r="V879" s="76">
        <f>IF(VLOOKUP($E879,$D$6:$AN$1150,3,)=0,0,(VLOOKUP($E879,$D$6:$AN$1150,V$2,)/VLOOKUP($E879,$D$6:$AN$1150,3,))*$F879)</f>
        <v>0</v>
      </c>
      <c r="W879" s="76">
        <f>IF(VLOOKUP($E879,$D$6:$AN$1150,3,)=0,0,(VLOOKUP($E879,$D$6:$AN$1150,W$2,)/VLOOKUP($E879,$D$6:$AN$1150,3,))*$F879)</f>
        <v>0</v>
      </c>
      <c r="X879" s="79">
        <f>IF(VLOOKUP($E879,$D$6:$AN$1150,3,)=0,0,(VLOOKUP($E879,$D$6:$AN$1150,X$2,)/VLOOKUP($E879,$D$6:$AN$1150,3,))*$F879)</f>
        <v>0</v>
      </c>
      <c r="Y879" s="79">
        <f>IF(VLOOKUP($E879,$D$6:$AN$1150,3,)=0,0,(VLOOKUP($E879,$D$6:$AN$1150,Y$2,)/VLOOKUP($E879,$D$6:$AN$1150,3,))*$F879)</f>
        <v>0</v>
      </c>
      <c r="Z879" s="79">
        <f>IF(VLOOKUP($E879,$D$6:$AN$1150,3,)=0,0,(VLOOKUP($E879,$D$6:$AN$1150,Z$2,)/VLOOKUP($E879,$D$6:$AN$1150,3,))*$F879)</f>
        <v>0</v>
      </c>
      <c r="AA879" s="80">
        <f>SUM(G879:Z879)</f>
        <v>89459</v>
      </c>
      <c r="AB879" s="93" t="str">
        <f>IF(ABS(F879-AA879)&lt;0.01,"ok","err")</f>
        <v>ok</v>
      </c>
    </row>
    <row r="880" spans="1:28" s="60" customFormat="1" hidden="1"/>
    <row r="881" spans="1:28" s="60" customFormat="1" hidden="1">
      <c r="A881" s="60" t="s">
        <v>135</v>
      </c>
      <c r="F881" s="80">
        <f>SUM(F875:F879)</f>
        <v>1120165394.2473235</v>
      </c>
      <c r="G881" s="80">
        <f t="shared" ref="G881:P881" si="418">SUM(G875:G879)</f>
        <v>525186511.384799</v>
      </c>
      <c r="H881" s="80">
        <f t="shared" si="418"/>
        <v>1577772.7095896993</v>
      </c>
      <c r="I881" s="80">
        <f t="shared" si="418"/>
        <v>125392832.63614888</v>
      </c>
      <c r="J881" s="80">
        <f t="shared" si="418"/>
        <v>7968553.0288164401</v>
      </c>
      <c r="K881" s="80">
        <f t="shared" si="418"/>
        <v>130670164.87908511</v>
      </c>
      <c r="L881" s="80">
        <f t="shared" si="418"/>
        <v>136810075.61807761</v>
      </c>
      <c r="M881" s="80">
        <f t="shared" si="418"/>
        <v>106871005.90098689</v>
      </c>
      <c r="N881" s="80">
        <f t="shared" si="418"/>
        <v>63142609.293429479</v>
      </c>
      <c r="O881" s="80">
        <f>SUM(O875:O879)</f>
        <v>3996018.9837293816</v>
      </c>
      <c r="P881" s="80">
        <f t="shared" si="418"/>
        <v>17736583.093436606</v>
      </c>
      <c r="Q881" s="80">
        <f>SUM(Q875:Q879)</f>
        <v>220774.44277636011</v>
      </c>
      <c r="R881" s="80">
        <f t="shared" ref="R881:Z881" si="419">SUM(R875:R879)</f>
        <v>251677.98682001294</v>
      </c>
      <c r="S881" s="80">
        <f t="shared" si="419"/>
        <v>631.09103472336574</v>
      </c>
      <c r="T881" s="80">
        <f t="shared" si="419"/>
        <v>62986.815912755097</v>
      </c>
      <c r="U881" s="80">
        <f t="shared" si="419"/>
        <v>260216.94941201599</v>
      </c>
      <c r="V881" s="80">
        <f t="shared" si="419"/>
        <v>16979.433268808869</v>
      </c>
      <c r="W881" s="80">
        <f t="shared" si="419"/>
        <v>0</v>
      </c>
      <c r="X881" s="80">
        <f t="shared" si="419"/>
        <v>0</v>
      </c>
      <c r="Y881" s="80">
        <f t="shared" si="419"/>
        <v>0</v>
      </c>
      <c r="Z881" s="80">
        <f t="shared" si="419"/>
        <v>0</v>
      </c>
      <c r="AA881" s="80">
        <f>ROUND(SUM(G881:Z881),2)</f>
        <v>1120165394.25</v>
      </c>
      <c r="AB881" s="93" t="str">
        <f>IF(ABS(F881-AA881)&lt;0.01,"ok","err")</f>
        <v>ok</v>
      </c>
    </row>
    <row r="882" spans="1:28" s="60" customFormat="1" hidden="1"/>
    <row r="883" spans="1:28" s="60" customFormat="1" hidden="1"/>
    <row r="884" spans="1:28" s="60" customFormat="1" ht="14.1" hidden="1">
      <c r="A884" s="65" t="s">
        <v>1040</v>
      </c>
    </row>
    <row r="885" spans="1:28" s="60" customFormat="1" hidden="1"/>
    <row r="886" spans="1:28" s="60" customFormat="1" hidden="1">
      <c r="A886" s="60" t="s">
        <v>1043</v>
      </c>
      <c r="F886" s="80">
        <f>F855+F859</f>
        <v>969759042.13952827</v>
      </c>
      <c r="G886" s="80">
        <f t="shared" ref="G886:Z886" si="420">G855+G859</f>
        <v>431741884.95740664</v>
      </c>
      <c r="H886" s="80">
        <f t="shared" si="420"/>
        <v>1314102.8992088295</v>
      </c>
      <c r="I886" s="80">
        <f t="shared" si="420"/>
        <v>114970685.53125602</v>
      </c>
      <c r="J886" s="80">
        <f t="shared" si="420"/>
        <v>7605671.6000290839</v>
      </c>
      <c r="K886" s="80">
        <f t="shared" si="420"/>
        <v>119634964.63022646</v>
      </c>
      <c r="L886" s="80">
        <f t="shared" si="420"/>
        <v>124104251.8983478</v>
      </c>
      <c r="M886" s="80">
        <f t="shared" si="420"/>
        <v>94107859.578901798</v>
      </c>
      <c r="N886" s="80">
        <f t="shared" si="420"/>
        <v>57518843.653120093</v>
      </c>
      <c r="O886" s="80">
        <f t="shared" si="420"/>
        <v>3534798.6629421799</v>
      </c>
      <c r="P886" s="80">
        <f t="shared" si="420"/>
        <v>14558512.643763669</v>
      </c>
      <c r="Q886" s="80">
        <f t="shared" si="420"/>
        <v>207632.48136365326</v>
      </c>
      <c r="R886" s="80">
        <f t="shared" si="420"/>
        <v>244305.8444121893</v>
      </c>
      <c r="S886" s="80">
        <f t="shared" si="420"/>
        <v>3817.0018108205704</v>
      </c>
      <c r="T886" s="80">
        <f t="shared" si="420"/>
        <v>45263.65187383454</v>
      </c>
      <c r="U886" s="80">
        <f t="shared" si="420"/>
        <v>153855.85858076424</v>
      </c>
      <c r="V886" s="80">
        <f t="shared" si="420"/>
        <v>12591.246284675426</v>
      </c>
      <c r="W886" s="80">
        <f t="shared" si="420"/>
        <v>0</v>
      </c>
      <c r="X886" s="80">
        <f t="shared" si="420"/>
        <v>0</v>
      </c>
      <c r="Y886" s="80">
        <f t="shared" si="420"/>
        <v>0</v>
      </c>
      <c r="Z886" s="80">
        <f t="shared" si="420"/>
        <v>0</v>
      </c>
      <c r="AA886" s="80">
        <f>ROUND(SUM(G886:Z886),2)</f>
        <v>969759042.13999999</v>
      </c>
      <c r="AB886" s="93" t="str">
        <f>IF(ABS(F886-AA886)&lt;0.01,"ok","err")</f>
        <v>ok</v>
      </c>
    </row>
    <row r="887" spans="1:28" s="60" customFormat="1" hidden="1"/>
    <row r="888" spans="1:28" s="60" customFormat="1" hidden="1">
      <c r="A888" s="60" t="s">
        <v>670</v>
      </c>
      <c r="F888" s="112">
        <f>F857</f>
        <v>0</v>
      </c>
      <c r="G888" s="112">
        <f t="shared" ref="G888:Z888" si="421">G857</f>
        <v>0</v>
      </c>
      <c r="H888" s="112">
        <f t="shared" si="421"/>
        <v>0</v>
      </c>
      <c r="I888" s="112">
        <f t="shared" si="421"/>
        <v>0</v>
      </c>
      <c r="J888" s="112">
        <f t="shared" si="421"/>
        <v>0</v>
      </c>
      <c r="K888" s="112">
        <f t="shared" si="421"/>
        <v>0</v>
      </c>
      <c r="L888" s="112">
        <f t="shared" si="421"/>
        <v>0</v>
      </c>
      <c r="M888" s="112">
        <f t="shared" si="421"/>
        <v>0</v>
      </c>
      <c r="N888" s="112">
        <f t="shared" si="421"/>
        <v>0</v>
      </c>
      <c r="O888" s="112">
        <f t="shared" si="421"/>
        <v>0</v>
      </c>
      <c r="P888" s="112">
        <f t="shared" si="421"/>
        <v>0</v>
      </c>
      <c r="Q888" s="112">
        <f t="shared" si="421"/>
        <v>0</v>
      </c>
      <c r="R888" s="112">
        <f t="shared" si="421"/>
        <v>0</v>
      </c>
      <c r="S888" s="112">
        <f t="shared" si="421"/>
        <v>0</v>
      </c>
      <c r="T888" s="112">
        <f t="shared" si="421"/>
        <v>0</v>
      </c>
      <c r="U888" s="112">
        <f t="shared" si="421"/>
        <v>0</v>
      </c>
      <c r="V888" s="112">
        <f t="shared" si="421"/>
        <v>0</v>
      </c>
      <c r="W888" s="112">
        <f t="shared" si="421"/>
        <v>0</v>
      </c>
      <c r="X888" s="112">
        <f t="shared" si="421"/>
        <v>0</v>
      </c>
      <c r="Y888" s="112">
        <f t="shared" si="421"/>
        <v>0</v>
      </c>
      <c r="Z888" s="112">
        <f t="shared" si="421"/>
        <v>0</v>
      </c>
      <c r="AA888" s="80">
        <f>ROUND(SUM(G888:Z888),2)</f>
        <v>0</v>
      </c>
      <c r="AB888" s="93" t="str">
        <f>IF(ABS(F888-AA888)&lt;0.01,"ok","err")</f>
        <v>ok</v>
      </c>
    </row>
    <row r="889" spans="1:28" s="60" customFormat="1" hidden="1"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80"/>
      <c r="AB889" s="93"/>
    </row>
    <row r="890" spans="1:28" s="60" customFormat="1" hidden="1">
      <c r="A890" s="60" t="s">
        <v>671</v>
      </c>
      <c r="E890" s="60">
        <f>E823</f>
        <v>0.24854690999999998</v>
      </c>
      <c r="F890" s="112">
        <f>(F878+F879)*$E$890</f>
        <v>0</v>
      </c>
      <c r="G890" s="112">
        <f>(G878+G879)*$E$890</f>
        <v>17456671.790016048</v>
      </c>
      <c r="H890" s="112">
        <f t="shared" ref="H890:Y890" si="422">(H878+H879)*$E$890</f>
        <v>88103.794527703445</v>
      </c>
      <c r="I890" s="112">
        <f t="shared" si="422"/>
        <v>-7117051.7574937763</v>
      </c>
      <c r="J890" s="112">
        <f t="shared" si="422"/>
        <v>-628831.3686543178</v>
      </c>
      <c r="K890" s="112">
        <f t="shared" si="422"/>
        <v>-5921661.3536238056</v>
      </c>
      <c r="L890" s="112">
        <f t="shared" si="422"/>
        <v>-1870372.0593274033</v>
      </c>
      <c r="M890" s="112">
        <f t="shared" si="422"/>
        <v>-106442.64509645465</v>
      </c>
      <c r="N890" s="112">
        <f t="shared" si="422"/>
        <v>-688998.50626956089</v>
      </c>
      <c r="O890" s="112">
        <f t="shared" si="422"/>
        <v>33797.314662155717</v>
      </c>
      <c r="P890" s="112">
        <f t="shared" si="422"/>
        <v>-1232325.2043129143</v>
      </c>
      <c r="Q890" s="112">
        <f t="shared" si="422"/>
        <v>-9416.1491208046591</v>
      </c>
      <c r="R890" s="112">
        <f t="shared" si="422"/>
        <v>-19727.880569160483</v>
      </c>
      <c r="S890" s="112">
        <f t="shared" si="422"/>
        <v>-3743.058932968856</v>
      </c>
      <c r="T890" s="112">
        <f t="shared" si="422"/>
        <v>12499.820087932078</v>
      </c>
      <c r="U890" s="112">
        <f t="shared" si="422"/>
        <v>5746.6405326228933</v>
      </c>
      <c r="V890" s="112">
        <f t="shared" si="422"/>
        <v>1750.6235747536432</v>
      </c>
      <c r="W890" s="112">
        <f t="shared" si="422"/>
        <v>0</v>
      </c>
      <c r="X890" s="112">
        <f t="shared" si="422"/>
        <v>0</v>
      </c>
      <c r="Y890" s="112">
        <f t="shared" si="422"/>
        <v>0</v>
      </c>
      <c r="Z890" s="112">
        <f>(Z878+Z879)*$E$890</f>
        <v>0</v>
      </c>
      <c r="AA890" s="80">
        <f>ROUND(SUM(G890:Z890),2)</f>
        <v>0</v>
      </c>
      <c r="AB890" s="93" t="str">
        <f>IF(ABS(F890-AA890)&lt;0.01,"ok","err")</f>
        <v>ok</v>
      </c>
    </row>
    <row r="891" spans="1:28" s="60" customFormat="1" hidden="1">
      <c r="A891" s="68"/>
      <c r="F891" s="79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80"/>
      <c r="AB891" s="93"/>
    </row>
    <row r="892" spans="1:28" s="60" customFormat="1" hidden="1">
      <c r="A892" s="60" t="s">
        <v>136</v>
      </c>
      <c r="F892" s="80">
        <f t="shared" ref="F892:Z892" si="423">SUM(F886:F891)</f>
        <v>969759042.13952827</v>
      </c>
      <c r="G892" s="80">
        <f t="shared" si="423"/>
        <v>449198556.7474227</v>
      </c>
      <c r="H892" s="80">
        <f t="shared" si="423"/>
        <v>1402206.6937365329</v>
      </c>
      <c r="I892" s="80">
        <f t="shared" si="423"/>
        <v>107853633.77376224</v>
      </c>
      <c r="J892" s="80">
        <f t="shared" si="423"/>
        <v>6976840.2313747657</v>
      </c>
      <c r="K892" s="80">
        <f t="shared" si="423"/>
        <v>113713303.27660266</v>
      </c>
      <c r="L892" s="80">
        <f t="shared" si="423"/>
        <v>122233879.83902039</v>
      </c>
      <c r="M892" s="80">
        <f t="shared" si="423"/>
        <v>94001416.933805346</v>
      </c>
      <c r="N892" s="80">
        <f t="shared" si="423"/>
        <v>56829845.146850534</v>
      </c>
      <c r="O892" s="80">
        <f>SUM(O886:O891)</f>
        <v>3568595.9776043356</v>
      </c>
      <c r="P892" s="80">
        <f t="shared" si="423"/>
        <v>13326187.439450754</v>
      </c>
      <c r="Q892" s="80">
        <f t="shared" si="423"/>
        <v>198216.33224284861</v>
      </c>
      <c r="R892" s="80">
        <f t="shared" si="423"/>
        <v>224577.96384302882</v>
      </c>
      <c r="S892" s="80">
        <f t="shared" si="423"/>
        <v>73.942877851714456</v>
      </c>
      <c r="T892" s="80">
        <f t="shared" si="423"/>
        <v>57763.47196176662</v>
      </c>
      <c r="U892" s="80">
        <f t="shared" si="423"/>
        <v>159602.49911338714</v>
      </c>
      <c r="V892" s="80">
        <f t="shared" si="423"/>
        <v>14341.869859429069</v>
      </c>
      <c r="W892" s="80">
        <f t="shared" si="423"/>
        <v>0</v>
      </c>
      <c r="X892" s="80">
        <f t="shared" si="423"/>
        <v>0</v>
      </c>
      <c r="Y892" s="80">
        <f t="shared" si="423"/>
        <v>0</v>
      </c>
      <c r="Z892" s="80">
        <f t="shared" si="423"/>
        <v>0</v>
      </c>
      <c r="AA892" s="80">
        <f>ROUND(SUM(G892:Z892),2)</f>
        <v>969759042.13999999</v>
      </c>
      <c r="AB892" s="93" t="str">
        <f>IF(ABS(F892-AA892)&lt;0.01,"ok","err")</f>
        <v>ok</v>
      </c>
    </row>
    <row r="893" spans="1:28" s="60" customFormat="1" hidden="1"/>
    <row r="894" spans="1:28" s="60" customFormat="1" hidden="1"/>
    <row r="895" spans="1:28" s="60" customFormat="1" ht="14.1" hidden="1">
      <c r="A895" s="65" t="s">
        <v>822</v>
      </c>
      <c r="F895" s="80">
        <f t="shared" ref="F895:Z895" si="424">F881-F892</f>
        <v>150406352.10779524</v>
      </c>
      <c r="G895" s="80">
        <f t="shared" si="424"/>
        <v>75987954.637376308</v>
      </c>
      <c r="H895" s="80">
        <f t="shared" si="424"/>
        <v>175566.01585316635</v>
      </c>
      <c r="I895" s="80">
        <f t="shared" si="424"/>
        <v>17539198.862386644</v>
      </c>
      <c r="J895" s="80">
        <f t="shared" si="424"/>
        <v>991712.7974416744</v>
      </c>
      <c r="K895" s="80">
        <f t="shared" si="424"/>
        <v>16956861.602482453</v>
      </c>
      <c r="L895" s="80">
        <f t="shared" si="424"/>
        <v>14576195.77905722</v>
      </c>
      <c r="M895" s="80">
        <f t="shared" si="424"/>
        <v>12869588.967181548</v>
      </c>
      <c r="N895" s="80">
        <f t="shared" si="424"/>
        <v>6312764.1465789452</v>
      </c>
      <c r="O895" s="80">
        <f>O881-O892</f>
        <v>427423.00612504594</v>
      </c>
      <c r="P895" s="80">
        <f t="shared" si="424"/>
        <v>4410395.6539858524</v>
      </c>
      <c r="Q895" s="80">
        <f t="shared" si="424"/>
        <v>22558.110533511499</v>
      </c>
      <c r="R895" s="80">
        <f t="shared" si="424"/>
        <v>27100.022976984124</v>
      </c>
      <c r="S895" s="80">
        <f t="shared" si="424"/>
        <v>557.14815687165128</v>
      </c>
      <c r="T895" s="80">
        <f t="shared" si="424"/>
        <v>5223.3439509884774</v>
      </c>
      <c r="U895" s="80">
        <f t="shared" si="424"/>
        <v>100614.45029862886</v>
      </c>
      <c r="V895" s="80">
        <f t="shared" si="424"/>
        <v>2637.5634093797999</v>
      </c>
      <c r="W895" s="80">
        <f t="shared" si="424"/>
        <v>0</v>
      </c>
      <c r="X895" s="80">
        <f t="shared" si="424"/>
        <v>0</v>
      </c>
      <c r="Y895" s="80">
        <f t="shared" si="424"/>
        <v>0</v>
      </c>
      <c r="Z895" s="80">
        <f t="shared" si="424"/>
        <v>0</v>
      </c>
      <c r="AA895" s="80">
        <f>ROUND(SUM(G895:Z895),2)</f>
        <v>150406352.11000001</v>
      </c>
      <c r="AB895" s="93" t="str">
        <f>IF(ABS(F895-AA895)&lt;0.01,"ok","err")</f>
        <v>ok</v>
      </c>
    </row>
    <row r="896" spans="1:28" s="60" customFormat="1" hidden="1"/>
    <row r="897" spans="1:28" s="60" customFormat="1" ht="14.1" hidden="1">
      <c r="A897" s="65" t="s">
        <v>1026</v>
      </c>
      <c r="F897" s="80">
        <f>F866</f>
        <v>3460077816.1601419</v>
      </c>
      <c r="G897" s="80">
        <f t="shared" ref="G897:Z897" si="425">G866</f>
        <v>1748092633.3997715</v>
      </c>
      <c r="H897" s="80">
        <f t="shared" si="425"/>
        <v>4038872.4825251354</v>
      </c>
      <c r="I897" s="80">
        <f t="shared" si="425"/>
        <v>403486900.96194375</v>
      </c>
      <c r="J897" s="80">
        <f t="shared" si="425"/>
        <v>22814218.96311127</v>
      </c>
      <c r="K897" s="80">
        <f t="shared" si="425"/>
        <v>390090310.94908422</v>
      </c>
      <c r="L897" s="80">
        <f t="shared" si="425"/>
        <v>335323415.21704251</v>
      </c>
      <c r="M897" s="80">
        <f t="shared" si="425"/>
        <v>296063156.00640303</v>
      </c>
      <c r="N897" s="80">
        <f t="shared" si="425"/>
        <v>145224286.58182222</v>
      </c>
      <c r="O897" s="80">
        <f>O866</f>
        <v>9832808.5275934432</v>
      </c>
      <c r="P897" s="80">
        <f t="shared" si="425"/>
        <v>101460556.34610823</v>
      </c>
      <c r="Q897" s="80">
        <f t="shared" si="425"/>
        <v>518946.28609536134</v>
      </c>
      <c r="R897" s="80">
        <f t="shared" si="425"/>
        <v>623432.36842078215</v>
      </c>
      <c r="S897" s="80">
        <f t="shared" si="425"/>
        <v>12817.118099669618</v>
      </c>
      <c r="T897" s="80">
        <f t="shared" si="425"/>
        <v>120162.32212078768</v>
      </c>
      <c r="U897" s="80">
        <f t="shared" si="425"/>
        <v>2314621.8400000003</v>
      </c>
      <c r="V897" s="80">
        <f t="shared" si="425"/>
        <v>60676.790000000008</v>
      </c>
      <c r="W897" s="80">
        <f t="shared" si="425"/>
        <v>0</v>
      </c>
      <c r="X897" s="80">
        <f t="shared" si="425"/>
        <v>0</v>
      </c>
      <c r="Y897" s="80">
        <f t="shared" si="425"/>
        <v>0</v>
      </c>
      <c r="Z897" s="80">
        <f t="shared" si="425"/>
        <v>0</v>
      </c>
      <c r="AA897" s="80">
        <f>ROUND(SUM(G897:Z897),2)</f>
        <v>3460077816.1599998</v>
      </c>
      <c r="AB897" s="93" t="str">
        <f>IF(ABS(F897-AA897)&lt;0.01,"ok","err")</f>
        <v>ok</v>
      </c>
    </row>
    <row r="898" spans="1:28" s="60" customFormat="1" ht="14.1" hidden="1" thickBot="1"/>
    <row r="899" spans="1:28" s="60" customFormat="1" ht="14.4" hidden="1" thickBot="1">
      <c r="A899" s="281" t="s">
        <v>1044</v>
      </c>
      <c r="B899" s="146"/>
      <c r="C899" s="146"/>
      <c r="D899" s="146"/>
      <c r="E899" s="146"/>
      <c r="F899" s="147">
        <f t="shared" ref="F899:P899" si="426">F895/F897</f>
        <v>4.3469066332938802E-2</v>
      </c>
      <c r="G899" s="147">
        <f t="shared" si="426"/>
        <v>4.3469066332938788E-2</v>
      </c>
      <c r="H899" s="147">
        <f t="shared" si="426"/>
        <v>4.3469066332938809E-2</v>
      </c>
      <c r="I899" s="147">
        <f t="shared" si="426"/>
        <v>4.3469066332938809E-2</v>
      </c>
      <c r="J899" s="147">
        <f t="shared" si="426"/>
        <v>4.3469066332938816E-2</v>
      </c>
      <c r="K899" s="147">
        <f t="shared" si="426"/>
        <v>4.3469066332938767E-2</v>
      </c>
      <c r="L899" s="147">
        <f t="shared" si="426"/>
        <v>4.3469066332938858E-2</v>
      </c>
      <c r="M899" s="147">
        <f t="shared" si="426"/>
        <v>4.3469066332938823E-2</v>
      </c>
      <c r="N899" s="147">
        <f t="shared" si="426"/>
        <v>4.3469066332938809E-2</v>
      </c>
      <c r="O899" s="147">
        <f>O895/O897</f>
        <v>4.346906633293883E-2</v>
      </c>
      <c r="P899" s="147">
        <f t="shared" si="426"/>
        <v>4.3469066332938788E-2</v>
      </c>
      <c r="Q899" s="147">
        <f>Q895/Q897</f>
        <v>4.3469066332938802E-2</v>
      </c>
      <c r="R899" s="147">
        <f t="shared" ref="R899:Z899" si="427">R895/R897</f>
        <v>4.3469066332938809E-2</v>
      </c>
      <c r="S899" s="147">
        <f t="shared" si="427"/>
        <v>4.3469066332938969E-2</v>
      </c>
      <c r="T899" s="147">
        <f t="shared" si="427"/>
        <v>4.3469066332938788E-2</v>
      </c>
      <c r="U899" s="147">
        <f t="shared" si="427"/>
        <v>4.3469066332938795E-2</v>
      </c>
      <c r="V899" s="147">
        <f t="shared" si="427"/>
        <v>4.346906633293883E-2</v>
      </c>
      <c r="W899" s="147" t="e">
        <f t="shared" si="427"/>
        <v>#DIV/0!</v>
      </c>
      <c r="X899" s="147" t="e">
        <f t="shared" si="427"/>
        <v>#DIV/0!</v>
      </c>
      <c r="Y899" s="147" t="e">
        <f t="shared" si="427"/>
        <v>#DIV/0!</v>
      </c>
      <c r="Z899" s="147" t="e">
        <f t="shared" si="427"/>
        <v>#DIV/0!</v>
      </c>
      <c r="AA899" s="137"/>
      <c r="AB899" s="137"/>
    </row>
    <row r="900" spans="1:28" s="60" customFormat="1" hidden="1"/>
    <row r="901" spans="1:28" s="60" customFormat="1" hidden="1"/>
    <row r="902" spans="1:28" s="60" customFormat="1" hidden="1"/>
    <row r="903" spans="1:28" s="60" customFormat="1" ht="14.1" hidden="1">
      <c r="A903" s="65" t="s">
        <v>825</v>
      </c>
      <c r="B903" s="65"/>
      <c r="F903" s="76">
        <f>F881</f>
        <v>1120165394.2473235</v>
      </c>
      <c r="G903" s="76">
        <f t="shared" ref="G903:U903" si="428">G881</f>
        <v>525186511.384799</v>
      </c>
      <c r="H903" s="76">
        <f t="shared" si="428"/>
        <v>1577772.7095896993</v>
      </c>
      <c r="I903" s="76">
        <f t="shared" si="428"/>
        <v>125392832.63614888</v>
      </c>
      <c r="J903" s="76">
        <f t="shared" si="428"/>
        <v>7968553.0288164401</v>
      </c>
      <c r="K903" s="76">
        <f t="shared" si="428"/>
        <v>130670164.87908511</v>
      </c>
      <c r="L903" s="76">
        <f t="shared" si="428"/>
        <v>136810075.61807761</v>
      </c>
      <c r="M903" s="76">
        <f t="shared" si="428"/>
        <v>106871005.90098689</v>
      </c>
      <c r="N903" s="76">
        <f t="shared" si="428"/>
        <v>63142609.293429479</v>
      </c>
      <c r="O903" s="76">
        <f t="shared" si="428"/>
        <v>3996018.9837293816</v>
      </c>
      <c r="P903" s="76">
        <f t="shared" si="428"/>
        <v>17736583.093436606</v>
      </c>
      <c r="Q903" s="76">
        <f t="shared" si="428"/>
        <v>220774.44277636011</v>
      </c>
      <c r="R903" s="76">
        <f t="shared" si="428"/>
        <v>251677.98682001294</v>
      </c>
      <c r="S903" s="76">
        <f t="shared" si="428"/>
        <v>631.09103472336574</v>
      </c>
      <c r="T903" s="76">
        <f t="shared" si="428"/>
        <v>62986.815912755097</v>
      </c>
      <c r="U903" s="76">
        <f t="shared" si="428"/>
        <v>260216.94941201599</v>
      </c>
      <c r="V903" s="60">
        <v>1</v>
      </c>
      <c r="W903" s="60">
        <v>1</v>
      </c>
      <c r="Z903" s="80">
        <f>ROUND(SUM(G904:Z904),2)</f>
        <v>0</v>
      </c>
      <c r="AA903" s="80"/>
      <c r="AB903" s="93"/>
    </row>
    <row r="904" spans="1:28" s="60" customFormat="1" ht="14.1" hidden="1">
      <c r="A904" s="65"/>
      <c r="B904" s="65"/>
    </row>
    <row r="905" spans="1:28" s="60" customFormat="1" ht="14.1" hidden="1">
      <c r="A905" s="65" t="s">
        <v>826</v>
      </c>
      <c r="B905" s="65"/>
      <c r="F905" s="80">
        <f>F878</f>
        <v>-89459</v>
      </c>
      <c r="G905" s="80">
        <f>G878</f>
        <v>70149767.208730534</v>
      </c>
      <c r="H905" s="80">
        <f t="shared" ref="H905:Z905" si="429">H878</f>
        <v>354265.33623868908</v>
      </c>
      <c r="I905" s="80">
        <f t="shared" si="429"/>
        <v>-28638032.32392408</v>
      </c>
      <c r="J905" s="80">
        <f t="shared" si="429"/>
        <v>-2530045.0729688779</v>
      </c>
      <c r="K905" s="80">
        <f t="shared" si="429"/>
        <v>-23825687.976074241</v>
      </c>
      <c r="L905" s="80">
        <f t="shared" si="429"/>
        <v>-7525254.1657856526</v>
      </c>
      <c r="M905" s="80">
        <f t="shared" si="429"/>
        <v>-428361.84780654486</v>
      </c>
      <c r="N905" s="80">
        <f t="shared" si="429"/>
        <v>-2772109.1334989523</v>
      </c>
      <c r="O905" s="80">
        <f>O878</f>
        <v>135979.62115946531</v>
      </c>
      <c r="P905" s="80">
        <f t="shared" si="429"/>
        <v>-4958119.190912148</v>
      </c>
      <c r="Q905" s="80">
        <f t="shared" si="429"/>
        <v>-37884.796559348331</v>
      </c>
      <c r="R905" s="80">
        <f t="shared" si="429"/>
        <v>-79372.865947762068</v>
      </c>
      <c r="S905" s="80">
        <f t="shared" si="429"/>
        <v>-15059.76852807728</v>
      </c>
      <c r="T905" s="80">
        <f t="shared" si="429"/>
        <v>50291.593196359107</v>
      </c>
      <c r="U905" s="80">
        <f t="shared" si="429"/>
        <v>23120.949412016002</v>
      </c>
      <c r="V905" s="80">
        <f t="shared" si="429"/>
        <v>7043.4332688088671</v>
      </c>
      <c r="W905" s="80">
        <f t="shared" si="429"/>
        <v>0</v>
      </c>
      <c r="X905" s="80">
        <f t="shared" si="429"/>
        <v>0</v>
      </c>
      <c r="Y905" s="80">
        <f t="shared" si="429"/>
        <v>0</v>
      </c>
      <c r="Z905" s="80">
        <f t="shared" si="429"/>
        <v>0</v>
      </c>
      <c r="AA905" s="80"/>
      <c r="AB905" s="93"/>
    </row>
    <row r="906" spans="1:28" s="60" customFormat="1" ht="14.1" hidden="1">
      <c r="A906" s="65"/>
      <c r="B906" s="65"/>
    </row>
    <row r="907" spans="1:28" s="60" customFormat="1" ht="14.1" hidden="1">
      <c r="A907" s="65" t="s">
        <v>827</v>
      </c>
      <c r="B907" s="65"/>
      <c r="F907" s="148">
        <f>F905/F903</f>
        <v>-7.9862313600671881E-5</v>
      </c>
      <c r="G907" s="148">
        <f>G905/G881</f>
        <v>0.13357115174904499</v>
      </c>
      <c r="H907" s="148">
        <f t="shared" ref="H907:Z907" si="430">H905/H903</f>
        <v>0.22453508929737795</v>
      </c>
      <c r="I907" s="148">
        <f t="shared" si="430"/>
        <v>-0.22838651717058478</v>
      </c>
      <c r="J907" s="148">
        <f t="shared" si="430"/>
        <v>-0.31750370033550024</v>
      </c>
      <c r="K907" s="148">
        <f t="shared" si="430"/>
        <v>-0.18233456732928444</v>
      </c>
      <c r="L907" s="148">
        <f t="shared" si="430"/>
        <v>-5.5005116631857864E-2</v>
      </c>
      <c r="M907" s="148">
        <f t="shared" si="430"/>
        <v>-4.0082138667564384E-3</v>
      </c>
      <c r="N907" s="148">
        <f t="shared" si="430"/>
        <v>-4.3902353173539403E-2</v>
      </c>
      <c r="O907" s="148">
        <f>O905/O903</f>
        <v>3.402877256417812E-2</v>
      </c>
      <c r="P907" s="148">
        <f t="shared" si="430"/>
        <v>-0.27954195939503657</v>
      </c>
      <c r="Q907" s="148">
        <f t="shared" si="430"/>
        <v>-0.1715995569184828</v>
      </c>
      <c r="R907" s="148">
        <f t="shared" si="430"/>
        <v>-0.31537468552831927</v>
      </c>
      <c r="S907" s="148">
        <f t="shared" si="430"/>
        <v>-23.863068399757292</v>
      </c>
      <c r="T907" s="148">
        <f t="shared" si="430"/>
        <v>0.7984463489314888</v>
      </c>
      <c r="U907" s="148">
        <f t="shared" si="430"/>
        <v>8.8852588058771359E-2</v>
      </c>
      <c r="V907" s="148">
        <f>V905/V903</f>
        <v>7043.4332688088671</v>
      </c>
      <c r="W907" s="148">
        <f t="shared" si="430"/>
        <v>0</v>
      </c>
      <c r="X907" s="148" t="e">
        <f t="shared" si="430"/>
        <v>#DIV/0!</v>
      </c>
      <c r="Y907" s="148" t="e">
        <f t="shared" si="430"/>
        <v>#DIV/0!</v>
      </c>
      <c r="Z907" s="148" t="e">
        <f t="shared" si="430"/>
        <v>#DIV/0!</v>
      </c>
    </row>
    <row r="908" spans="1:28" s="60" customFormat="1" ht="14.1" hidden="1">
      <c r="A908" s="65"/>
      <c r="B908" s="65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8" s="60" customFormat="1" hidden="1">
      <c r="A909" s="32" t="s">
        <v>1189</v>
      </c>
      <c r="B909" s="243"/>
      <c r="C909" s="243"/>
      <c r="D909" s="243"/>
      <c r="E909" s="243"/>
      <c r="F909" s="245">
        <f>F878-F846</f>
        <v>-89459</v>
      </c>
      <c r="G909" s="245">
        <f>G878-G846</f>
        <v>70149767.208730534</v>
      </c>
      <c r="H909" s="245">
        <f t="shared" ref="H909:U909" si="431">H878-H846</f>
        <v>354265.33623868908</v>
      </c>
      <c r="I909" s="245">
        <f t="shared" si="431"/>
        <v>-28638032.32392408</v>
      </c>
      <c r="J909" s="245">
        <f t="shared" si="431"/>
        <v>-2530045.0729688779</v>
      </c>
      <c r="K909" s="245">
        <f t="shared" si="431"/>
        <v>-23825687.976074241</v>
      </c>
      <c r="L909" s="245">
        <f t="shared" si="431"/>
        <v>-7525254.1657856526</v>
      </c>
      <c r="M909" s="245">
        <f t="shared" si="431"/>
        <v>-428361.84780654486</v>
      </c>
      <c r="N909" s="245">
        <f t="shared" si="431"/>
        <v>-2772109.1334989523</v>
      </c>
      <c r="O909" s="245">
        <f t="shared" si="431"/>
        <v>135979.62115946531</v>
      </c>
      <c r="P909" s="245">
        <f t="shared" si="431"/>
        <v>-4958119.190912148</v>
      </c>
      <c r="Q909" s="245">
        <f t="shared" si="431"/>
        <v>-37884.796559348331</v>
      </c>
      <c r="R909" s="245">
        <f t="shared" si="431"/>
        <v>-79372.865947762068</v>
      </c>
      <c r="S909" s="245">
        <f t="shared" si="431"/>
        <v>-15059.76852807728</v>
      </c>
      <c r="T909" s="245">
        <f t="shared" si="431"/>
        <v>50291.593196359107</v>
      </c>
      <c r="U909" s="245">
        <f t="shared" si="431"/>
        <v>23120.949412016002</v>
      </c>
      <c r="V909" s="245">
        <f>V877-V844</f>
        <v>0</v>
      </c>
      <c r="W909" s="244" t="str">
        <f>IF(ABS(F909-V909)&lt;0.01,"ok","err")</f>
        <v>err</v>
      </c>
      <c r="X909" s="148"/>
      <c r="Y909" s="148"/>
      <c r="Z909" s="148"/>
    </row>
    <row r="910" spans="1:28" s="60" customFormat="1" ht="14.1" hidden="1">
      <c r="A910" s="65"/>
      <c r="B910" s="65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8" s="150" customFormat="1" ht="14.1">
      <c r="A911" s="65"/>
      <c r="B911" s="65"/>
      <c r="C911" s="60"/>
      <c r="D911" s="60"/>
      <c r="E911" s="60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54"/>
      <c r="Y911" s="154"/>
      <c r="Z911" s="154"/>
    </row>
    <row r="912" spans="1:28" s="232" customFormat="1" ht="14.1">
      <c r="A912" s="65" t="s">
        <v>1155</v>
      </c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</row>
    <row r="913" spans="1:28" s="150" customForma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</row>
    <row r="914" spans="1:28" s="150" customFormat="1" ht="14.1">
      <c r="A914" s="65" t="s">
        <v>1036</v>
      </c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</row>
    <row r="915" spans="1:28" s="150" customForma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</row>
    <row r="916" spans="1:28" s="150" customFormat="1">
      <c r="A916" s="60" t="s">
        <v>133</v>
      </c>
      <c r="B916" s="60"/>
      <c r="C916" s="60"/>
      <c r="D916" s="60"/>
      <c r="E916" s="60"/>
      <c r="F916" s="80">
        <f>F843</f>
        <v>1120075935.2473235</v>
      </c>
      <c r="G916" s="80">
        <f t="shared" ref="G916:Z916" si="432">G843</f>
        <v>454866443.01990646</v>
      </c>
      <c r="H916" s="80">
        <f t="shared" si="432"/>
        <v>1223087.0109697899</v>
      </c>
      <c r="I916" s="80">
        <f t="shared" si="432"/>
        <v>154024084.06629583</v>
      </c>
      <c r="J916" s="80">
        <f t="shared" si="432"/>
        <v>10498569.806178493</v>
      </c>
      <c r="K916" s="80">
        <f t="shared" si="432"/>
        <v>154494728.14631787</v>
      </c>
      <c r="L916" s="80">
        <f t="shared" si="432"/>
        <v>144335276.59033734</v>
      </c>
      <c r="M916" s="80">
        <f t="shared" si="432"/>
        <v>107299163.61398642</v>
      </c>
      <c r="N916" s="80">
        <f t="shared" si="432"/>
        <v>65914713.172030017</v>
      </c>
      <c r="O916" s="80">
        <f>O843</f>
        <v>3860039.3625699161</v>
      </c>
      <c r="P916" s="80">
        <f t="shared" si="432"/>
        <v>22694702.284348756</v>
      </c>
      <c r="Q916" s="80">
        <f t="shared" si="432"/>
        <v>258659.23933570844</v>
      </c>
      <c r="R916" s="80">
        <f t="shared" si="432"/>
        <v>331050.85276777501</v>
      </c>
      <c r="S916" s="80">
        <f t="shared" si="432"/>
        <v>15690.859562800646</v>
      </c>
      <c r="T916" s="80">
        <f t="shared" si="432"/>
        <v>12695.222716395989</v>
      </c>
      <c r="U916" s="80">
        <f t="shared" si="432"/>
        <v>237096</v>
      </c>
      <c r="V916" s="80">
        <f t="shared" si="432"/>
        <v>9936</v>
      </c>
      <c r="W916" s="80">
        <f t="shared" si="432"/>
        <v>0</v>
      </c>
      <c r="X916" s="80">
        <f t="shared" si="432"/>
        <v>0</v>
      </c>
      <c r="Y916" s="80">
        <f t="shared" si="432"/>
        <v>0</v>
      </c>
      <c r="Z916" s="80">
        <f t="shared" si="432"/>
        <v>0</v>
      </c>
      <c r="AA916" s="151">
        <f>ROUND(SUM(G916:Z916),2)</f>
        <v>1120075935.25</v>
      </c>
      <c r="AB916" s="152" t="str">
        <f>IF(ABS(F916-AA916)&lt;0.01,"ok","err")</f>
        <v>ok</v>
      </c>
    </row>
    <row r="917" spans="1:28" s="150" customFormat="1">
      <c r="A917" s="60"/>
      <c r="B917" s="60"/>
      <c r="C917" s="60"/>
      <c r="D917" s="60"/>
      <c r="E917" s="6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151"/>
      <c r="Y917" s="151"/>
      <c r="Z917" s="151"/>
      <c r="AA917" s="151"/>
      <c r="AB917" s="152"/>
    </row>
    <row r="918" spans="1:28" s="150" customFormat="1">
      <c r="A918" s="60" t="s">
        <v>134</v>
      </c>
      <c r="B918" s="60"/>
      <c r="C918" s="60"/>
      <c r="D918" s="60"/>
      <c r="E918" s="6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151"/>
      <c r="Y918" s="151"/>
      <c r="Z918" s="151"/>
      <c r="AA918" s="151"/>
      <c r="AB918" s="152"/>
    </row>
    <row r="919" spans="1:28" s="60" customFormat="1">
      <c r="A919" s="60" t="s">
        <v>1158</v>
      </c>
      <c r="F919" s="76">
        <v>130962989</v>
      </c>
      <c r="G919" s="76">
        <f>53134815+21177-H919</f>
        <v>53008789.585290812</v>
      </c>
      <c r="H919" s="76">
        <f>'Billing Det'!C10*(0.10627-0.09278)+('Billing Det'!B10*365.25*0.09)+('Billing Det'!C10/('Billing Det'!C8+'Billing Det'!C10))*(-11089750)</f>
        <v>147202.41470918531</v>
      </c>
      <c r="I919" s="76">
        <v>19105822</v>
      </c>
      <c r="J919" s="76">
        <v>1225601</v>
      </c>
      <c r="K919" s="76">
        <v>17917377</v>
      </c>
      <c r="L919" s="76">
        <v>16361581</v>
      </c>
      <c r="M919" s="76">
        <v>12216545</v>
      </c>
      <c r="N919" s="76">
        <v>7690372</v>
      </c>
      <c r="O919" s="76">
        <v>435109</v>
      </c>
      <c r="P919" s="76">
        <v>2856239</v>
      </c>
      <c r="Q919" s="76">
        <v>3</v>
      </c>
      <c r="R919" s="76">
        <v>-14</v>
      </c>
      <c r="S919" s="76">
        <f>-1638</f>
        <v>-1638</v>
      </c>
      <c r="T919" s="76">
        <v>0</v>
      </c>
      <c r="U919" s="76">
        <v>0</v>
      </c>
      <c r="V919" s="76"/>
      <c r="W919" s="76"/>
      <c r="X919" s="76"/>
      <c r="Y919" s="76"/>
      <c r="Z919" s="76"/>
      <c r="AA919" s="80">
        <f t="shared" ref="AA919:AA924" si="433">SUM(G919:Z919)</f>
        <v>130962989</v>
      </c>
      <c r="AB919" s="93" t="str">
        <f t="shared" ref="AB919:AB924" si="434">IF(ABS(F919-AA919)&lt;0.01,"ok","err")</f>
        <v>ok</v>
      </c>
    </row>
    <row r="920" spans="1:28" s="60" customFormat="1">
      <c r="A920" s="60" t="s">
        <v>1374</v>
      </c>
      <c r="F920" s="76">
        <v>175526</v>
      </c>
      <c r="G920" s="76">
        <v>0</v>
      </c>
      <c r="H920" s="76">
        <v>0</v>
      </c>
      <c r="I920" s="76">
        <v>0</v>
      </c>
      <c r="J920" s="76">
        <v>0</v>
      </c>
      <c r="K920" s="76">
        <v>0</v>
      </c>
      <c r="L920" s="76">
        <v>0</v>
      </c>
      <c r="M920" s="76">
        <v>0</v>
      </c>
      <c r="N920" s="76">
        <v>0</v>
      </c>
      <c r="O920" s="76">
        <v>0</v>
      </c>
      <c r="P920" s="76">
        <v>0</v>
      </c>
      <c r="Q920" s="76">
        <v>0</v>
      </c>
      <c r="R920" s="76">
        <v>0</v>
      </c>
      <c r="S920" s="76"/>
      <c r="T920" s="76">
        <v>55206</v>
      </c>
      <c r="U920" s="76">
        <v>110942</v>
      </c>
      <c r="V920" s="76">
        <v>9378</v>
      </c>
      <c r="W920" s="76"/>
      <c r="X920" s="79"/>
      <c r="Y920" s="79"/>
      <c r="Z920" s="79"/>
      <c r="AA920" s="80">
        <f t="shared" si="433"/>
        <v>175526</v>
      </c>
      <c r="AB920" s="93" t="str">
        <f t="shared" si="434"/>
        <v>ok</v>
      </c>
    </row>
    <row r="921" spans="1:28" s="60" customFormat="1">
      <c r="A921" s="60" t="s">
        <v>1380</v>
      </c>
      <c r="E921" s="60" t="s">
        <v>684</v>
      </c>
      <c r="F921" s="76">
        <v>0</v>
      </c>
      <c r="G921" s="76">
        <f t="shared" ref="G921:Z921" si="435">IF(VLOOKUP($E921,$D$6:$AN$1150,3,)=0,0,(VLOOKUP($E921,$D$6:$AN$1150,G$2,)/VLOOKUP($E921,$D$6:$AN$1150,3,))*$F921)</f>
        <v>0</v>
      </c>
      <c r="H921" s="76">
        <f t="shared" si="435"/>
        <v>0</v>
      </c>
      <c r="I921" s="76">
        <f t="shared" si="435"/>
        <v>0</v>
      </c>
      <c r="J921" s="76">
        <f t="shared" si="435"/>
        <v>0</v>
      </c>
      <c r="K921" s="76">
        <f t="shared" si="435"/>
        <v>0</v>
      </c>
      <c r="L921" s="76">
        <f t="shared" si="435"/>
        <v>0</v>
      </c>
      <c r="M921" s="76">
        <f t="shared" si="435"/>
        <v>0</v>
      </c>
      <c r="N921" s="76">
        <f t="shared" si="435"/>
        <v>0</v>
      </c>
      <c r="O921" s="76">
        <f t="shared" si="435"/>
        <v>0</v>
      </c>
      <c r="P921" s="76">
        <f t="shared" si="435"/>
        <v>0</v>
      </c>
      <c r="Q921" s="76">
        <f t="shared" si="435"/>
        <v>0</v>
      </c>
      <c r="R921" s="76">
        <f t="shared" si="435"/>
        <v>0</v>
      </c>
      <c r="S921" s="76">
        <f t="shared" si="435"/>
        <v>0</v>
      </c>
      <c r="T921" s="76">
        <f t="shared" si="435"/>
        <v>0</v>
      </c>
      <c r="U921" s="76">
        <f t="shared" si="435"/>
        <v>0</v>
      </c>
      <c r="V921" s="76">
        <f t="shared" si="435"/>
        <v>0</v>
      </c>
      <c r="W921" s="76">
        <f t="shared" si="435"/>
        <v>0</v>
      </c>
      <c r="X921" s="79">
        <f t="shared" si="435"/>
        <v>0</v>
      </c>
      <c r="Y921" s="79">
        <f t="shared" si="435"/>
        <v>0</v>
      </c>
      <c r="Z921" s="79">
        <f t="shared" si="435"/>
        <v>0</v>
      </c>
      <c r="AA921" s="80">
        <f t="shared" si="433"/>
        <v>0</v>
      </c>
      <c r="AB921" s="93" t="str">
        <f t="shared" si="434"/>
        <v>ok</v>
      </c>
    </row>
    <row r="922" spans="1:28" s="60" customFormat="1">
      <c r="A922" s="60" t="s">
        <v>1387</v>
      </c>
      <c r="F922" s="76">
        <v>0</v>
      </c>
      <c r="G922" s="76">
        <v>0</v>
      </c>
      <c r="H922" s="76">
        <v>0</v>
      </c>
      <c r="I922" s="76">
        <v>0</v>
      </c>
      <c r="J922" s="76">
        <v>0</v>
      </c>
      <c r="K922" s="76">
        <v>0</v>
      </c>
      <c r="L922" s="76">
        <v>0</v>
      </c>
      <c r="M922" s="76">
        <v>0</v>
      </c>
      <c r="N922" s="76">
        <v>0</v>
      </c>
      <c r="O922" s="76">
        <v>0</v>
      </c>
      <c r="P922" s="76">
        <v>0</v>
      </c>
      <c r="Q922" s="76">
        <v>0</v>
      </c>
      <c r="R922" s="76">
        <v>0</v>
      </c>
      <c r="S922" s="76">
        <f>F922</f>
        <v>0</v>
      </c>
      <c r="T922" s="76">
        <v>0</v>
      </c>
      <c r="U922" s="76">
        <v>0</v>
      </c>
      <c r="V922" s="76"/>
      <c r="W922" s="76"/>
      <c r="X922" s="79"/>
      <c r="Y922" s="79"/>
      <c r="Z922" s="79"/>
      <c r="AA922" s="80">
        <f t="shared" si="433"/>
        <v>0</v>
      </c>
      <c r="AB922" s="93" t="str">
        <f t="shared" si="434"/>
        <v>ok</v>
      </c>
    </row>
    <row r="923" spans="1:28" s="60" customFormat="1">
      <c r="A923" s="60" t="s">
        <v>1382</v>
      </c>
      <c r="E923" s="60" t="s">
        <v>1323</v>
      </c>
      <c r="F923" s="76">
        <v>5112</v>
      </c>
      <c r="G923" s="76">
        <f t="shared" ref="G923:Z923" si="436">IF(VLOOKUP($E923,$D$6:$AN$1150,3,)=0,0,(VLOOKUP($E923,$D$6:$AN$1150,G$2,)/VLOOKUP($E923,$D$6:$AN$1150,3,))*$F923)</f>
        <v>2584.537004152427</v>
      </c>
      <c r="H923" s="76">
        <f t="shared" si="436"/>
        <v>5.971431482917291</v>
      </c>
      <c r="I923" s="76">
        <f t="shared" si="436"/>
        <v>596.55123893451298</v>
      </c>
      <c r="J923" s="76">
        <f t="shared" si="436"/>
        <v>33.7305884164278</v>
      </c>
      <c r="K923" s="76">
        <f t="shared" si="436"/>
        <v>576.74451819434489</v>
      </c>
      <c r="L923" s="76">
        <f t="shared" si="436"/>
        <v>495.77222535495906</v>
      </c>
      <c r="M923" s="76">
        <f t="shared" si="436"/>
        <v>437.72633534673275</v>
      </c>
      <c r="N923" s="76">
        <f t="shared" si="436"/>
        <v>214.71261614001685</v>
      </c>
      <c r="O923" s="76">
        <f t="shared" si="436"/>
        <v>14.53770641712843</v>
      </c>
      <c r="P923" s="76">
        <f t="shared" si="436"/>
        <v>150.00839047551779</v>
      </c>
      <c r="Q923" s="76">
        <f t="shared" si="436"/>
        <v>0.76725675399274229</v>
      </c>
      <c r="R923" s="76">
        <f t="shared" si="436"/>
        <v>0.92173835355406808</v>
      </c>
      <c r="S923" s="76">
        <f t="shared" si="436"/>
        <v>1.8949977468163327E-2</v>
      </c>
      <c r="T923" s="76">
        <f t="shared" si="436"/>
        <v>0</v>
      </c>
      <c r="U923" s="76">
        <f t="shared" si="436"/>
        <v>0</v>
      </c>
      <c r="V923" s="76">
        <f t="shared" si="436"/>
        <v>0</v>
      </c>
      <c r="W923" s="76">
        <f t="shared" si="436"/>
        <v>0</v>
      </c>
      <c r="X923" s="79">
        <f t="shared" si="436"/>
        <v>0</v>
      </c>
      <c r="Y923" s="79">
        <f t="shared" si="436"/>
        <v>0</v>
      </c>
      <c r="Z923" s="79">
        <f t="shared" si="436"/>
        <v>0</v>
      </c>
      <c r="AA923" s="80">
        <f t="shared" si="433"/>
        <v>5111.9999999999982</v>
      </c>
      <c r="AB923" s="93" t="str">
        <f t="shared" si="434"/>
        <v>ok</v>
      </c>
    </row>
    <row r="924" spans="1:28" s="60" customFormat="1" ht="13.15" customHeight="1">
      <c r="A924" s="60" t="s">
        <v>1381</v>
      </c>
      <c r="E924" s="60" t="s">
        <v>179</v>
      </c>
      <c r="F924" s="76">
        <f>84527+4932</f>
        <v>89459</v>
      </c>
      <c r="G924" s="76">
        <f t="shared" ref="G924:U924" si="437">G848</f>
        <v>85150.578081008411</v>
      </c>
      <c r="H924" s="76">
        <f t="shared" si="437"/>
        <v>210.18119061010901</v>
      </c>
      <c r="I924" s="76">
        <f t="shared" si="437"/>
        <v>3390.4468885644255</v>
      </c>
      <c r="J924" s="76">
        <f t="shared" si="437"/>
        <v>14.147803411850305</v>
      </c>
      <c r="K924" s="76">
        <f t="shared" si="437"/>
        <v>562.35442074324351</v>
      </c>
      <c r="L924" s="76">
        <f t="shared" si="437"/>
        <v>26.596762954128913</v>
      </c>
      <c r="M924" s="76">
        <f t="shared" si="437"/>
        <v>102.06740350278399</v>
      </c>
      <c r="N924" s="76">
        <f t="shared" si="437"/>
        <v>2.6274492050579137</v>
      </c>
      <c r="O924" s="76">
        <f t="shared" si="437"/>
        <v>0</v>
      </c>
      <c r="P924" s="76">
        <f t="shared" si="437"/>
        <v>0</v>
      </c>
      <c r="Q924" s="76">
        <f t="shared" si="437"/>
        <v>0</v>
      </c>
      <c r="R924" s="76">
        <f t="shared" si="437"/>
        <v>0</v>
      </c>
      <c r="S924" s="76">
        <f t="shared" si="437"/>
        <v>0</v>
      </c>
      <c r="T924" s="76">
        <f t="shared" si="437"/>
        <v>0</v>
      </c>
      <c r="U924" s="76">
        <f t="shared" si="437"/>
        <v>0</v>
      </c>
      <c r="V924" s="76">
        <f>IF(VLOOKUP($E924,$D$6:$AN$1150,3,)=0,0,(VLOOKUP($E924,$D$6:$AN$1150,V$2,)/VLOOKUP($E924,$D$6:$AN$1150,3,))*$F924)</f>
        <v>0</v>
      </c>
      <c r="W924" s="76">
        <f>IF(VLOOKUP($E924,$D$6:$AN$1150,3,)=0,0,(VLOOKUP($E924,$D$6:$AN$1150,W$2,)/VLOOKUP($E924,$D$6:$AN$1150,3,))*$F924)</f>
        <v>0</v>
      </c>
      <c r="X924" s="79">
        <f>IF(VLOOKUP($E924,$D$6:$AN$1150,3,)=0,0,(VLOOKUP($E924,$D$6:$AN$1150,X$2,)/VLOOKUP($E924,$D$6:$AN$1150,3,))*$F924)</f>
        <v>0</v>
      </c>
      <c r="Y924" s="79">
        <f>IF(VLOOKUP($E924,$D$6:$AN$1150,3,)=0,0,(VLOOKUP($E924,$D$6:$AN$1150,Y$2,)/VLOOKUP($E924,$D$6:$AN$1150,3,))*$F924)</f>
        <v>0</v>
      </c>
      <c r="Z924" s="79">
        <f>IF(VLOOKUP($E924,$D$6:$AN$1150,3,)=0,0,(VLOOKUP($E924,$D$6:$AN$1150,Z$2,)/VLOOKUP($E924,$D$6:$AN$1150,3,))*$F924)</f>
        <v>0</v>
      </c>
      <c r="AA924" s="80">
        <f t="shared" si="433"/>
        <v>89459</v>
      </c>
      <c r="AB924" s="93" t="str">
        <f t="shared" si="434"/>
        <v>ok</v>
      </c>
    </row>
    <row r="925" spans="1:28" s="150" customForma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</row>
    <row r="926" spans="1:28" s="150" customFormat="1">
      <c r="A926" s="60" t="s">
        <v>135</v>
      </c>
      <c r="B926" s="60"/>
      <c r="C926" s="60"/>
      <c r="D926" s="60"/>
      <c r="E926" s="60"/>
      <c r="F926" s="80">
        <f>SUM(F916:F924)</f>
        <v>1251309021.2473235</v>
      </c>
      <c r="G926" s="80">
        <f t="shared" ref="G926:P926" si="438">SUM(G916:G924)</f>
        <v>507962967.72028244</v>
      </c>
      <c r="H926" s="80">
        <f t="shared" si="438"/>
        <v>1370505.5783010682</v>
      </c>
      <c r="I926" s="80">
        <f t="shared" si="438"/>
        <v>173133893.06442332</v>
      </c>
      <c r="J926" s="80">
        <f t="shared" si="438"/>
        <v>11724218.684570322</v>
      </c>
      <c r="K926" s="80">
        <f t="shared" si="438"/>
        <v>172413244.24525681</v>
      </c>
      <c r="L926" s="80">
        <f t="shared" si="438"/>
        <v>160697379.95932564</v>
      </c>
      <c r="M926" s="80">
        <f t="shared" si="438"/>
        <v>119516248.40772527</v>
      </c>
      <c r="N926" s="80">
        <f t="shared" si="438"/>
        <v>73605302.512095362</v>
      </c>
      <c r="O926" s="80">
        <f>SUM(O916:O924)</f>
        <v>4295162.9002763331</v>
      </c>
      <c r="P926" s="80">
        <f t="shared" si="438"/>
        <v>25551091.292739231</v>
      </c>
      <c r="Q926" s="80">
        <f>SUM(Q916:Q924)</f>
        <v>258663.00659246242</v>
      </c>
      <c r="R926" s="80">
        <f t="shared" ref="R926:Z926" si="439">SUM(R916:R924)</f>
        <v>331037.77450612857</v>
      </c>
      <c r="S926" s="80">
        <f t="shared" si="439"/>
        <v>14052.878512778114</v>
      </c>
      <c r="T926" s="80">
        <f t="shared" si="439"/>
        <v>67901.222716395991</v>
      </c>
      <c r="U926" s="80">
        <f t="shared" si="439"/>
        <v>348038</v>
      </c>
      <c r="V926" s="80">
        <f t="shared" si="439"/>
        <v>19314</v>
      </c>
      <c r="W926" s="80">
        <f t="shared" si="439"/>
        <v>0</v>
      </c>
      <c r="X926" s="151">
        <f t="shared" si="439"/>
        <v>0</v>
      </c>
      <c r="Y926" s="151">
        <f t="shared" si="439"/>
        <v>0</v>
      </c>
      <c r="Z926" s="151">
        <f t="shared" si="439"/>
        <v>0</v>
      </c>
      <c r="AA926" s="151">
        <f>ROUND(SUM(G926:Z926),2)</f>
        <v>1251309021.25</v>
      </c>
      <c r="AB926" s="152" t="str">
        <f>IF(ABS(F926-AA926)&lt;0.01,"ok","err")</f>
        <v>ok</v>
      </c>
    </row>
    <row r="927" spans="1:28" s="150" customForma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</row>
    <row r="928" spans="1:28" s="150" customFormat="1">
      <c r="A928" s="60"/>
      <c r="B928" s="60"/>
      <c r="C928" s="60"/>
      <c r="D928" s="60"/>
      <c r="E928" s="8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</row>
    <row r="929" spans="1:28" s="150" customFormat="1" ht="14.1">
      <c r="A929" s="65" t="s">
        <v>1040</v>
      </c>
      <c r="B929" s="60"/>
      <c r="C929" s="60"/>
      <c r="D929" s="60"/>
      <c r="E929" s="79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</row>
    <row r="930" spans="1:28" s="150" customFormat="1">
      <c r="A930" s="60"/>
      <c r="B930" s="60"/>
      <c r="C930" s="60"/>
      <c r="D930" s="60"/>
      <c r="E930" s="8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</row>
    <row r="931" spans="1:28" s="150" customFormat="1">
      <c r="A931" s="60" t="s">
        <v>1043</v>
      </c>
      <c r="B931" s="60"/>
      <c r="C931" s="60"/>
      <c r="D931" s="60"/>
      <c r="E931" s="60"/>
      <c r="F931" s="80">
        <f>F855</f>
        <v>969736807.38150656</v>
      </c>
      <c r="G931" s="80">
        <f>G855</f>
        <v>431720721.0443399</v>
      </c>
      <c r="H931" s="80">
        <f t="shared" ref="H931:Z931" si="440">H855</f>
        <v>1314050.6593233633</v>
      </c>
      <c r="I931" s="80">
        <f t="shared" si="440"/>
        <v>114969842.84615836</v>
      </c>
      <c r="J931" s="80">
        <f t="shared" si="440"/>
        <v>7605668.0836362625</v>
      </c>
      <c r="K931" s="80">
        <f t="shared" si="440"/>
        <v>119634824.85877286</v>
      </c>
      <c r="L931" s="80">
        <f t="shared" si="440"/>
        <v>124104245.28780454</v>
      </c>
      <c r="M931" s="80">
        <f t="shared" si="440"/>
        <v>94107834.210364044</v>
      </c>
      <c r="N931" s="80">
        <f t="shared" si="440"/>
        <v>57518843.000075713</v>
      </c>
      <c r="O931" s="80">
        <f>O855</f>
        <v>3534798.6629421799</v>
      </c>
      <c r="P931" s="80">
        <f t="shared" si="440"/>
        <v>14558512.643763669</v>
      </c>
      <c r="Q931" s="80">
        <f t="shared" si="440"/>
        <v>207632.48136365326</v>
      </c>
      <c r="R931" s="80">
        <f t="shared" si="440"/>
        <v>244305.8444121893</v>
      </c>
      <c r="S931" s="80">
        <f t="shared" si="440"/>
        <v>3817.0018108205704</v>
      </c>
      <c r="T931" s="80">
        <f t="shared" si="440"/>
        <v>45263.65187383454</v>
      </c>
      <c r="U931" s="80">
        <f t="shared" si="440"/>
        <v>153855.85858076424</v>
      </c>
      <c r="V931" s="80">
        <f t="shared" si="440"/>
        <v>12591.246284675426</v>
      </c>
      <c r="W931" s="80">
        <f t="shared" si="440"/>
        <v>0</v>
      </c>
      <c r="X931" s="80">
        <f t="shared" si="440"/>
        <v>0</v>
      </c>
      <c r="Y931" s="80">
        <f t="shared" si="440"/>
        <v>0</v>
      </c>
      <c r="Z931" s="80">
        <f t="shared" si="440"/>
        <v>0</v>
      </c>
      <c r="AA931" s="151">
        <f>ROUND(SUM(G931:Z931),2)</f>
        <v>969736807.38</v>
      </c>
      <c r="AB931" s="152" t="str">
        <f>IF(ABS(F931-AA931)&lt;0.01,"ok","err")</f>
        <v>ok</v>
      </c>
    </row>
    <row r="932" spans="1:28" s="150" customFormat="1">
      <c r="A932" s="60"/>
      <c r="B932" s="60"/>
      <c r="C932" s="60"/>
      <c r="D932" s="60"/>
      <c r="E932" s="6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151"/>
      <c r="AB932" s="152"/>
    </row>
    <row r="933" spans="1:28" s="60" customFormat="1">
      <c r="A933" s="60" t="s">
        <v>670</v>
      </c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80"/>
      <c r="AB933" s="93"/>
    </row>
    <row r="934" spans="1:28" s="60" customFormat="1">
      <c r="A934" s="60" t="s">
        <v>1385</v>
      </c>
      <c r="E934" s="434">
        <v>1.82E-3</v>
      </c>
      <c r="F934" s="79">
        <f>SUM(F919:F924)*$E$934</f>
        <v>238844.21651999999</v>
      </c>
      <c r="G934" s="79">
        <f t="shared" ref="G934:U934" si="441">SUM(G919:G924)*$E$934</f>
        <v>96635.674954684277</v>
      </c>
      <c r="H934" s="79">
        <f t="shared" si="441"/>
        <v>268.30179254292653</v>
      </c>
      <c r="I934" s="79">
        <f t="shared" si="441"/>
        <v>34779.852376592054</v>
      </c>
      <c r="J934" s="79">
        <f t="shared" si="441"/>
        <v>2230.6809586731274</v>
      </c>
      <c r="K934" s="79">
        <f t="shared" si="441"/>
        <v>32611.699300068867</v>
      </c>
      <c r="L934" s="79">
        <f t="shared" si="441"/>
        <v>29779.028131558724</v>
      </c>
      <c r="M934" s="79">
        <f t="shared" si="441"/>
        <v>22235.094324604706</v>
      </c>
      <c r="N934" s="79">
        <f t="shared" si="441"/>
        <v>13996.872598918928</v>
      </c>
      <c r="O934" s="79">
        <f t="shared" si="441"/>
        <v>791.92483862567917</v>
      </c>
      <c r="P934" s="79">
        <f t="shared" si="441"/>
        <v>5198.6279952706655</v>
      </c>
      <c r="Q934" s="79">
        <f t="shared" si="441"/>
        <v>6.8564072922667908E-3</v>
      </c>
      <c r="R934" s="79">
        <f t="shared" si="441"/>
        <v>-2.3802436196531596E-2</v>
      </c>
      <c r="S934" s="79">
        <f t="shared" si="441"/>
        <v>-2.9811255110410082</v>
      </c>
      <c r="T934" s="79">
        <f t="shared" si="441"/>
        <v>100.47492</v>
      </c>
      <c r="U934" s="79">
        <f t="shared" si="441"/>
        <v>201.91444000000001</v>
      </c>
      <c r="V934" s="79">
        <f t="shared" ref="V934" si="442">SUM(V919:V924)*$E$934</f>
        <v>17.067959999999999</v>
      </c>
      <c r="W934" s="76"/>
      <c r="X934" s="79"/>
      <c r="Y934" s="79"/>
      <c r="Z934" s="79"/>
      <c r="AA934" s="80">
        <f t="shared" ref="AA934:AA935" si="443">ROUND(SUM(G934:Z934),2)</f>
        <v>238844.22</v>
      </c>
      <c r="AB934" s="93" t="str">
        <f t="shared" ref="AB934:AB935" si="444">IF(ABS(F934-AA934)&lt;0.01,"ok","err")</f>
        <v>ok</v>
      </c>
    </row>
    <row r="935" spans="1:28" s="60" customFormat="1">
      <c r="A935" s="60" t="s">
        <v>1386</v>
      </c>
      <c r="E935" s="434">
        <v>2E-3</v>
      </c>
      <c r="F935" s="79">
        <f>SUM(F919:F924)*$E$935</f>
        <v>262466.17200000002</v>
      </c>
      <c r="G935" s="79">
        <f t="shared" ref="G935:U935" si="445">SUM(G919:G924)*$E$935</f>
        <v>106193.04940075194</v>
      </c>
      <c r="H935" s="79">
        <f t="shared" si="445"/>
        <v>294.83713466255665</v>
      </c>
      <c r="I935" s="79">
        <f t="shared" si="445"/>
        <v>38219.617996255001</v>
      </c>
      <c r="J935" s="79">
        <f t="shared" si="445"/>
        <v>2451.2977567836565</v>
      </c>
      <c r="K935" s="79">
        <f t="shared" si="445"/>
        <v>35837.032197877874</v>
      </c>
      <c r="L935" s="79">
        <f t="shared" si="445"/>
        <v>32724.206737976619</v>
      </c>
      <c r="M935" s="79">
        <f t="shared" si="445"/>
        <v>24434.1695874777</v>
      </c>
      <c r="N935" s="79">
        <f t="shared" si="445"/>
        <v>15381.17868013069</v>
      </c>
      <c r="O935" s="79">
        <f t="shared" si="445"/>
        <v>870.24707541283431</v>
      </c>
      <c r="P935" s="79">
        <f t="shared" si="445"/>
        <v>5712.7780167809515</v>
      </c>
      <c r="Q935" s="79">
        <f t="shared" si="445"/>
        <v>7.5345135079854849E-3</v>
      </c>
      <c r="R935" s="79">
        <f t="shared" si="445"/>
        <v>-2.6156523292891865E-2</v>
      </c>
      <c r="S935" s="79">
        <f t="shared" si="445"/>
        <v>-3.2759621000450641</v>
      </c>
      <c r="T935" s="79">
        <f t="shared" si="445"/>
        <v>110.41200000000001</v>
      </c>
      <c r="U935" s="79">
        <f t="shared" si="445"/>
        <v>221.88400000000001</v>
      </c>
      <c r="V935" s="79">
        <f t="shared" ref="V935" si="446">SUM(V919:V924)*$E$935</f>
        <v>18.756</v>
      </c>
      <c r="W935" s="76"/>
      <c r="X935" s="79"/>
      <c r="Y935" s="79"/>
      <c r="Z935" s="79"/>
      <c r="AA935" s="80">
        <f t="shared" si="443"/>
        <v>262466.17</v>
      </c>
      <c r="AB935" s="93" t="str">
        <f t="shared" si="444"/>
        <v>ok</v>
      </c>
    </row>
    <row r="936" spans="1:28" s="150" customFormat="1">
      <c r="A936" s="60"/>
      <c r="B936" s="60"/>
      <c r="C936" s="60"/>
      <c r="D936" s="60"/>
      <c r="E936" s="60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55"/>
      <c r="Y936" s="155"/>
      <c r="Z936" s="155"/>
      <c r="AA936" s="151"/>
      <c r="AB936" s="152"/>
    </row>
    <row r="937" spans="1:28" s="150" customFormat="1">
      <c r="A937" s="60" t="s">
        <v>671</v>
      </c>
      <c r="B937" s="60"/>
      <c r="C937" s="60"/>
      <c r="D937" s="60"/>
      <c r="E937" s="148">
        <v>0.24849452</v>
      </c>
      <c r="F937" s="112">
        <f>SUM(F919:F924)*$E$937</f>
        <v>32610702.71368872</v>
      </c>
      <c r="G937" s="112">
        <f t="shared" ref="G937:V937" si="447">SUM(G919:G924)*$E$937</f>
        <v>13194195.419088071</v>
      </c>
      <c r="H937" s="112">
        <f t="shared" si="447"/>
        <v>36632.706128073689</v>
      </c>
      <c r="I937" s="112">
        <f t="shared" si="447"/>
        <v>4748682.8142813742</v>
      </c>
      <c r="J937" s="112">
        <f t="shared" si="447"/>
        <v>304567.02972451568</v>
      </c>
      <c r="K937" s="112">
        <f t="shared" si="447"/>
        <v>4452653.0571181038</v>
      </c>
      <c r="L937" s="112">
        <f t="shared" si="447"/>
        <v>4065893.0228671329</v>
      </c>
      <c r="M937" s="112">
        <f t="shared" si="447"/>
        <v>3035878.6216194346</v>
      </c>
      <c r="N937" s="112">
        <f t="shared" si="447"/>
        <v>1911069.3065766548</v>
      </c>
      <c r="O937" s="112">
        <f t="shared" si="447"/>
        <v>108125.81464305802</v>
      </c>
      <c r="P937" s="112">
        <f t="shared" si="447"/>
        <v>709797.01557326713</v>
      </c>
      <c r="Q937" s="112">
        <f t="shared" si="447"/>
        <v>0.93614265880018455</v>
      </c>
      <c r="R937" s="112">
        <f t="shared" si="447"/>
        <v>-3.2498763502679915</v>
      </c>
      <c r="S937" s="112">
        <f t="shared" si="447"/>
        <v>-407.02931479444504</v>
      </c>
      <c r="T937" s="112">
        <f t="shared" si="447"/>
        <v>13718.388471119999</v>
      </c>
      <c r="U937" s="112">
        <f t="shared" si="447"/>
        <v>27568.479037839999</v>
      </c>
      <c r="V937" s="112">
        <f t="shared" si="447"/>
        <v>2330.3816085600001</v>
      </c>
      <c r="W937" s="112">
        <f>(W919+W924)*0.407634</f>
        <v>0</v>
      </c>
      <c r="X937" s="155">
        <f>(X919+X924)*0.407634</f>
        <v>0</v>
      </c>
      <c r="Y937" s="155">
        <f>(Y919+Y924)*0.407634</f>
        <v>0</v>
      </c>
      <c r="Z937" s="155">
        <f>(Z919+Z924)*0.407634</f>
        <v>0</v>
      </c>
      <c r="AA937" s="151">
        <f>ROUND(SUM(G937:Z937),2)</f>
        <v>32610702.710000001</v>
      </c>
      <c r="AB937" s="152" t="str">
        <f>IF(ABS(F937-AA937)&lt;0.01,"ok","err")</f>
        <v>ok</v>
      </c>
    </row>
    <row r="938" spans="1:28" s="150" customFormat="1">
      <c r="A938" s="68"/>
      <c r="B938" s="60"/>
      <c r="C938" s="60"/>
      <c r="D938" s="60"/>
      <c r="E938" s="60"/>
      <c r="F938" s="79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153"/>
      <c r="Y938" s="153"/>
      <c r="Z938" s="153"/>
      <c r="AA938" s="151"/>
      <c r="AB938" s="152"/>
    </row>
    <row r="939" spans="1:28" s="150" customFormat="1">
      <c r="A939" s="60" t="s">
        <v>136</v>
      </c>
      <c r="B939" s="60"/>
      <c r="C939" s="60"/>
      <c r="D939" s="60"/>
      <c r="E939" s="60"/>
      <c r="F939" s="80">
        <f t="shared" ref="F939:Z939" si="448">SUM(F931:F938)</f>
        <v>1002848820.4837153</v>
      </c>
      <c r="G939" s="80">
        <f t="shared" si="448"/>
        <v>445117745.18778342</v>
      </c>
      <c r="H939" s="80">
        <f t="shared" si="448"/>
        <v>1351246.5043786424</v>
      </c>
      <c r="I939" s="80">
        <f t="shared" si="448"/>
        <v>119791525.13081259</v>
      </c>
      <c r="J939" s="80">
        <f t="shared" si="448"/>
        <v>7914917.0920762355</v>
      </c>
      <c r="K939" s="80">
        <f t="shared" si="448"/>
        <v>124155926.64738891</v>
      </c>
      <c r="L939" s="80">
        <f t="shared" si="448"/>
        <v>128232641.54554121</v>
      </c>
      <c r="M939" s="80">
        <f t="shared" si="448"/>
        <v>97190382.095895559</v>
      </c>
      <c r="N939" s="80">
        <f t="shared" si="448"/>
        <v>59459290.357931413</v>
      </c>
      <c r="O939" s="80">
        <f>SUM(O931:O938)</f>
        <v>3644586.6494992767</v>
      </c>
      <c r="P939" s="80">
        <f t="shared" si="448"/>
        <v>15279221.065348988</v>
      </c>
      <c r="Q939" s="80">
        <f t="shared" si="448"/>
        <v>207633.43189723286</v>
      </c>
      <c r="R939" s="80">
        <f t="shared" si="448"/>
        <v>244302.54457687953</v>
      </c>
      <c r="S939" s="80">
        <f t="shared" si="448"/>
        <v>3403.7154084150393</v>
      </c>
      <c r="T939" s="80">
        <f t="shared" si="448"/>
        <v>59192.927264954538</v>
      </c>
      <c r="U939" s="80">
        <f t="shared" si="448"/>
        <v>181848.13605860423</v>
      </c>
      <c r="V939" s="80">
        <f t="shared" si="448"/>
        <v>14957.451853235427</v>
      </c>
      <c r="W939" s="80">
        <f t="shared" si="448"/>
        <v>0</v>
      </c>
      <c r="X939" s="151">
        <f t="shared" si="448"/>
        <v>0</v>
      </c>
      <c r="Y939" s="151">
        <f t="shared" si="448"/>
        <v>0</v>
      </c>
      <c r="Z939" s="151">
        <f t="shared" si="448"/>
        <v>0</v>
      </c>
      <c r="AA939" s="151">
        <f>ROUND(SUM(G939:Z939),2)</f>
        <v>1002848820.48</v>
      </c>
      <c r="AB939" s="152" t="str">
        <f>IF(ABS(F939-AA939)&lt;0.01,"ok","err")</f>
        <v>ok</v>
      </c>
    </row>
    <row r="940" spans="1:28" s="150" customForma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</row>
    <row r="941" spans="1:28" s="150" customForma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</row>
    <row r="942" spans="1:28" s="150" customFormat="1" ht="14.1">
      <c r="A942" s="65" t="s">
        <v>822</v>
      </c>
      <c r="B942" s="60"/>
      <c r="C942" s="60"/>
      <c r="D942" s="60"/>
      <c r="E942" s="60"/>
      <c r="F942" s="80">
        <f t="shared" ref="F942:Z942" si="449">F926-F939</f>
        <v>248460200.76360822</v>
      </c>
      <c r="G942" s="80">
        <f>G926-G939</f>
        <v>62845222.532499015</v>
      </c>
      <c r="H942" s="80">
        <f t="shared" si="449"/>
        <v>19259.073922425741</v>
      </c>
      <c r="I942" s="80">
        <f t="shared" si="449"/>
        <v>53342367.933610737</v>
      </c>
      <c r="J942" s="80">
        <f t="shared" si="449"/>
        <v>3809301.5924940864</v>
      </c>
      <c r="K942" s="80">
        <f t="shared" si="449"/>
        <v>48257317.597867906</v>
      </c>
      <c r="L942" s="80">
        <f t="shared" si="449"/>
        <v>32464738.413784429</v>
      </c>
      <c r="M942" s="80">
        <f t="shared" si="449"/>
        <v>22325866.311829716</v>
      </c>
      <c r="N942" s="80">
        <f t="shared" si="449"/>
        <v>14146012.154163949</v>
      </c>
      <c r="O942" s="80">
        <f t="shared" si="449"/>
        <v>650576.25077705644</v>
      </c>
      <c r="P942" s="80">
        <f t="shared" si="449"/>
        <v>10271870.227390243</v>
      </c>
      <c r="Q942" s="80">
        <f t="shared" si="449"/>
        <v>51029.574695229559</v>
      </c>
      <c r="R942" s="80">
        <f t="shared" si="449"/>
        <v>86735.229929249035</v>
      </c>
      <c r="S942" s="80">
        <f t="shared" si="449"/>
        <v>10649.163104363075</v>
      </c>
      <c r="T942" s="80">
        <f t="shared" si="449"/>
        <v>8708.2954514414523</v>
      </c>
      <c r="U942" s="80">
        <f t="shared" si="449"/>
        <v>166189.86394139577</v>
      </c>
      <c r="V942" s="80">
        <f t="shared" si="449"/>
        <v>4356.5481467645732</v>
      </c>
      <c r="W942" s="80">
        <f t="shared" si="449"/>
        <v>0</v>
      </c>
      <c r="X942" s="151">
        <f t="shared" si="449"/>
        <v>0</v>
      </c>
      <c r="Y942" s="151">
        <f t="shared" si="449"/>
        <v>0</v>
      </c>
      <c r="Z942" s="151">
        <f t="shared" si="449"/>
        <v>0</v>
      </c>
      <c r="AA942" s="151">
        <f>ROUND(SUM(G942:Z942),2)</f>
        <v>248460200.75999999</v>
      </c>
      <c r="AB942" s="152" t="str">
        <f>IF(ABS(F942-AA942)&lt;0.01,"ok","err")</f>
        <v>ok</v>
      </c>
    </row>
    <row r="943" spans="1:28" s="150" customForma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</row>
    <row r="944" spans="1:28" s="150" customFormat="1" ht="14.1">
      <c r="A944" s="65" t="s">
        <v>1026</v>
      </c>
      <c r="B944" s="60"/>
      <c r="C944" s="60"/>
      <c r="D944" s="60"/>
      <c r="E944" s="60"/>
      <c r="F944" s="80">
        <f>F866</f>
        <v>3460077816.1601419</v>
      </c>
      <c r="G944" s="80">
        <f t="shared" ref="G944:Z944" si="450">G866</f>
        <v>1748092633.3997715</v>
      </c>
      <c r="H944" s="80">
        <f t="shared" si="450"/>
        <v>4038872.4825251354</v>
      </c>
      <c r="I944" s="80">
        <f t="shared" si="450"/>
        <v>403486900.96194375</v>
      </c>
      <c r="J944" s="80">
        <f t="shared" si="450"/>
        <v>22814218.96311127</v>
      </c>
      <c r="K944" s="80">
        <f t="shared" si="450"/>
        <v>390090310.94908422</v>
      </c>
      <c r="L944" s="80">
        <f t="shared" si="450"/>
        <v>335323415.21704251</v>
      </c>
      <c r="M944" s="80">
        <f t="shared" si="450"/>
        <v>296063156.00640303</v>
      </c>
      <c r="N944" s="80">
        <f t="shared" si="450"/>
        <v>145224286.58182222</v>
      </c>
      <c r="O944" s="80">
        <f>O866</f>
        <v>9832808.5275934432</v>
      </c>
      <c r="P944" s="80">
        <f t="shared" si="450"/>
        <v>101460556.34610823</v>
      </c>
      <c r="Q944" s="80">
        <f t="shared" si="450"/>
        <v>518946.28609536134</v>
      </c>
      <c r="R944" s="80">
        <f t="shared" si="450"/>
        <v>623432.36842078215</v>
      </c>
      <c r="S944" s="80">
        <f t="shared" si="450"/>
        <v>12817.118099669618</v>
      </c>
      <c r="T944" s="80">
        <f t="shared" si="450"/>
        <v>120162.32212078768</v>
      </c>
      <c r="U944" s="80">
        <f t="shared" si="450"/>
        <v>2314621.8400000003</v>
      </c>
      <c r="V944" s="80">
        <f t="shared" si="450"/>
        <v>60676.790000000008</v>
      </c>
      <c r="W944" s="80">
        <f t="shared" si="450"/>
        <v>0</v>
      </c>
      <c r="X944" s="80">
        <f t="shared" si="450"/>
        <v>0</v>
      </c>
      <c r="Y944" s="80">
        <f t="shared" si="450"/>
        <v>0</v>
      </c>
      <c r="Z944" s="80">
        <f t="shared" si="450"/>
        <v>0</v>
      </c>
      <c r="AA944" s="151">
        <f>ROUND(SUM(G944:Z944),2)</f>
        <v>3460077816.1599998</v>
      </c>
      <c r="AB944" s="152" t="str">
        <f>IF(ABS(F944-AA944)&lt;0.01,"ok","err")</f>
        <v>ok</v>
      </c>
    </row>
    <row r="945" spans="1:28" s="150" customFormat="1" ht="14.1" thickBo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</row>
    <row r="946" spans="1:28" s="150" customFormat="1" ht="14.4" thickBot="1">
      <c r="A946" s="281" t="s">
        <v>1044</v>
      </c>
      <c r="B946" s="146"/>
      <c r="C946" s="146"/>
      <c r="D946" s="146"/>
      <c r="E946" s="146"/>
      <c r="F946" s="147">
        <f t="shared" ref="F946:P946" si="451">F942/F944</f>
        <v>7.1807691608317514E-2</v>
      </c>
      <c r="G946" s="147">
        <f t="shared" si="451"/>
        <v>3.5950739298222838E-2</v>
      </c>
      <c r="H946" s="147">
        <f t="shared" si="451"/>
        <v>4.7684283189809483E-3</v>
      </c>
      <c r="I946" s="147">
        <f t="shared" si="451"/>
        <v>0.13220346882745992</v>
      </c>
      <c r="J946" s="147">
        <f t="shared" si="451"/>
        <v>0.16697050197744731</v>
      </c>
      <c r="K946" s="147">
        <f t="shared" si="451"/>
        <v>0.12370806514127083</v>
      </c>
      <c r="L946" s="147">
        <f t="shared" si="451"/>
        <v>9.6816198751796673E-2</v>
      </c>
      <c r="M946" s="147">
        <f t="shared" si="451"/>
        <v>7.5409134365057126E-2</v>
      </c>
      <c r="N946" s="147">
        <f t="shared" si="451"/>
        <v>9.7408033374595429E-2</v>
      </c>
      <c r="O946" s="147">
        <f>O942/O944</f>
        <v>6.616382785766331E-2</v>
      </c>
      <c r="P946" s="147">
        <f t="shared" si="451"/>
        <v>0.1012400345248476</v>
      </c>
      <c r="Q946" s="147">
        <f>Q942/Q944</f>
        <v>9.8333056931931465E-2</v>
      </c>
      <c r="R946" s="147">
        <f t="shared" ref="R946:Z946" si="452">R942/R944</f>
        <v>0.13912532348770762</v>
      </c>
      <c r="S946" s="147">
        <f t="shared" si="452"/>
        <v>0.83085472268821292</v>
      </c>
      <c r="T946" s="147">
        <f t="shared" si="452"/>
        <v>7.2471098242324547E-2</v>
      </c>
      <c r="U946" s="147">
        <f t="shared" si="452"/>
        <v>7.1800006838869085E-2</v>
      </c>
      <c r="V946" s="147">
        <f t="shared" si="452"/>
        <v>7.1799252181345988E-2</v>
      </c>
      <c r="W946" s="147" t="e">
        <f t="shared" si="452"/>
        <v>#DIV/0!</v>
      </c>
      <c r="X946" s="156" t="e">
        <f t="shared" si="452"/>
        <v>#DIV/0!</v>
      </c>
      <c r="Y946" s="156" t="e">
        <f t="shared" si="452"/>
        <v>#DIV/0!</v>
      </c>
      <c r="Z946" s="156" t="e">
        <f t="shared" si="452"/>
        <v>#DIV/0!</v>
      </c>
      <c r="AA946" s="157"/>
      <c r="AB946" s="157"/>
    </row>
    <row r="947" spans="1:28" s="150" customFormat="1" ht="14.1">
      <c r="A947" s="65"/>
      <c r="B947" s="65"/>
      <c r="C947" s="60"/>
      <c r="D947" s="60"/>
      <c r="E947" s="60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54"/>
      <c r="Y947" s="154"/>
      <c r="Z947" s="154"/>
    </row>
    <row r="948" spans="1:28">
      <c r="F948" s="80"/>
    </row>
    <row r="949" spans="1:28" s="170" customForma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</row>
    <row r="950" spans="1:28" s="170" customFormat="1" ht="14.1">
      <c r="A950" s="65" t="s">
        <v>132</v>
      </c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</row>
    <row r="951" spans="1:28" s="170" customForma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</row>
    <row r="952" spans="1:28" s="170" customFormat="1" ht="14.1">
      <c r="A952" s="65" t="s">
        <v>1045</v>
      </c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</row>
    <row r="953" spans="1:28" s="170" customFormat="1">
      <c r="A953" s="60" t="s">
        <v>1046</v>
      </c>
      <c r="B953" s="60"/>
      <c r="C953" s="60"/>
      <c r="D953" s="60" t="s">
        <v>1015</v>
      </c>
      <c r="E953" s="60" t="s">
        <v>854</v>
      </c>
      <c r="F953" s="110">
        <v>1</v>
      </c>
      <c r="G953" s="110">
        <f t="shared" ref="G953:Z953" si="453">IF(VLOOKUP($E953,$D$6:$AN$1150,3,)=0,0,(VLOOKUP($E953,$D$6:$AN$1150,G$2,)/VLOOKUP($E953,$D$6:$AN$1150,3,))*$F953)</f>
        <v>0.35848200890784754</v>
      </c>
      <c r="H953" s="110">
        <f t="shared" si="453"/>
        <v>9.6307729847617488E-4</v>
      </c>
      <c r="I953" s="110">
        <f t="shared" si="453"/>
        <v>0.10626724766131081</v>
      </c>
      <c r="J953" s="110">
        <f t="shared" si="453"/>
        <v>9.0031326761925937E-3</v>
      </c>
      <c r="K953" s="110">
        <f t="shared" si="453"/>
        <v>0.13394483453706754</v>
      </c>
      <c r="L953" s="110">
        <f t="shared" si="453"/>
        <v>0.17314700951944603</v>
      </c>
      <c r="M953" s="110">
        <f t="shared" si="453"/>
        <v>0.11434927306388884</v>
      </c>
      <c r="N953" s="110">
        <f t="shared" si="453"/>
        <v>8.956428802798358E-2</v>
      </c>
      <c r="O953" s="110">
        <f t="shared" si="453"/>
        <v>4.8964208141970373E-3</v>
      </c>
      <c r="P953" s="110">
        <f t="shared" si="453"/>
        <v>8.7884953119310751E-3</v>
      </c>
      <c r="Q953" s="110">
        <f t="shared" si="453"/>
        <v>3.0610347100140173E-4</v>
      </c>
      <c r="R953" s="110">
        <f t="shared" si="453"/>
        <v>2.8546332313996332E-4</v>
      </c>
      <c r="S953" s="110">
        <f t="shared" si="453"/>
        <v>1.0253095914550137E-6</v>
      </c>
      <c r="T953" s="110">
        <f t="shared" si="453"/>
        <v>1.6200779258921212E-6</v>
      </c>
      <c r="U953" s="110">
        <f t="shared" si="453"/>
        <v>0</v>
      </c>
      <c r="V953" s="110">
        <f t="shared" si="453"/>
        <v>0</v>
      </c>
      <c r="W953" s="110">
        <f t="shared" si="453"/>
        <v>0</v>
      </c>
      <c r="X953" s="171">
        <f t="shared" si="453"/>
        <v>0</v>
      </c>
      <c r="Y953" s="171">
        <f t="shared" si="453"/>
        <v>0</v>
      </c>
      <c r="Z953" s="171">
        <f t="shared" si="453"/>
        <v>0</v>
      </c>
      <c r="AA953" s="175">
        <f>SUM(G953:Z953)</f>
        <v>0.99999999999999989</v>
      </c>
      <c r="AB953" s="172" t="str">
        <f>IF(ABS(F953-AA953)&lt;0.01,"ok","err")</f>
        <v>ok</v>
      </c>
    </row>
    <row r="954" spans="1:28" s="170" customForma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</row>
    <row r="955" spans="1:28" s="170" customFormat="1" ht="14.1">
      <c r="A955" s="65" t="s">
        <v>1047</v>
      </c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</row>
    <row r="956" spans="1:28" s="170" customFormat="1">
      <c r="A956" s="60" t="s">
        <v>1048</v>
      </c>
      <c r="B956" s="60"/>
      <c r="C956" s="60"/>
      <c r="D956" s="60" t="s">
        <v>1018</v>
      </c>
      <c r="E956" s="60" t="s">
        <v>658</v>
      </c>
      <c r="F956" s="81">
        <v>1</v>
      </c>
      <c r="G956" s="83">
        <f t="shared" ref="G956:Z956" si="454">IF(VLOOKUP($E956,$D$6:$AN$1150,3,)=0,0,(VLOOKUP($E956,$D$6:$AN$1150,G$2,)/VLOOKUP($E956,$D$6:$AN$1150,3,))*$F956)</f>
        <v>0.8625326036879557</v>
      </c>
      <c r="H956" s="83">
        <f t="shared" si="454"/>
        <v>2.1290299334280794E-3</v>
      </c>
      <c r="I956" s="83">
        <f t="shared" si="454"/>
        <v>0.10386809038934489</v>
      </c>
      <c r="J956" s="83">
        <f t="shared" si="454"/>
        <v>1.6029265430488363E-4</v>
      </c>
      <c r="K956" s="83">
        <f t="shared" si="454"/>
        <v>6.3713977454278748E-3</v>
      </c>
      <c r="L956" s="83">
        <f t="shared" si="454"/>
        <v>3.0133764272298122E-4</v>
      </c>
      <c r="M956" s="83">
        <f t="shared" si="454"/>
        <v>1.1564095534268605E-3</v>
      </c>
      <c r="N956" s="83">
        <f t="shared" si="454"/>
        <v>0</v>
      </c>
      <c r="O956" s="83">
        <f t="shared" si="454"/>
        <v>4.579790122996675E-6</v>
      </c>
      <c r="P956" s="83">
        <f t="shared" si="454"/>
        <v>2.3155673294655801E-2</v>
      </c>
      <c r="Q956" s="83">
        <f t="shared" si="454"/>
        <v>4.0963678322359153E-5</v>
      </c>
      <c r="R956" s="83">
        <f t="shared" si="454"/>
        <v>2.5443278461092638E-4</v>
      </c>
      <c r="S956" s="83">
        <f t="shared" si="454"/>
        <v>2.2898950614983375E-6</v>
      </c>
      <c r="T956" s="83">
        <f t="shared" si="454"/>
        <v>2.2898950614983378E-5</v>
      </c>
      <c r="U956" s="83">
        <f t="shared" si="454"/>
        <v>0</v>
      </c>
      <c r="V956" s="83">
        <f t="shared" si="454"/>
        <v>0</v>
      </c>
      <c r="W956" s="83">
        <f t="shared" si="454"/>
        <v>0</v>
      </c>
      <c r="X956" s="171">
        <f t="shared" si="454"/>
        <v>0</v>
      </c>
      <c r="Y956" s="171">
        <f t="shared" si="454"/>
        <v>0</v>
      </c>
      <c r="Z956" s="171">
        <f t="shared" si="454"/>
        <v>0</v>
      </c>
      <c r="AA956" s="176">
        <f t="shared" ref="AA956:AA961" si="455">SUM(G956:Z956)</f>
        <v>0.99999999999999989</v>
      </c>
      <c r="AB956" s="172" t="str">
        <f t="shared" ref="AB956:AB961" si="456">IF(ABS(F956-AA956)&lt;0.01,"ok","err")</f>
        <v>ok</v>
      </c>
    </row>
    <row r="957" spans="1:28" s="170" customFormat="1">
      <c r="A957" s="60" t="s">
        <v>183</v>
      </c>
      <c r="B957" s="60"/>
      <c r="C957" s="60"/>
      <c r="D957" s="60" t="s">
        <v>1019</v>
      </c>
      <c r="E957" s="60"/>
      <c r="F957" s="81">
        <v>1</v>
      </c>
      <c r="G957" s="83">
        <f>Services!F10</f>
        <v>0.85920091333043136</v>
      </c>
      <c r="H957" s="83">
        <f>Services!F12</f>
        <v>2.1208061648774717E-3</v>
      </c>
      <c r="I957" s="83">
        <f>Services!F14</f>
        <v>0.12267300237995889</v>
      </c>
      <c r="J957" s="83">
        <f>Services!F16</f>
        <v>0</v>
      </c>
      <c r="K957" s="83">
        <f>Services!F18</f>
        <v>1.2618002541728851E-2</v>
      </c>
      <c r="L957" s="83">
        <f>Services!$F20</f>
        <v>0</v>
      </c>
      <c r="M957" s="83">
        <f>Services!$F22</f>
        <v>3.3827406437543727E-3</v>
      </c>
      <c r="N957" s="83">
        <f>Services!$F24</f>
        <v>0</v>
      </c>
      <c r="O957" s="83">
        <f>Services!$F26</f>
        <v>0</v>
      </c>
      <c r="P957" s="83">
        <f>Services!$F28</f>
        <v>0</v>
      </c>
      <c r="Q957" s="83">
        <f>Services!$F30</f>
        <v>0</v>
      </c>
      <c r="R957" s="83">
        <f>Services!$F32</f>
        <v>0</v>
      </c>
      <c r="S957" s="83">
        <f>Services!$F34</f>
        <v>4.534939248928961E-6</v>
      </c>
      <c r="T957" s="83">
        <f>Services!$F36</f>
        <v>0</v>
      </c>
      <c r="U957" s="83">
        <f>Services!$F38</f>
        <v>0</v>
      </c>
      <c r="V957" s="83">
        <f>Services!$F40</f>
        <v>0</v>
      </c>
      <c r="W957" s="83">
        <v>0</v>
      </c>
      <c r="X957" s="83">
        <v>0</v>
      </c>
      <c r="Y957" s="83">
        <v>0</v>
      </c>
      <c r="Z957" s="83">
        <v>0</v>
      </c>
      <c r="AA957" s="176">
        <f t="shared" si="455"/>
        <v>0.99999999999999978</v>
      </c>
      <c r="AB957" s="172" t="str">
        <f t="shared" si="456"/>
        <v>ok</v>
      </c>
    </row>
    <row r="958" spans="1:28" s="170" customFormat="1">
      <c r="A958" s="60" t="s">
        <v>1049</v>
      </c>
      <c r="B958" s="60"/>
      <c r="C958" s="60"/>
      <c r="D958" s="60" t="s">
        <v>1020</v>
      </c>
      <c r="E958" s="60"/>
      <c r="F958" s="81">
        <v>1</v>
      </c>
      <c r="G958" s="83">
        <f>Meters!$H$10</f>
        <v>0.68186317292471232</v>
      </c>
      <c r="H958" s="83">
        <f>Meters!$H$12</f>
        <v>1.6830750506726976E-3</v>
      </c>
      <c r="I958" s="83">
        <f>Meters!$H$14</f>
        <v>0.21238041616295206</v>
      </c>
      <c r="J958" s="83">
        <f>Meters!$H$16</f>
        <v>6.9419165936484275E-3</v>
      </c>
      <c r="K958" s="83">
        <f>Meters!$H$18</f>
        <v>5.9391661663426243E-2</v>
      </c>
      <c r="L958" s="83">
        <f>Meters!$H$20</f>
        <v>1.3865762664287819E-2</v>
      </c>
      <c r="M958" s="83">
        <f>Meters!$H$22</f>
        <v>1.1741363749713249E-2</v>
      </c>
      <c r="N958" s="83">
        <f>Meters!$H$24</f>
        <v>9.7988568917879437E-3</v>
      </c>
      <c r="O958" s="83">
        <f>Meters!$H$26</f>
        <v>2.1073465075220914E-4</v>
      </c>
      <c r="P958" s="83">
        <f>Meters!$H$28</f>
        <v>0</v>
      </c>
      <c r="Q958" s="83">
        <f>Meters!$H$30</f>
        <v>2.9144940377338457E-4</v>
      </c>
      <c r="R958" s="83">
        <f>Meters!$H$32</f>
        <v>1.8102447439340657E-3</v>
      </c>
      <c r="S958" s="83">
        <f>Meters!$H$34</f>
        <v>2.1345500339364968E-5</v>
      </c>
      <c r="T958" s="83">
        <f>Meters!$H$36</f>
        <v>0</v>
      </c>
      <c r="U958" s="83">
        <f>Meters!$H$38</f>
        <v>0</v>
      </c>
      <c r="V958" s="83">
        <f>Meters!$H$40</f>
        <v>0</v>
      </c>
      <c r="W958" s="83">
        <v>0</v>
      </c>
      <c r="X958" s="176">
        <v>0</v>
      </c>
      <c r="Y958" s="176">
        <v>0</v>
      </c>
      <c r="Z958" s="176">
        <v>0</v>
      </c>
      <c r="AA958" s="176">
        <f>SUM(G958:Z958)</f>
        <v>0.99999999999999967</v>
      </c>
      <c r="AB958" s="172" t="str">
        <f t="shared" si="456"/>
        <v>ok</v>
      </c>
    </row>
    <row r="959" spans="1:28" s="170" customFormat="1">
      <c r="A959" s="60" t="s">
        <v>1050</v>
      </c>
      <c r="B959" s="60"/>
      <c r="C959" s="60"/>
      <c r="D959" s="60" t="s">
        <v>1021</v>
      </c>
      <c r="E959" s="60" t="s">
        <v>131</v>
      </c>
      <c r="F959" s="81">
        <v>1</v>
      </c>
      <c r="G959" s="83">
        <f t="shared" ref="G959:R961" si="457">IF(VLOOKUP($E959,$D$6:$AN$1150,3,)=0,0,(VLOOKUP($E959,$D$6:$AN$1150,G$2,)/VLOOKUP($E959,$D$6:$AN$1150,3,))*$F959)</f>
        <v>0</v>
      </c>
      <c r="H959" s="83">
        <f t="shared" si="457"/>
        <v>0</v>
      </c>
      <c r="I959" s="83">
        <f t="shared" si="457"/>
        <v>0</v>
      </c>
      <c r="J959" s="83">
        <f t="shared" si="457"/>
        <v>0</v>
      </c>
      <c r="K959" s="83">
        <f t="shared" si="457"/>
        <v>0</v>
      </c>
      <c r="L959" s="83">
        <f t="shared" si="457"/>
        <v>0</v>
      </c>
      <c r="M959" s="83">
        <f t="shared" si="457"/>
        <v>0</v>
      </c>
      <c r="N959" s="83">
        <f t="shared" si="457"/>
        <v>0</v>
      </c>
      <c r="O959" s="83">
        <f t="shared" si="457"/>
        <v>0</v>
      </c>
      <c r="P959" s="83">
        <f t="shared" si="457"/>
        <v>1</v>
      </c>
      <c r="Q959" s="83">
        <f t="shared" si="457"/>
        <v>0</v>
      </c>
      <c r="R959" s="83">
        <f t="shared" si="457"/>
        <v>0</v>
      </c>
      <c r="S959" s="83">
        <v>0</v>
      </c>
      <c r="T959" s="83">
        <v>0</v>
      </c>
      <c r="U959" s="83">
        <v>0</v>
      </c>
      <c r="V959" s="83">
        <f t="shared" ref="V959:Z961" si="458">IF(VLOOKUP($E959,$D$6:$AN$1150,3,)=0,0,(VLOOKUP($E959,$D$6:$AN$1150,V$2,)/VLOOKUP($E959,$D$6:$AN$1150,3,))*$F959)</f>
        <v>0</v>
      </c>
      <c r="W959" s="83">
        <f t="shared" si="458"/>
        <v>0</v>
      </c>
      <c r="X959" s="171">
        <f t="shared" si="458"/>
        <v>0</v>
      </c>
      <c r="Y959" s="171">
        <f t="shared" si="458"/>
        <v>0</v>
      </c>
      <c r="Z959" s="171">
        <f t="shared" si="458"/>
        <v>0</v>
      </c>
      <c r="AA959" s="176">
        <f t="shared" si="455"/>
        <v>1</v>
      </c>
      <c r="AB959" s="172" t="str">
        <f t="shared" si="456"/>
        <v>ok</v>
      </c>
    </row>
    <row r="960" spans="1:28" s="170" customFormat="1">
      <c r="A960" s="60" t="s">
        <v>1051</v>
      </c>
      <c r="B960" s="60"/>
      <c r="C960" s="60"/>
      <c r="D960" s="60" t="s">
        <v>1022</v>
      </c>
      <c r="E960" s="60" t="s">
        <v>154</v>
      </c>
      <c r="F960" s="81">
        <v>1</v>
      </c>
      <c r="G960" s="83">
        <f t="shared" si="457"/>
        <v>0.73987889927724404</v>
      </c>
      <c r="H960" s="83">
        <f t="shared" si="457"/>
        <v>1.8262780061157563E-3</v>
      </c>
      <c r="I960" s="83">
        <f t="shared" si="457"/>
        <v>0.17819571818783159</v>
      </c>
      <c r="J960" s="83">
        <f t="shared" si="457"/>
        <v>6.8749373717721398E-4</v>
      </c>
      <c r="K960" s="83">
        <f t="shared" si="457"/>
        <v>2.7326867011105642E-2</v>
      </c>
      <c r="L960" s="83">
        <f t="shared" si="457"/>
        <v>6.4621720516821798E-3</v>
      </c>
      <c r="M960" s="83">
        <f t="shared" si="457"/>
        <v>2.4799150311675993E-2</v>
      </c>
      <c r="N960" s="83">
        <f t="shared" si="457"/>
        <v>6.3838704166455584E-4</v>
      </c>
      <c r="O960" s="83">
        <f t="shared" si="457"/>
        <v>1.9642678205063259E-5</v>
      </c>
      <c r="P960" s="83">
        <f t="shared" si="457"/>
        <v>1.9862894452940021E-2</v>
      </c>
      <c r="Q960" s="83">
        <f t="shared" si="457"/>
        <v>3.5138568789057603E-5</v>
      </c>
      <c r="R960" s="83">
        <f t="shared" si="457"/>
        <v>2.1825198005625841E-4</v>
      </c>
      <c r="S960" s="83">
        <f t="shared" ref="S960:U961" si="459">IF(VLOOKUP($E960,$D$6:$AN$1150,3,)=0,0,(VLOOKUP($E960,$D$6:$AN$1150,S$2,)/VLOOKUP($E960,$D$6:$AN$1150,3,))*$F960)</f>
        <v>9.8213391025316293E-6</v>
      </c>
      <c r="T960" s="83">
        <f t="shared" si="459"/>
        <v>3.9285356410126517E-5</v>
      </c>
      <c r="U960" s="83">
        <f t="shared" si="459"/>
        <v>0</v>
      </c>
      <c r="V960" s="83">
        <f t="shared" si="458"/>
        <v>0</v>
      </c>
      <c r="W960" s="83">
        <f t="shared" si="458"/>
        <v>0</v>
      </c>
      <c r="X960" s="171">
        <f t="shared" si="458"/>
        <v>0</v>
      </c>
      <c r="Y960" s="171">
        <f t="shared" si="458"/>
        <v>0</v>
      </c>
      <c r="Z960" s="171">
        <f t="shared" si="458"/>
        <v>0</v>
      </c>
      <c r="AA960" s="176">
        <f t="shared" si="455"/>
        <v>1</v>
      </c>
      <c r="AB960" s="172" t="str">
        <f t="shared" si="456"/>
        <v>ok</v>
      </c>
    </row>
    <row r="961" spans="1:29" s="170" customFormat="1">
      <c r="A961" s="60" t="s">
        <v>170</v>
      </c>
      <c r="B961" s="60"/>
      <c r="C961" s="60"/>
      <c r="D961" s="60" t="s">
        <v>1023</v>
      </c>
      <c r="E961" s="60" t="s">
        <v>155</v>
      </c>
      <c r="F961" s="81">
        <v>1</v>
      </c>
      <c r="G961" s="83">
        <f t="shared" si="457"/>
        <v>0.8625069280333405</v>
      </c>
      <c r="H961" s="83">
        <f t="shared" si="457"/>
        <v>2.1289665569980149E-3</v>
      </c>
      <c r="I961" s="83">
        <f t="shared" si="457"/>
        <v>0.10386499847003312</v>
      </c>
      <c r="J961" s="83">
        <f t="shared" si="457"/>
        <v>1.6028788275327887E-4</v>
      </c>
      <c r="K961" s="83">
        <f t="shared" si="457"/>
        <v>6.371208083254842E-3</v>
      </c>
      <c r="L961" s="83">
        <f t="shared" si="457"/>
        <v>3.0132867257947124E-4</v>
      </c>
      <c r="M961" s="83">
        <f t="shared" si="457"/>
        <v>1.1563751297167765E-3</v>
      </c>
      <c r="N961" s="83">
        <f t="shared" si="457"/>
        <v>2.9767749654180364E-5</v>
      </c>
      <c r="O961" s="83">
        <f t="shared" si="457"/>
        <v>4.5796537929508255E-6</v>
      </c>
      <c r="P961" s="83">
        <f t="shared" si="457"/>
        <v>2.3154984002370094E-2</v>
      </c>
      <c r="Q961" s="83">
        <f t="shared" si="457"/>
        <v>4.0962458925837936E-5</v>
      </c>
      <c r="R961" s="83">
        <f t="shared" si="457"/>
        <v>2.5442521071949027E-4</v>
      </c>
      <c r="S961" s="83">
        <f t="shared" si="459"/>
        <v>2.2898268964754127E-6</v>
      </c>
      <c r="T961" s="83">
        <f t="shared" si="459"/>
        <v>2.2898268964754128E-5</v>
      </c>
      <c r="U961" s="83">
        <f t="shared" si="459"/>
        <v>0</v>
      </c>
      <c r="V961" s="83">
        <f t="shared" si="458"/>
        <v>0</v>
      </c>
      <c r="W961" s="83">
        <f t="shared" si="458"/>
        <v>0</v>
      </c>
      <c r="X961" s="171">
        <f t="shared" si="458"/>
        <v>0</v>
      </c>
      <c r="Y961" s="171">
        <f t="shared" si="458"/>
        <v>0</v>
      </c>
      <c r="Z961" s="171">
        <f t="shared" si="458"/>
        <v>0</v>
      </c>
      <c r="AA961" s="176">
        <f t="shared" si="455"/>
        <v>0.99999999999999978</v>
      </c>
      <c r="AB961" s="172" t="str">
        <f t="shared" si="456"/>
        <v>ok</v>
      </c>
    </row>
    <row r="962" spans="1:29" s="170" customForma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</row>
    <row r="963" spans="1:29" s="60" customFormat="1">
      <c r="A963" s="60" t="s">
        <v>1190</v>
      </c>
      <c r="D963" s="60" t="s">
        <v>129</v>
      </c>
      <c r="F963" s="79">
        <f>'Billing Det'!D39</f>
        <v>1066653012.4400001</v>
      </c>
      <c r="G963" s="79">
        <f>'Billing Det'!$D$8</f>
        <v>430666956.89829952</v>
      </c>
      <c r="H963" s="79">
        <f>'Billing Det'!$D10</f>
        <v>1157779.5517004775</v>
      </c>
      <c r="I963" s="79">
        <f>'Billing Det'!$D12</f>
        <v>148100588.18000001</v>
      </c>
      <c r="J963" s="79">
        <f>'Billing Det'!$D$14</f>
        <v>10054861.74</v>
      </c>
      <c r="K963" s="79">
        <f>'Billing Det'!$D$16</f>
        <v>147448878.13999999</v>
      </c>
      <c r="L963" s="79">
        <f>'Billing Det'!$D$18</f>
        <v>136688084.54999998</v>
      </c>
      <c r="M963" s="79">
        <f>'Billing Det'!$D$20</f>
        <v>101626163.23</v>
      </c>
      <c r="N963" s="79">
        <f>'Billing Det'!$D$22</f>
        <v>64286866.589999996</v>
      </c>
      <c r="O963" s="79">
        <f>'Billing Det'!$D$24</f>
        <v>3635159.88</v>
      </c>
      <c r="P963" s="79">
        <f>'Billing Det'!$D$26</f>
        <v>22160939.829999998</v>
      </c>
      <c r="Q963" s="79">
        <f>'Billing Det'!$D$28</f>
        <v>243958.97</v>
      </c>
      <c r="R963" s="79">
        <f>'Billing Det'!$D$30</f>
        <v>318741.55000000005</v>
      </c>
      <c r="S963" s="79">
        <f>'Billing Det'!$D$32</f>
        <v>15468.33</v>
      </c>
      <c r="T963" s="79">
        <f>'Billing Det'!$D$34</f>
        <v>1533</v>
      </c>
      <c r="U963" s="79">
        <f>'Billing Det'!$D$36</f>
        <v>237096</v>
      </c>
      <c r="V963" s="79">
        <f>'Billing Det'!$D$38</f>
        <v>9936</v>
      </c>
      <c r="W963" s="79">
        <v>0</v>
      </c>
      <c r="X963" s="79">
        <v>0</v>
      </c>
      <c r="Y963" s="79">
        <v>0</v>
      </c>
      <c r="Z963" s="79">
        <v>0</v>
      </c>
      <c r="AA963" s="79">
        <f>SUM(G963:Z963)</f>
        <v>1066653012.4400001</v>
      </c>
      <c r="AB963" s="93" t="str">
        <f>IF(ABS(F963-AA963)&lt;0.01,"ok","err")</f>
        <v>ok</v>
      </c>
      <c r="AC963" s="112">
        <f>+AA963-F963</f>
        <v>0</v>
      </c>
    </row>
    <row r="964" spans="1:29" s="170" customFormat="1">
      <c r="A964" s="60" t="s">
        <v>854</v>
      </c>
      <c r="B964" s="60"/>
      <c r="C964" s="60"/>
      <c r="D964" s="60"/>
      <c r="E964" s="60"/>
      <c r="F964" s="79">
        <f>'Billing Det'!C39</f>
        <v>11352592560.98</v>
      </c>
      <c r="G964" s="79">
        <f>'Billing Det'!$C8</f>
        <v>4038260479.9491978</v>
      </c>
      <c r="H964" s="79">
        <f>'Billing Det'!$C10</f>
        <v>10848960.050802249</v>
      </c>
      <c r="I964" s="79">
        <f>'Billing Det'!$C12</f>
        <v>1197088880</v>
      </c>
      <c r="J964" s="79">
        <f>'Billing Det'!$C14</f>
        <v>103621086</v>
      </c>
      <c r="K964" s="79">
        <f>'Billing Det'!$C16</f>
        <v>1508873858</v>
      </c>
      <c r="L964" s="79">
        <f>'Billing Det'!$C18</f>
        <v>1992826476</v>
      </c>
      <c r="M964" s="79">
        <f>'Billing Det'!$C20</f>
        <v>1288132009</v>
      </c>
      <c r="N964" s="79">
        <f>'Billing Det'!$C22</f>
        <v>1050890542</v>
      </c>
      <c r="O964" s="79">
        <f>'Billing Det'!$C24</f>
        <v>56355100</v>
      </c>
      <c r="P964" s="79">
        <f>'Billing Det'!$C26</f>
        <v>99001434.980000019</v>
      </c>
      <c r="Q964" s="79">
        <f>'Billing Det'!$C28</f>
        <v>3448222</v>
      </c>
      <c r="R964" s="79">
        <f>'Billing Det'!$C30</f>
        <v>3215713</v>
      </c>
      <c r="S964" s="79">
        <f>'Billing Det'!$C32</f>
        <v>11550</v>
      </c>
      <c r="T964" s="79">
        <f>'Billing Det'!$C34</f>
        <v>18250</v>
      </c>
      <c r="U964" s="79">
        <f>'Billing Det'!$C36</f>
        <v>0</v>
      </c>
      <c r="V964" s="79">
        <f>'Billing Det'!$C38</f>
        <v>0</v>
      </c>
      <c r="W964" s="79">
        <v>0</v>
      </c>
      <c r="X964" s="171">
        <v>0</v>
      </c>
      <c r="Y964" s="171">
        <v>0</v>
      </c>
      <c r="Z964" s="171">
        <v>0</v>
      </c>
      <c r="AA964" s="171">
        <f t="shared" ref="AA964:AA974" si="460">SUM(G964:Z964)</f>
        <v>11352592560.98</v>
      </c>
      <c r="AB964" s="172" t="str">
        <f>IF(ABS(F964-AA964)&lt;0.01,"ok","err")</f>
        <v>ok</v>
      </c>
    </row>
    <row r="965" spans="1:29" s="60" customFormat="1">
      <c r="A965" s="60" t="s">
        <v>669</v>
      </c>
      <c r="D965" s="60" t="s">
        <v>854</v>
      </c>
      <c r="F965" s="79">
        <v>11999883068.421787</v>
      </c>
      <c r="G965" s="79">
        <f>G964/0.93875</f>
        <v>4301742189.0271082</v>
      </c>
      <c r="H965" s="79">
        <f>H964/0.93875</f>
        <v>11556814.967565646</v>
      </c>
      <c r="I965" s="79">
        <f>I964/0.93875</f>
        <v>1275194545.9387484</v>
      </c>
      <c r="J965" s="79">
        <f>J964/0.95913</f>
        <v>108036539.36379844</v>
      </c>
      <c r="K965" s="79">
        <f>K964/0.93875</f>
        <v>1607322352.0639148</v>
      </c>
      <c r="L965" s="79">
        <f>L964/0.95913</f>
        <v>2077743867.8802664</v>
      </c>
      <c r="M965" s="79">
        <f>M964/0.93875</f>
        <v>1372177905.7256992</v>
      </c>
      <c r="N965" s="79">
        <f>N964/0.97779</f>
        <v>1074760983.4422524</v>
      </c>
      <c r="O965" s="79">
        <f>O964/0.95913</f>
        <v>58756477.224151053</v>
      </c>
      <c r="P965" s="79">
        <f t="shared" ref="P965:V965" si="461">P964/0.93875</f>
        <v>105460916.09054597</v>
      </c>
      <c r="Q965" s="79">
        <f t="shared" si="461"/>
        <v>3673205.8588548601</v>
      </c>
      <c r="R965" s="79">
        <f t="shared" si="461"/>
        <v>3425526.4980026633</v>
      </c>
      <c r="S965" s="79">
        <f t="shared" si="461"/>
        <v>12303.595206391479</v>
      </c>
      <c r="T965" s="79">
        <f t="shared" si="461"/>
        <v>19440.745672436751</v>
      </c>
      <c r="U965" s="79">
        <f t="shared" si="461"/>
        <v>0</v>
      </c>
      <c r="V965" s="79">
        <f t="shared" si="461"/>
        <v>0</v>
      </c>
      <c r="W965" s="79">
        <f>W964/(1-0.061646)</f>
        <v>0</v>
      </c>
      <c r="X965" s="79">
        <v>0</v>
      </c>
      <c r="Y965" s="79">
        <v>0</v>
      </c>
      <c r="Z965" s="79">
        <v>0</v>
      </c>
      <c r="AA965" s="79">
        <f>SUM(G965:Z965)</f>
        <v>11999883068.421787</v>
      </c>
      <c r="AB965" s="93" t="str">
        <f>IF(ABS(F965-AA965)&lt;0.01,"ok","err")</f>
        <v>ok</v>
      </c>
      <c r="AC965" s="112">
        <f>+AA965-F965</f>
        <v>0</v>
      </c>
    </row>
    <row r="966" spans="1:29" s="170" customFormat="1">
      <c r="A966" s="60"/>
      <c r="B966" s="60"/>
      <c r="C966" s="60"/>
      <c r="D966" s="60"/>
      <c r="E966" s="60"/>
      <c r="F966" s="79"/>
      <c r="G966" s="79"/>
      <c r="H966" s="79"/>
      <c r="I966" s="79"/>
      <c r="J966" s="79"/>
      <c r="K966" s="79"/>
      <c r="L966" s="79"/>
      <c r="M966" s="79"/>
      <c r="N966" s="79"/>
      <c r="O966" s="110"/>
      <c r="P966" s="110"/>
      <c r="Q966" s="79"/>
      <c r="R966" s="79"/>
      <c r="S966" s="79"/>
      <c r="T966" s="79"/>
      <c r="U966" s="79"/>
      <c r="V966" s="79"/>
      <c r="W966" s="79"/>
      <c r="X966" s="171"/>
      <c r="Y966" s="171"/>
      <c r="Z966" s="171"/>
      <c r="AA966" s="171"/>
      <c r="AB966" s="172"/>
    </row>
    <row r="967" spans="1:29" s="170" customFormat="1" ht="14.1">
      <c r="A967" s="65" t="s">
        <v>820</v>
      </c>
      <c r="B967" s="60"/>
      <c r="C967" s="60"/>
      <c r="D967" s="60"/>
      <c r="E967" s="6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171"/>
      <c r="Y967" s="171"/>
      <c r="Z967" s="171"/>
      <c r="AA967" s="171"/>
      <c r="AB967" s="172"/>
    </row>
    <row r="968" spans="1:29" s="170" customFormat="1">
      <c r="A968" s="60" t="s">
        <v>126</v>
      </c>
      <c r="B968" s="60"/>
      <c r="C968" s="60"/>
      <c r="D968" s="60"/>
      <c r="E968" s="60"/>
      <c r="F968" s="79">
        <v>6223717.4794520549</v>
      </c>
      <c r="G968" s="79">
        <f>'Billing Det'!$B8*12</f>
        <v>4520028.6328767128</v>
      </c>
      <c r="H968" s="79">
        <f>'Billing Det'!$B10*12</f>
        <v>11157</v>
      </c>
      <c r="I968" s="79">
        <f>'Billing Det'!$B12*12</f>
        <v>544311.87945205474</v>
      </c>
      <c r="J968" s="79">
        <f>'Billing Det'!$B14*12</f>
        <v>840</v>
      </c>
      <c r="K968" s="79">
        <f>'Billing Det'!$B16*12</f>
        <v>33388.767123287675</v>
      </c>
      <c r="L968" s="79">
        <f>'Billing Det'!$B18*12</f>
        <v>1579.1342465753423</v>
      </c>
      <c r="M968" s="79">
        <f>'Billing Det'!$B20*12</f>
        <v>6060.0657534246575</v>
      </c>
      <c r="N968" s="79">
        <f>'Billing Det'!$B22*12</f>
        <v>156</v>
      </c>
      <c r="O968" s="79">
        <f>'Billing Det'!$B24*12</f>
        <v>24</v>
      </c>
      <c r="P968" s="79">
        <f>'Billing Det'!$B26*12</f>
        <v>1092108</v>
      </c>
      <c r="Q968" s="79">
        <f>'Billing Det'!$B28*12</f>
        <v>1932</v>
      </c>
      <c r="R968" s="79">
        <f>'Billing Det'!$B30*12</f>
        <v>12000</v>
      </c>
      <c r="S968" s="79">
        <f>'Billing Det'!$B32*12</f>
        <v>12</v>
      </c>
      <c r="T968" s="79">
        <f>'Billing Det'!$B34*12</f>
        <v>120</v>
      </c>
      <c r="U968" s="79">
        <f>'Billing Det'!$B36*12</f>
        <v>0</v>
      </c>
      <c r="V968" s="79">
        <f>'Billing Det'!$B38*12</f>
        <v>0</v>
      </c>
      <c r="W968" s="79">
        <v>0</v>
      </c>
      <c r="X968" s="171">
        <v>0</v>
      </c>
      <c r="Y968" s="171">
        <v>0</v>
      </c>
      <c r="Z968" s="171">
        <v>0</v>
      </c>
      <c r="AA968" s="171">
        <f t="shared" si="460"/>
        <v>6223717.4794520549</v>
      </c>
      <c r="AB968" s="172" t="str">
        <f t="shared" ref="AB968:AB976" si="462">IF(ABS(F968-AA968)&lt;0.01,"ok","err")</f>
        <v>ok</v>
      </c>
    </row>
    <row r="969" spans="1:29" s="170" customFormat="1">
      <c r="A969" s="60" t="s">
        <v>127</v>
      </c>
      <c r="B969" s="60"/>
      <c r="C969" s="60"/>
      <c r="D969" s="60"/>
      <c r="E969" s="60"/>
      <c r="F969" s="79">
        <v>518643.12328767136</v>
      </c>
      <c r="G969" s="79">
        <f>G968/12</f>
        <v>376669.05273972609</v>
      </c>
      <c r="H969" s="79">
        <f t="shared" ref="H969:P969" si="463">H968/12</f>
        <v>929.75</v>
      </c>
      <c r="I969" s="79">
        <f t="shared" si="463"/>
        <v>45359.323287671228</v>
      </c>
      <c r="J969" s="79">
        <f t="shared" si="463"/>
        <v>70</v>
      </c>
      <c r="K969" s="79">
        <f t="shared" si="463"/>
        <v>2782.3972602739727</v>
      </c>
      <c r="L969" s="79">
        <f t="shared" si="463"/>
        <v>131.59452054794519</v>
      </c>
      <c r="M969" s="79">
        <f t="shared" si="463"/>
        <v>505.00547945205477</v>
      </c>
      <c r="N969" s="79">
        <f t="shared" si="463"/>
        <v>13</v>
      </c>
      <c r="O969" s="79">
        <f>O968/12</f>
        <v>2</v>
      </c>
      <c r="P969" s="79">
        <f t="shared" si="463"/>
        <v>91009</v>
      </c>
      <c r="Q969" s="79">
        <f>Q968/12</f>
        <v>161</v>
      </c>
      <c r="R969" s="79">
        <f>R968/12</f>
        <v>1000</v>
      </c>
      <c r="S969" s="79">
        <f>S968/12</f>
        <v>1</v>
      </c>
      <c r="T969" s="79">
        <f>T968/12</f>
        <v>10</v>
      </c>
      <c r="U969" s="79">
        <f t="shared" ref="U969:Z969" si="464">U968/12</f>
        <v>0</v>
      </c>
      <c r="V969" s="79">
        <f t="shared" si="464"/>
        <v>0</v>
      </c>
      <c r="W969" s="79">
        <f t="shared" si="464"/>
        <v>0</v>
      </c>
      <c r="X969" s="171">
        <f t="shared" si="464"/>
        <v>0</v>
      </c>
      <c r="Y969" s="171">
        <f t="shared" si="464"/>
        <v>0</v>
      </c>
      <c r="Z969" s="171">
        <f t="shared" si="464"/>
        <v>0</v>
      </c>
      <c r="AA969" s="171">
        <f t="shared" si="460"/>
        <v>518643.12328767136</v>
      </c>
      <c r="AB969" s="172" t="str">
        <f t="shared" si="462"/>
        <v>ok</v>
      </c>
    </row>
    <row r="970" spans="1:29" s="170" customFormat="1">
      <c r="A970" s="60" t="s">
        <v>128</v>
      </c>
      <c r="B970" s="60"/>
      <c r="C970" s="60"/>
      <c r="D970" s="60"/>
      <c r="E970" s="60"/>
      <c r="F970" s="79">
        <v>518643.12328767136</v>
      </c>
      <c r="G970" s="112">
        <f>G969</f>
        <v>376669.05273972609</v>
      </c>
      <c r="H970" s="112">
        <f t="shared" ref="H970:M970" si="465">H969</f>
        <v>929.75</v>
      </c>
      <c r="I970" s="112">
        <f t="shared" si="465"/>
        <v>45359.323287671228</v>
      </c>
      <c r="J970" s="112">
        <f t="shared" si="465"/>
        <v>70</v>
      </c>
      <c r="K970" s="112">
        <f t="shared" si="465"/>
        <v>2782.3972602739727</v>
      </c>
      <c r="L970" s="112">
        <f t="shared" si="465"/>
        <v>131.59452054794519</v>
      </c>
      <c r="M970" s="112">
        <f t="shared" si="465"/>
        <v>505.00547945205477</v>
      </c>
      <c r="N970" s="112">
        <f t="shared" ref="N970:T970" si="466">N969</f>
        <v>13</v>
      </c>
      <c r="O970" s="112">
        <f>O969</f>
        <v>2</v>
      </c>
      <c r="P970" s="112">
        <f t="shared" si="466"/>
        <v>91009</v>
      </c>
      <c r="Q970" s="112">
        <f t="shared" si="466"/>
        <v>161</v>
      </c>
      <c r="R970" s="112">
        <f t="shared" si="466"/>
        <v>1000</v>
      </c>
      <c r="S970" s="112">
        <f t="shared" si="466"/>
        <v>1</v>
      </c>
      <c r="T970" s="112">
        <f t="shared" si="466"/>
        <v>10</v>
      </c>
      <c r="U970" s="112">
        <f t="shared" ref="U970:Z971" si="467">U969</f>
        <v>0</v>
      </c>
      <c r="V970" s="112">
        <f t="shared" si="467"/>
        <v>0</v>
      </c>
      <c r="W970" s="112">
        <f t="shared" si="467"/>
        <v>0</v>
      </c>
      <c r="X970" s="174">
        <f t="shared" si="467"/>
        <v>0</v>
      </c>
      <c r="Y970" s="174">
        <f t="shared" si="467"/>
        <v>0</v>
      </c>
      <c r="Z970" s="174">
        <f t="shared" si="467"/>
        <v>0</v>
      </c>
      <c r="AA970" s="171">
        <f t="shared" si="460"/>
        <v>518643.12328767136</v>
      </c>
      <c r="AB970" s="172" t="str">
        <f t="shared" si="462"/>
        <v>ok</v>
      </c>
    </row>
    <row r="971" spans="1:29" s="170" customFormat="1">
      <c r="A971" s="60" t="s">
        <v>1199</v>
      </c>
      <c r="B971" s="60"/>
      <c r="C971" s="60"/>
      <c r="D971" s="60" t="s">
        <v>154</v>
      </c>
      <c r="E971" s="60"/>
      <c r="F971" s="79">
        <v>509095.54672754952</v>
      </c>
      <c r="G971" s="112">
        <f>G970</f>
        <v>376669.05273972609</v>
      </c>
      <c r="H971" s="112">
        <f>H970</f>
        <v>929.75</v>
      </c>
      <c r="I971" s="112">
        <f>I970*2</f>
        <v>90718.646575342456</v>
      </c>
      <c r="J971" s="112">
        <f>J970*5</f>
        <v>350</v>
      </c>
      <c r="K971" s="112">
        <f>K970*5</f>
        <v>13911.986301369863</v>
      </c>
      <c r="L971" s="112">
        <f>L970*25</f>
        <v>3289.8630136986299</v>
      </c>
      <c r="M971" s="112">
        <f>M970*25</f>
        <v>12625.13698630137</v>
      </c>
      <c r="N971" s="112">
        <f>N970*25</f>
        <v>325</v>
      </c>
      <c r="O971" s="112">
        <f>O970*5</f>
        <v>10</v>
      </c>
      <c r="P971" s="112">
        <f>P970*(1/9)</f>
        <v>10112.111111111111</v>
      </c>
      <c r="Q971" s="112">
        <f>Q970*(1/9)</f>
        <v>17.888888888888889</v>
      </c>
      <c r="R971" s="112">
        <f>R970*(1/9)</f>
        <v>111.1111111111111</v>
      </c>
      <c r="S971" s="112">
        <f>S970*5</f>
        <v>5</v>
      </c>
      <c r="T971" s="112">
        <f>T970*2</f>
        <v>20</v>
      </c>
      <c r="U971" s="112">
        <f>U970</f>
        <v>0</v>
      </c>
      <c r="V971" s="112">
        <f t="shared" si="467"/>
        <v>0</v>
      </c>
      <c r="W971" s="112">
        <f t="shared" si="467"/>
        <v>0</v>
      </c>
      <c r="X971" s="174">
        <f t="shared" si="467"/>
        <v>0</v>
      </c>
      <c r="Y971" s="174">
        <f t="shared" si="467"/>
        <v>0</v>
      </c>
      <c r="Z971" s="174">
        <f t="shared" si="467"/>
        <v>0</v>
      </c>
      <c r="AA971" s="171">
        <f t="shared" si="460"/>
        <v>509095.54672754952</v>
      </c>
      <c r="AB971" s="172" t="str">
        <f t="shared" si="462"/>
        <v>ok</v>
      </c>
    </row>
    <row r="972" spans="1:29" s="170" customFormat="1">
      <c r="A972" s="60" t="s">
        <v>1010</v>
      </c>
      <c r="B972" s="60"/>
      <c r="C972" s="60"/>
      <c r="D972" s="60" t="s">
        <v>131</v>
      </c>
      <c r="E972" s="60"/>
      <c r="F972" s="79">
        <v>91009</v>
      </c>
      <c r="G972" s="60"/>
      <c r="H972" s="60"/>
      <c r="I972" s="60"/>
      <c r="J972" s="60"/>
      <c r="K972" s="112"/>
      <c r="L972" s="79">
        <v>0</v>
      </c>
      <c r="M972" s="60"/>
      <c r="N972" s="112">
        <v>0</v>
      </c>
      <c r="O972" s="112">
        <v>0</v>
      </c>
      <c r="P972" s="112">
        <f>P970</f>
        <v>91009</v>
      </c>
      <c r="Q972" s="112">
        <v>0</v>
      </c>
      <c r="R972" s="112">
        <v>0</v>
      </c>
      <c r="S972" s="112"/>
      <c r="T972" s="112"/>
      <c r="U972" s="112"/>
      <c r="V972" s="112"/>
      <c r="W972" s="112"/>
      <c r="X972" s="174"/>
      <c r="Y972" s="174"/>
      <c r="Z972" s="174"/>
      <c r="AA972" s="171">
        <f t="shared" si="460"/>
        <v>91009</v>
      </c>
      <c r="AB972" s="172" t="str">
        <f t="shared" si="462"/>
        <v>ok</v>
      </c>
    </row>
    <row r="973" spans="1:29" s="170" customFormat="1">
      <c r="A973" s="60" t="s">
        <v>153</v>
      </c>
      <c r="B973" s="60"/>
      <c r="C973" s="60"/>
      <c r="D973" s="60" t="s">
        <v>130</v>
      </c>
      <c r="E973" s="60"/>
      <c r="F973" s="79">
        <v>518643.12328767136</v>
      </c>
      <c r="G973" s="112">
        <f>G970</f>
        <v>376669.05273972609</v>
      </c>
      <c r="H973" s="112">
        <f t="shared" ref="H973:U973" si="468">H970</f>
        <v>929.75</v>
      </c>
      <c r="I973" s="112">
        <f t="shared" si="468"/>
        <v>45359.323287671228</v>
      </c>
      <c r="J973" s="112">
        <f t="shared" si="468"/>
        <v>70</v>
      </c>
      <c r="K973" s="112">
        <f t="shared" si="468"/>
        <v>2782.3972602739727</v>
      </c>
      <c r="L973" s="112">
        <f t="shared" si="468"/>
        <v>131.59452054794519</v>
      </c>
      <c r="M973" s="112">
        <f t="shared" si="468"/>
        <v>505.00547945205477</v>
      </c>
      <c r="N973" s="112">
        <f t="shared" si="468"/>
        <v>13</v>
      </c>
      <c r="O973" s="112">
        <f t="shared" si="468"/>
        <v>2</v>
      </c>
      <c r="P973" s="112">
        <f>P970</f>
        <v>91009</v>
      </c>
      <c r="Q973" s="112">
        <f t="shared" si="468"/>
        <v>161</v>
      </c>
      <c r="R973" s="112">
        <f t="shared" si="468"/>
        <v>1000</v>
      </c>
      <c r="S973" s="112">
        <f t="shared" si="468"/>
        <v>1</v>
      </c>
      <c r="T973" s="112">
        <f t="shared" si="468"/>
        <v>10</v>
      </c>
      <c r="U973" s="112">
        <f t="shared" si="468"/>
        <v>0</v>
      </c>
      <c r="V973" s="112">
        <f t="shared" ref="V973:W973" si="469">V970</f>
        <v>0</v>
      </c>
      <c r="W973" s="112">
        <f t="shared" si="469"/>
        <v>0</v>
      </c>
      <c r="X973" s="174">
        <f>X971</f>
        <v>0</v>
      </c>
      <c r="Y973" s="174">
        <f>Y971</f>
        <v>0</v>
      </c>
      <c r="Z973" s="174">
        <f>Z971</f>
        <v>0</v>
      </c>
      <c r="AA973" s="171">
        <f t="shared" si="460"/>
        <v>518643.12328767136</v>
      </c>
      <c r="AB973" s="172" t="str">
        <f t="shared" si="462"/>
        <v>ok</v>
      </c>
    </row>
    <row r="974" spans="1:29" s="170" customFormat="1">
      <c r="A974" s="60" t="s">
        <v>1200</v>
      </c>
      <c r="B974" s="60"/>
      <c r="C974" s="60"/>
      <c r="D974" s="60" t="s">
        <v>155</v>
      </c>
      <c r="E974" s="60"/>
      <c r="F974" s="79">
        <v>436714.23439878249</v>
      </c>
      <c r="G974" s="112">
        <f>G970</f>
        <v>376669.05273972609</v>
      </c>
      <c r="H974" s="112">
        <f t="shared" ref="H974:N974" si="470">H970</f>
        <v>929.75</v>
      </c>
      <c r="I974" s="112">
        <f t="shared" si="470"/>
        <v>45359.323287671228</v>
      </c>
      <c r="J974" s="112">
        <f t="shared" si="470"/>
        <v>70</v>
      </c>
      <c r="K974" s="112">
        <f t="shared" si="470"/>
        <v>2782.3972602739727</v>
      </c>
      <c r="L974" s="112">
        <f t="shared" si="470"/>
        <v>131.59452054794519</v>
      </c>
      <c r="M974" s="112">
        <f t="shared" si="470"/>
        <v>505.00547945205477</v>
      </c>
      <c r="N974" s="112">
        <f t="shared" si="470"/>
        <v>13</v>
      </c>
      <c r="O974" s="112">
        <f>O973</f>
        <v>2</v>
      </c>
      <c r="P974" s="112">
        <f>P970/9</f>
        <v>10112.111111111111</v>
      </c>
      <c r="Q974" s="112">
        <f>Q970/9</f>
        <v>17.888888888888889</v>
      </c>
      <c r="R974" s="112">
        <f>R971</f>
        <v>111.1111111111111</v>
      </c>
      <c r="S974" s="112">
        <f t="shared" ref="S974:U974" si="471">S970</f>
        <v>1</v>
      </c>
      <c r="T974" s="112">
        <f t="shared" si="471"/>
        <v>10</v>
      </c>
      <c r="U974" s="112">
        <f t="shared" si="471"/>
        <v>0</v>
      </c>
      <c r="V974" s="112">
        <f t="shared" ref="V974:W974" si="472">V973</f>
        <v>0</v>
      </c>
      <c r="W974" s="112">
        <f t="shared" si="472"/>
        <v>0</v>
      </c>
      <c r="X974" s="174"/>
      <c r="Y974" s="174"/>
      <c r="Z974" s="174"/>
      <c r="AA974" s="171">
        <f t="shared" si="460"/>
        <v>436714.23439878249</v>
      </c>
      <c r="AB974" s="172" t="str">
        <f t="shared" si="462"/>
        <v>ok</v>
      </c>
    </row>
    <row r="975" spans="1:29" s="170" customFormat="1">
      <c r="A975" s="60" t="s">
        <v>809</v>
      </c>
      <c r="B975" s="60"/>
      <c r="C975" s="60"/>
      <c r="D975" s="60" t="s">
        <v>657</v>
      </c>
      <c r="E975" s="60"/>
      <c r="F975" s="79">
        <v>433209.23713850847</v>
      </c>
      <c r="G975" s="112">
        <f>G974</f>
        <v>376669.05273972609</v>
      </c>
      <c r="H975" s="112">
        <f>H974</f>
        <v>929.75</v>
      </c>
      <c r="I975" s="112">
        <f>I973</f>
        <v>45359.323287671228</v>
      </c>
      <c r="J975" s="112">
        <v>0</v>
      </c>
      <c r="K975" s="112">
        <v>0</v>
      </c>
      <c r="L975" s="112">
        <v>0</v>
      </c>
      <c r="M975" s="112">
        <v>0</v>
      </c>
      <c r="N975" s="112">
        <v>0</v>
      </c>
      <c r="O975" s="112">
        <v>0</v>
      </c>
      <c r="P975" s="112">
        <f>P974</f>
        <v>10112.111111111111</v>
      </c>
      <c r="Q975" s="112">
        <f>Q974</f>
        <v>17.888888888888889</v>
      </c>
      <c r="R975" s="112">
        <f>R974</f>
        <v>111.1111111111111</v>
      </c>
      <c r="S975" s="112">
        <v>0</v>
      </c>
      <c r="T975" s="112">
        <f>T973</f>
        <v>10</v>
      </c>
      <c r="U975" s="112">
        <f>U973</f>
        <v>0</v>
      </c>
      <c r="V975" s="112">
        <v>0</v>
      </c>
      <c r="W975" s="112">
        <f>W974</f>
        <v>0</v>
      </c>
      <c r="X975" s="174"/>
      <c r="Y975" s="174"/>
      <c r="Z975" s="174"/>
      <c r="AA975" s="171">
        <f>SUM(G975:Z975)</f>
        <v>433209.23713850847</v>
      </c>
      <c r="AB975" s="172" t="str">
        <f t="shared" si="462"/>
        <v>ok</v>
      </c>
    </row>
    <row r="976" spans="1:29" s="170" customFormat="1">
      <c r="A976" s="60" t="s">
        <v>810</v>
      </c>
      <c r="B976" s="60"/>
      <c r="C976" s="60"/>
      <c r="D976" s="60" t="s">
        <v>658</v>
      </c>
      <c r="E976" s="60"/>
      <c r="F976" s="79">
        <v>436701.23439878249</v>
      </c>
      <c r="G976" s="112">
        <f>G974</f>
        <v>376669.05273972609</v>
      </c>
      <c r="H976" s="112">
        <f t="shared" ref="H976:U976" si="473">H974</f>
        <v>929.75</v>
      </c>
      <c r="I976" s="112">
        <f t="shared" si="473"/>
        <v>45359.323287671228</v>
      </c>
      <c r="J976" s="112">
        <f t="shared" si="473"/>
        <v>70</v>
      </c>
      <c r="K976" s="112">
        <f t="shared" si="473"/>
        <v>2782.3972602739727</v>
      </c>
      <c r="L976" s="112">
        <f t="shared" si="473"/>
        <v>131.59452054794519</v>
      </c>
      <c r="M976" s="112">
        <f t="shared" si="473"/>
        <v>505.00547945205477</v>
      </c>
      <c r="N976" s="112">
        <v>0</v>
      </c>
      <c r="O976" s="112">
        <f t="shared" si="473"/>
        <v>2</v>
      </c>
      <c r="P976" s="112">
        <f t="shared" ref="P976:Q976" si="474">P974</f>
        <v>10112.111111111111</v>
      </c>
      <c r="Q976" s="112">
        <f t="shared" si="474"/>
        <v>17.888888888888889</v>
      </c>
      <c r="R976" s="112">
        <f t="shared" si="473"/>
        <v>111.1111111111111</v>
      </c>
      <c r="S976" s="112">
        <f t="shared" si="473"/>
        <v>1</v>
      </c>
      <c r="T976" s="112">
        <f t="shared" si="473"/>
        <v>10</v>
      </c>
      <c r="U976" s="112">
        <f t="shared" si="473"/>
        <v>0</v>
      </c>
      <c r="V976" s="112">
        <f>V973</f>
        <v>0</v>
      </c>
      <c r="W976" s="112">
        <f>W973</f>
        <v>0</v>
      </c>
      <c r="X976" s="174">
        <f>X975</f>
        <v>0</v>
      </c>
      <c r="Y976" s="174">
        <f>Y975</f>
        <v>0</v>
      </c>
      <c r="Z976" s="174">
        <f>Z975</f>
        <v>0</v>
      </c>
      <c r="AA976" s="171">
        <f>SUM(G976:Z976)</f>
        <v>436701.23439878249</v>
      </c>
      <c r="AB976" s="172" t="str">
        <f t="shared" si="462"/>
        <v>ok</v>
      </c>
    </row>
    <row r="977" spans="1:29" s="170" customFormat="1">
      <c r="A977" s="60" t="s">
        <v>1204</v>
      </c>
      <c r="B977" s="60"/>
      <c r="C977" s="60"/>
      <c r="D977" s="60" t="s">
        <v>1205</v>
      </c>
      <c r="E977" s="60"/>
      <c r="F977" s="79">
        <v>436497.63987823453</v>
      </c>
      <c r="G977" s="112">
        <f>G976</f>
        <v>376669.05273972609</v>
      </c>
      <c r="H977" s="112">
        <f>H976</f>
        <v>929.75</v>
      </c>
      <c r="I977" s="112">
        <f>I976</f>
        <v>45359.323287671228</v>
      </c>
      <c r="J977" s="112">
        <v>0</v>
      </c>
      <c r="K977" s="112">
        <f>K976</f>
        <v>2782.3972602739727</v>
      </c>
      <c r="L977" s="112">
        <v>0</v>
      </c>
      <c r="M977" s="112">
        <f>M976</f>
        <v>505.00547945205477</v>
      </c>
      <c r="N977" s="112">
        <v>0</v>
      </c>
      <c r="O977" s="112">
        <v>0</v>
      </c>
      <c r="P977" s="112">
        <f t="shared" ref="P977:Q977" si="475">P976</f>
        <v>10112.111111111111</v>
      </c>
      <c r="Q977" s="112">
        <f t="shared" si="475"/>
        <v>17.888888888888889</v>
      </c>
      <c r="R977" s="112">
        <f t="shared" ref="R977:U977" si="476">R976</f>
        <v>111.1111111111111</v>
      </c>
      <c r="S977" s="112">
        <f t="shared" si="476"/>
        <v>1</v>
      </c>
      <c r="T977" s="112">
        <f t="shared" si="476"/>
        <v>10</v>
      </c>
      <c r="U977" s="112">
        <f t="shared" si="476"/>
        <v>0</v>
      </c>
      <c r="V977" s="112"/>
      <c r="W977" s="112"/>
      <c r="X977" s="174"/>
      <c r="Y977" s="174"/>
      <c r="Z977" s="174"/>
      <c r="AA977" s="171">
        <f>SUM(G977:Z977)</f>
        <v>436497.63987823453</v>
      </c>
      <c r="AB977" s="172" t="str">
        <f>IF(ABS(F977-AA977)&lt;0.01,"ok","err")</f>
        <v>ok</v>
      </c>
    </row>
    <row r="978" spans="1:29" s="170" customFormat="1">
      <c r="A978" s="60"/>
      <c r="B978" s="60"/>
      <c r="C978" s="60"/>
      <c r="D978" s="60"/>
      <c r="E978" s="60"/>
      <c r="F978" s="79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74"/>
      <c r="Y978" s="174"/>
      <c r="Z978" s="174"/>
      <c r="AA978" s="171"/>
      <c r="AB978" s="172"/>
    </row>
    <row r="979" spans="1:29" s="170" customFormat="1" ht="14.1">
      <c r="A979" s="65" t="s">
        <v>1363</v>
      </c>
      <c r="B979" s="60"/>
      <c r="C979" s="60"/>
      <c r="D979" s="60"/>
      <c r="E979" s="6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171"/>
      <c r="Y979" s="171"/>
      <c r="Z979" s="171"/>
      <c r="AA979" s="171"/>
      <c r="AB979" s="172"/>
    </row>
    <row r="980" spans="1:29" s="170" customFormat="1">
      <c r="A980" s="60" t="s">
        <v>1202</v>
      </c>
      <c r="B980" s="60"/>
      <c r="C980" s="60"/>
      <c r="D980" s="60"/>
      <c r="E980" s="60"/>
      <c r="F980" s="79">
        <v>518575</v>
      </c>
      <c r="G980" s="79">
        <f>377394+163-H980</f>
        <v>376627.25</v>
      </c>
      <c r="H980" s="79">
        <f>H969</f>
        <v>929.75</v>
      </c>
      <c r="I980" s="79">
        <f>16565+28767</f>
        <v>45332</v>
      </c>
      <c r="J980" s="79">
        <v>70</v>
      </c>
      <c r="K980" s="79">
        <v>2783</v>
      </c>
      <c r="L980" s="79">
        <f>132</f>
        <v>132</v>
      </c>
      <c r="M980" s="79">
        <f>505</f>
        <v>505</v>
      </c>
      <c r="N980" s="79">
        <f>13</f>
        <v>13</v>
      </c>
      <c r="O980" s="79">
        <v>2</v>
      </c>
      <c r="P980" s="79">
        <f t="shared" ref="P980:S980" si="477">P969</f>
        <v>91009</v>
      </c>
      <c r="Q980" s="79">
        <f t="shared" si="477"/>
        <v>161</v>
      </c>
      <c r="R980" s="79">
        <f t="shared" si="477"/>
        <v>1000</v>
      </c>
      <c r="S980" s="79">
        <f t="shared" si="477"/>
        <v>1</v>
      </c>
      <c r="T980" s="79">
        <f>T969</f>
        <v>10</v>
      </c>
      <c r="U980" s="79">
        <f>U969</f>
        <v>0</v>
      </c>
      <c r="V980" s="79">
        <f>V969</f>
        <v>0</v>
      </c>
      <c r="W980" s="79">
        <v>0</v>
      </c>
      <c r="X980" s="171">
        <v>0</v>
      </c>
      <c r="Y980" s="171">
        <v>0</v>
      </c>
      <c r="Z980" s="171">
        <v>0</v>
      </c>
      <c r="AA980" s="171">
        <f t="shared" ref="AA980:AA985" si="478">SUM(G980:Z980)</f>
        <v>518575</v>
      </c>
      <c r="AB980" s="172" t="str">
        <f t="shared" ref="AB980:AB987" si="479">IF(ABS(F980-AA980)&lt;0.01,"ok","err")</f>
        <v>ok</v>
      </c>
    </row>
    <row r="981" spans="1:29" s="170" customFormat="1">
      <c r="A981" s="60" t="s">
        <v>1331</v>
      </c>
      <c r="B981" s="60"/>
      <c r="C981" s="60"/>
      <c r="D981" s="60"/>
      <c r="E981" s="60"/>
      <c r="F981" s="79">
        <v>435622</v>
      </c>
      <c r="G981" s="112">
        <f>G980</f>
        <v>376627.25</v>
      </c>
      <c r="H981" s="112">
        <f t="shared" ref="H981:U981" si="480">H980</f>
        <v>929.75</v>
      </c>
      <c r="I981" s="112">
        <f t="shared" si="480"/>
        <v>45332</v>
      </c>
      <c r="J981" s="112">
        <f t="shared" si="480"/>
        <v>70</v>
      </c>
      <c r="K981" s="112">
        <f t="shared" si="480"/>
        <v>2783</v>
      </c>
      <c r="L981" s="112">
        <f t="shared" si="480"/>
        <v>132</v>
      </c>
      <c r="M981" s="112">
        <f t="shared" si="480"/>
        <v>505</v>
      </c>
      <c r="N981" s="112">
        <f t="shared" si="480"/>
        <v>13</v>
      </c>
      <c r="O981" s="112">
        <f>O980</f>
        <v>2</v>
      </c>
      <c r="P981" s="112">
        <f t="shared" ref="P981:R981" si="481">P980/10</f>
        <v>9100.9</v>
      </c>
      <c r="Q981" s="112">
        <f t="shared" si="481"/>
        <v>16.100000000000001</v>
      </c>
      <c r="R981" s="112">
        <f t="shared" si="481"/>
        <v>100</v>
      </c>
      <c r="S981" s="112">
        <f>S980</f>
        <v>1</v>
      </c>
      <c r="T981" s="112">
        <f t="shared" si="480"/>
        <v>10</v>
      </c>
      <c r="U981" s="112">
        <f t="shared" si="480"/>
        <v>0</v>
      </c>
      <c r="V981" s="112">
        <f t="shared" ref="V981:Z982" si="482">V980</f>
        <v>0</v>
      </c>
      <c r="W981" s="112">
        <f t="shared" si="482"/>
        <v>0</v>
      </c>
      <c r="X981" s="174">
        <f t="shared" si="482"/>
        <v>0</v>
      </c>
      <c r="Y981" s="174">
        <f t="shared" si="482"/>
        <v>0</v>
      </c>
      <c r="Z981" s="174">
        <f t="shared" si="482"/>
        <v>0</v>
      </c>
      <c r="AA981" s="171">
        <f t="shared" si="478"/>
        <v>435622</v>
      </c>
      <c r="AB981" s="172" t="str">
        <f t="shared" si="479"/>
        <v>ok</v>
      </c>
    </row>
    <row r="982" spans="1:29" s="170" customFormat="1">
      <c r="A982" s="60" t="s">
        <v>1203</v>
      </c>
      <c r="B982" s="60"/>
      <c r="C982" s="60"/>
      <c r="D982" s="60" t="s">
        <v>1364</v>
      </c>
      <c r="E982" s="60"/>
      <c r="F982" s="79">
        <v>507988</v>
      </c>
      <c r="G982" s="112">
        <f>G981</f>
        <v>376627.25</v>
      </c>
      <c r="H982" s="112">
        <f>H981</f>
        <v>929.75</v>
      </c>
      <c r="I982" s="112">
        <f>I981*2</f>
        <v>90664</v>
      </c>
      <c r="J982" s="112">
        <f>J981*5</f>
        <v>350</v>
      </c>
      <c r="K982" s="112">
        <f>K981*5</f>
        <v>13915</v>
      </c>
      <c r="L982" s="112">
        <f>L981*25</f>
        <v>3300</v>
      </c>
      <c r="M982" s="112">
        <f>M981*25</f>
        <v>12625</v>
      </c>
      <c r="N982" s="112">
        <f>N981*25</f>
        <v>325</v>
      </c>
      <c r="O982" s="112">
        <f>O981*5</f>
        <v>10</v>
      </c>
      <c r="P982" s="112">
        <f t="shared" ref="P982:Q982" si="483">P981</f>
        <v>9100.9</v>
      </c>
      <c r="Q982" s="112">
        <f t="shared" si="483"/>
        <v>16.100000000000001</v>
      </c>
      <c r="R982" s="112">
        <f>R981</f>
        <v>100</v>
      </c>
      <c r="S982" s="112">
        <f>S981*5</f>
        <v>5</v>
      </c>
      <c r="T982" s="112">
        <f>T981*2</f>
        <v>20</v>
      </c>
      <c r="U982" s="112">
        <f>U981</f>
        <v>0</v>
      </c>
      <c r="V982" s="112">
        <f t="shared" si="482"/>
        <v>0</v>
      </c>
      <c r="W982" s="112">
        <f t="shared" si="482"/>
        <v>0</v>
      </c>
      <c r="X982" s="174">
        <f t="shared" si="482"/>
        <v>0</v>
      </c>
      <c r="Y982" s="174">
        <f t="shared" si="482"/>
        <v>0</v>
      </c>
      <c r="Z982" s="174">
        <f t="shared" si="482"/>
        <v>0</v>
      </c>
      <c r="AA982" s="171">
        <f t="shared" si="478"/>
        <v>507988</v>
      </c>
      <c r="AB982" s="172" t="str">
        <f t="shared" si="479"/>
        <v>ok</v>
      </c>
    </row>
    <row r="983" spans="1:29" s="170" customFormat="1">
      <c r="A983" s="111" t="s">
        <v>609</v>
      </c>
      <c r="B983" s="60"/>
      <c r="C983" s="60"/>
      <c r="D983" s="60" t="s">
        <v>1365</v>
      </c>
      <c r="E983" s="60"/>
      <c r="F983" s="112">
        <v>126670914.05123466</v>
      </c>
      <c r="G983" s="60"/>
      <c r="H983" s="60"/>
      <c r="I983" s="60"/>
      <c r="J983" s="60"/>
      <c r="K983" s="112"/>
      <c r="L983" s="79">
        <v>0</v>
      </c>
      <c r="M983" s="60"/>
      <c r="N983" s="112">
        <v>0</v>
      </c>
      <c r="O983" s="112"/>
      <c r="P983" s="112">
        <f>F983</f>
        <v>126670914.05123466</v>
      </c>
      <c r="Q983" s="112">
        <v>0</v>
      </c>
      <c r="R983" s="112">
        <v>0</v>
      </c>
      <c r="S983" s="112">
        <v>0</v>
      </c>
      <c r="T983" s="112">
        <v>0</v>
      </c>
      <c r="U983" s="112">
        <v>0</v>
      </c>
      <c r="V983" s="112">
        <v>0</v>
      </c>
      <c r="W983" s="112">
        <v>0</v>
      </c>
      <c r="X983" s="174"/>
      <c r="Y983" s="174"/>
      <c r="Z983" s="174"/>
      <c r="AA983" s="171">
        <f t="shared" si="478"/>
        <v>126670914.05123466</v>
      </c>
      <c r="AB983" s="172" t="str">
        <f t="shared" si="479"/>
        <v>ok</v>
      </c>
    </row>
    <row r="984" spans="1:29" s="170" customFormat="1">
      <c r="A984" s="60" t="s">
        <v>153</v>
      </c>
      <c r="B984" s="60"/>
      <c r="C984" s="60"/>
      <c r="D984" s="60" t="s">
        <v>1366</v>
      </c>
      <c r="E984" s="60"/>
      <c r="F984" s="79">
        <v>518575</v>
      </c>
      <c r="G984" s="112">
        <f>G980</f>
        <v>376627.25</v>
      </c>
      <c r="H984" s="112">
        <f>H981</f>
        <v>929.75</v>
      </c>
      <c r="I984" s="112">
        <f>I981</f>
        <v>45332</v>
      </c>
      <c r="J984" s="112">
        <f>J981</f>
        <v>70</v>
      </c>
      <c r="K984" s="112">
        <f t="shared" ref="K984:W984" si="484">K981</f>
        <v>2783</v>
      </c>
      <c r="L984" s="112">
        <f t="shared" si="484"/>
        <v>132</v>
      </c>
      <c r="M984" s="112">
        <f t="shared" si="484"/>
        <v>505</v>
      </c>
      <c r="N984" s="112">
        <f t="shared" si="484"/>
        <v>13</v>
      </c>
      <c r="O984" s="112">
        <f t="shared" si="484"/>
        <v>2</v>
      </c>
      <c r="P984" s="112">
        <f t="shared" ref="P984:R984" si="485">P980</f>
        <v>91009</v>
      </c>
      <c r="Q984" s="112">
        <f t="shared" si="485"/>
        <v>161</v>
      </c>
      <c r="R984" s="112">
        <f t="shared" si="485"/>
        <v>1000</v>
      </c>
      <c r="S984" s="112">
        <f>S980</f>
        <v>1</v>
      </c>
      <c r="T984" s="112">
        <f t="shared" si="484"/>
        <v>10</v>
      </c>
      <c r="U984" s="112">
        <f t="shared" si="484"/>
        <v>0</v>
      </c>
      <c r="V984" s="112">
        <f t="shared" si="484"/>
        <v>0</v>
      </c>
      <c r="W984" s="112">
        <f t="shared" si="484"/>
        <v>0</v>
      </c>
      <c r="X984" s="174">
        <f>X982</f>
        <v>0</v>
      </c>
      <c r="Y984" s="174">
        <f>Y982</f>
        <v>0</v>
      </c>
      <c r="Z984" s="174">
        <f>Z982</f>
        <v>0</v>
      </c>
      <c r="AA984" s="171">
        <f t="shared" si="478"/>
        <v>518575</v>
      </c>
      <c r="AB984" s="172" t="str">
        <f t="shared" si="479"/>
        <v>ok</v>
      </c>
    </row>
    <row r="985" spans="1:29" s="170" customFormat="1">
      <c r="A985" s="60" t="s">
        <v>1200</v>
      </c>
      <c r="B985" s="60"/>
      <c r="C985" s="60"/>
      <c r="D985" s="60" t="s">
        <v>1370</v>
      </c>
      <c r="E985" s="60"/>
      <c r="F985" s="79">
        <v>435622</v>
      </c>
      <c r="G985" s="112">
        <f>G981</f>
        <v>376627.25</v>
      </c>
      <c r="H985" s="112">
        <f t="shared" ref="H985:N985" si="486">H981</f>
        <v>929.75</v>
      </c>
      <c r="I985" s="112">
        <f t="shared" si="486"/>
        <v>45332</v>
      </c>
      <c r="J985" s="112">
        <f t="shared" si="486"/>
        <v>70</v>
      </c>
      <c r="K985" s="112">
        <f t="shared" si="486"/>
        <v>2783</v>
      </c>
      <c r="L985" s="112">
        <f t="shared" si="486"/>
        <v>132</v>
      </c>
      <c r="M985" s="112">
        <f t="shared" si="486"/>
        <v>505</v>
      </c>
      <c r="N985" s="112">
        <f t="shared" si="486"/>
        <v>13</v>
      </c>
      <c r="O985" s="112">
        <f>O981</f>
        <v>2</v>
      </c>
      <c r="P985" s="112">
        <f t="shared" ref="P985:R985" si="487">P981</f>
        <v>9100.9</v>
      </c>
      <c r="Q985" s="112">
        <f t="shared" si="487"/>
        <v>16.100000000000001</v>
      </c>
      <c r="R985" s="112">
        <f t="shared" si="487"/>
        <v>100</v>
      </c>
      <c r="S985" s="112">
        <f>S984</f>
        <v>1</v>
      </c>
      <c r="T985" s="112">
        <f>T984</f>
        <v>10</v>
      </c>
      <c r="U985" s="112">
        <f>U984/9</f>
        <v>0</v>
      </c>
      <c r="V985" s="112">
        <f>V984</f>
        <v>0</v>
      </c>
      <c r="W985" s="112">
        <f>W984</f>
        <v>0</v>
      </c>
      <c r="X985" s="174"/>
      <c r="Y985" s="174"/>
      <c r="Z985" s="174"/>
      <c r="AA985" s="171">
        <f t="shared" si="478"/>
        <v>435622</v>
      </c>
      <c r="AB985" s="172" t="str">
        <f t="shared" si="479"/>
        <v>ok</v>
      </c>
    </row>
    <row r="986" spans="1:29" s="170" customFormat="1">
      <c r="A986" s="60" t="s">
        <v>809</v>
      </c>
      <c r="B986" s="60"/>
      <c r="C986" s="60"/>
      <c r="D986" s="60" t="s">
        <v>1367</v>
      </c>
      <c r="E986" s="60"/>
      <c r="F986" s="79">
        <v>432318</v>
      </c>
      <c r="G986" s="112">
        <f>G985</f>
        <v>376627.25</v>
      </c>
      <c r="H986" s="112">
        <f>H985</f>
        <v>929.75</v>
      </c>
      <c r="I986" s="112">
        <f>I985</f>
        <v>45332</v>
      </c>
      <c r="J986" s="112">
        <f>+J980</f>
        <v>70</v>
      </c>
      <c r="K986" s="112">
        <v>0</v>
      </c>
      <c r="L986" s="112">
        <f>L985</f>
        <v>132</v>
      </c>
      <c r="M986" s="112">
        <v>0</v>
      </c>
      <c r="N986" s="112">
        <v>0</v>
      </c>
      <c r="O986" s="112">
        <v>0</v>
      </c>
      <c r="P986" s="112">
        <f t="shared" ref="P986:R986" si="488">P985</f>
        <v>9100.9</v>
      </c>
      <c r="Q986" s="112">
        <f t="shared" si="488"/>
        <v>16.100000000000001</v>
      </c>
      <c r="R986" s="112">
        <f t="shared" si="488"/>
        <v>100</v>
      </c>
      <c r="S986" s="112">
        <v>0</v>
      </c>
      <c r="T986" s="112">
        <f>T984</f>
        <v>10</v>
      </c>
      <c r="U986" s="112">
        <f>U984/9</f>
        <v>0</v>
      </c>
      <c r="V986" s="112">
        <v>0</v>
      </c>
      <c r="W986" s="112">
        <f>W985</f>
        <v>0</v>
      </c>
      <c r="X986" s="174"/>
      <c r="Y986" s="174"/>
      <c r="Z986" s="174"/>
      <c r="AA986" s="171">
        <f>SUM(G986:Z986)</f>
        <v>432318</v>
      </c>
      <c r="AB986" s="172" t="str">
        <f t="shared" si="479"/>
        <v>ok</v>
      </c>
    </row>
    <row r="987" spans="1:29" s="170" customFormat="1">
      <c r="A987" s="60" t="s">
        <v>810</v>
      </c>
      <c r="B987" s="60"/>
      <c r="C987" s="60"/>
      <c r="D987" s="60" t="s">
        <v>1368</v>
      </c>
      <c r="E987" s="60"/>
      <c r="F987" s="79">
        <v>435622</v>
      </c>
      <c r="G987" s="112">
        <f>G985</f>
        <v>376627.25</v>
      </c>
      <c r="H987" s="112">
        <f t="shared" ref="H987:Z987" si="489">+H980</f>
        <v>929.75</v>
      </c>
      <c r="I987" s="112">
        <f t="shared" si="489"/>
        <v>45332</v>
      </c>
      <c r="J987" s="112">
        <f t="shared" si="489"/>
        <v>70</v>
      </c>
      <c r="K987" s="112">
        <f t="shared" si="489"/>
        <v>2783</v>
      </c>
      <c r="L987" s="112">
        <f t="shared" si="489"/>
        <v>132</v>
      </c>
      <c r="M987" s="112">
        <f t="shared" si="489"/>
        <v>505</v>
      </c>
      <c r="N987" s="112">
        <f t="shared" si="489"/>
        <v>13</v>
      </c>
      <c r="O987" s="112">
        <f>+O981</f>
        <v>2</v>
      </c>
      <c r="P987" s="112">
        <f t="shared" ref="P987:R987" si="490">+P981</f>
        <v>9100.9</v>
      </c>
      <c r="Q987" s="112">
        <f t="shared" si="490"/>
        <v>16.100000000000001</v>
      </c>
      <c r="R987" s="112">
        <f t="shared" si="490"/>
        <v>100</v>
      </c>
      <c r="S987" s="112">
        <f>+S980</f>
        <v>1</v>
      </c>
      <c r="T987" s="112">
        <f>+T980</f>
        <v>10</v>
      </c>
      <c r="U987" s="112">
        <f>+U980/9</f>
        <v>0</v>
      </c>
      <c r="V987" s="112">
        <f t="shared" si="489"/>
        <v>0</v>
      </c>
      <c r="W987" s="112">
        <f t="shared" si="489"/>
        <v>0</v>
      </c>
      <c r="X987" s="174">
        <f t="shared" si="489"/>
        <v>0</v>
      </c>
      <c r="Y987" s="174">
        <f t="shared" si="489"/>
        <v>0</v>
      </c>
      <c r="Z987" s="174">
        <f t="shared" si="489"/>
        <v>0</v>
      </c>
      <c r="AA987" s="171">
        <f>SUM(G987:Z987)</f>
        <v>435622</v>
      </c>
      <c r="AB987" s="172" t="str">
        <f t="shared" si="479"/>
        <v>ok</v>
      </c>
    </row>
    <row r="988" spans="1:29" s="170" customFormat="1">
      <c r="A988" s="60" t="s">
        <v>1204</v>
      </c>
      <c r="B988" s="60"/>
      <c r="C988" s="60"/>
      <c r="D988" s="60" t="s">
        <v>1369</v>
      </c>
      <c r="E988" s="60"/>
      <c r="F988" s="79">
        <v>435405.00547945208</v>
      </c>
      <c r="G988" s="112">
        <f>G987</f>
        <v>376627.25</v>
      </c>
      <c r="H988" s="112">
        <f>H987</f>
        <v>929.75</v>
      </c>
      <c r="I988" s="112">
        <f>I987</f>
        <v>45332</v>
      </c>
      <c r="J988" s="112">
        <v>0</v>
      </c>
      <c r="K988" s="112">
        <f>K987</f>
        <v>2783</v>
      </c>
      <c r="L988" s="112">
        <v>0</v>
      </c>
      <c r="M988" s="112">
        <f t="shared" ref="M988:V988" si="491">M977</f>
        <v>505.00547945205477</v>
      </c>
      <c r="N988" s="112">
        <v>0</v>
      </c>
      <c r="O988" s="112">
        <v>0</v>
      </c>
      <c r="P988" s="112">
        <f t="shared" ref="P988:R988" si="492">P981</f>
        <v>9100.9</v>
      </c>
      <c r="Q988" s="112">
        <f t="shared" si="492"/>
        <v>16.100000000000001</v>
      </c>
      <c r="R988" s="112">
        <f t="shared" si="492"/>
        <v>100</v>
      </c>
      <c r="S988" s="112">
        <f t="shared" si="491"/>
        <v>1</v>
      </c>
      <c r="T988" s="112">
        <f t="shared" si="491"/>
        <v>10</v>
      </c>
      <c r="U988" s="112">
        <f t="shared" si="491"/>
        <v>0</v>
      </c>
      <c r="V988" s="112">
        <f t="shared" si="491"/>
        <v>0</v>
      </c>
      <c r="W988" s="112"/>
      <c r="X988" s="174"/>
      <c r="Y988" s="174"/>
      <c r="Z988" s="174"/>
      <c r="AA988" s="171">
        <f>SUM(G988:Z988)</f>
        <v>435405.00547945208</v>
      </c>
      <c r="AB988" s="172" t="str">
        <f>IF(ABS(F988-AA988)&lt;0.01,"ok","err")</f>
        <v>ok</v>
      </c>
    </row>
    <row r="989" spans="1:29" s="170" customFormat="1">
      <c r="A989" s="60"/>
      <c r="B989" s="60"/>
      <c r="C989" s="60"/>
      <c r="D989" s="60"/>
      <c r="E989" s="60"/>
      <c r="F989" s="79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74"/>
      <c r="Y989" s="174"/>
      <c r="Z989" s="174"/>
      <c r="AA989" s="171"/>
      <c r="AB989" s="172"/>
    </row>
    <row r="990" spans="1:29" s="170" customFormat="1" ht="14.1">
      <c r="A990" s="59" t="s">
        <v>811</v>
      </c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</row>
    <row r="991" spans="1:29" s="170" customFormat="1">
      <c r="A991" s="60" t="s">
        <v>1227</v>
      </c>
      <c r="B991" s="60"/>
      <c r="C991" s="60"/>
      <c r="D991" s="60" t="s">
        <v>1229</v>
      </c>
      <c r="E991" s="60"/>
      <c r="F991" s="79">
        <v>2983008.6430444098</v>
      </c>
      <c r="G991" s="79">
        <f>'Billing Det'!F8</f>
        <v>1407203.5200778483</v>
      </c>
      <c r="H991" s="79">
        <f>'Billing Det'!F10</f>
        <v>4315.1217338025735</v>
      </c>
      <c r="I991" s="79">
        <f>'Billing Det'!F12</f>
        <v>344696.92663794034</v>
      </c>
      <c r="J991" s="79">
        <f>'Billing Det'!F14</f>
        <v>22626.988030432454</v>
      </c>
      <c r="K991" s="79">
        <f>'Billing Det'!F16</f>
        <v>383541.39107749885</v>
      </c>
      <c r="L991" s="79">
        <f>'Billing Det'!F18</f>
        <v>321647.06388980895</v>
      </c>
      <c r="M991" s="79">
        <f>'Billing Det'!F20</f>
        <v>304516.00456533756</v>
      </c>
      <c r="N991" s="79">
        <f>'Billing Det'!F22</f>
        <v>158799.74271764961</v>
      </c>
      <c r="O991" s="79">
        <f>'Billing Det'!F24</f>
        <v>10204.58234420671</v>
      </c>
      <c r="P991" s="79">
        <f>'Billing Det'!F26</f>
        <v>24182.110712100763</v>
      </c>
      <c r="Q991" s="79">
        <f>'Billing Det'!F28</f>
        <v>842.2634094387754</v>
      </c>
      <c r="R991" s="79">
        <f>'Billing Det'!F30</f>
        <v>386.63809557648403</v>
      </c>
      <c r="S991" s="79">
        <f>'Billing Det'!F32</f>
        <v>42.076752768819269</v>
      </c>
      <c r="T991" s="79">
        <f>'Billing Det'!F34</f>
        <v>4.2130000000000001</v>
      </c>
      <c r="U991" s="79">
        <f>'Billing Det'!F36</f>
        <v>0</v>
      </c>
      <c r="V991" s="79">
        <f>'Billing Det'!F38</f>
        <v>0</v>
      </c>
      <c r="W991" s="79">
        <v>0</v>
      </c>
      <c r="X991" s="171">
        <v>0</v>
      </c>
      <c r="Y991" s="171">
        <v>0</v>
      </c>
      <c r="Z991" s="171">
        <v>0</v>
      </c>
      <c r="AA991" s="171">
        <f t="shared" ref="AA991" si="493">SUM(G991:Z991)</f>
        <v>2983008.6430444098</v>
      </c>
      <c r="AB991" s="172" t="str">
        <f t="shared" ref="AB991" si="494">IF(ABS(F991-AA991)&lt;0.01,"ok","err")</f>
        <v>ok</v>
      </c>
      <c r="AC991" s="174"/>
    </row>
    <row r="992" spans="1:29" s="170" customFormat="1">
      <c r="A992" s="60" t="s">
        <v>1228</v>
      </c>
      <c r="B992" s="60"/>
      <c r="C992" s="60"/>
      <c r="D992" s="60" t="s">
        <v>1230</v>
      </c>
      <c r="E992" s="60"/>
      <c r="F992" s="79">
        <v>2824208.90032676</v>
      </c>
      <c r="G992" s="79">
        <f>'Billing Det'!F8</f>
        <v>1407203.5200778483</v>
      </c>
      <c r="H992" s="79">
        <f>'Billing Det'!F10</f>
        <v>4315.1217338025735</v>
      </c>
      <c r="I992" s="79">
        <f>'Billing Det'!F12</f>
        <v>344696.92663794034</v>
      </c>
      <c r="J992" s="79">
        <f>'Billing Det'!F14</f>
        <v>22626.988030432454</v>
      </c>
      <c r="K992" s="79">
        <f>'Billing Det'!F16</f>
        <v>383541.39107749885</v>
      </c>
      <c r="L992" s="79">
        <f>'Billing Det'!F18</f>
        <v>321647.06388980895</v>
      </c>
      <c r="M992" s="79">
        <f>'Billing Det'!F20</f>
        <v>304516.00456533756</v>
      </c>
      <c r="N992" s="79">
        <v>0</v>
      </c>
      <c r="O992" s="79">
        <f>'Billing Det'!F24</f>
        <v>10204.58234420671</v>
      </c>
      <c r="P992" s="79">
        <f>'Billing Det'!F26</f>
        <v>24182.110712100763</v>
      </c>
      <c r="Q992" s="79">
        <f>'Billing Det'!F28</f>
        <v>842.2634094387754</v>
      </c>
      <c r="R992" s="79">
        <f>'Billing Det'!F30</f>
        <v>386.63809557648403</v>
      </c>
      <c r="S992" s="79">
        <f>'Billing Det'!F32</f>
        <v>42.076752768819269</v>
      </c>
      <c r="T992" s="79">
        <f>'Billing Det'!F34</f>
        <v>4.2130000000000001</v>
      </c>
      <c r="U992" s="79">
        <f>'Billing Det'!F36</f>
        <v>0</v>
      </c>
      <c r="V992" s="79">
        <f>'Billing Det'!F38</f>
        <v>0</v>
      </c>
      <c r="W992" s="79">
        <v>0</v>
      </c>
      <c r="X992" s="171">
        <v>0</v>
      </c>
      <c r="Y992" s="171">
        <v>0</v>
      </c>
      <c r="Z992" s="171">
        <v>0</v>
      </c>
      <c r="AA992" s="171">
        <f t="shared" ref="AA992:AA994" si="495">SUM(G992:Z992)</f>
        <v>2824208.90032676</v>
      </c>
      <c r="AB992" s="172" t="str">
        <f t="shared" ref="AB992:AB997" si="496">IF(ABS(F992-AA992)&lt;0.01,"ok","err")</f>
        <v>ok</v>
      </c>
      <c r="AC992" s="174"/>
    </row>
    <row r="993" spans="1:29" s="164" customFormat="1">
      <c r="A993" s="60" t="s">
        <v>1206</v>
      </c>
      <c r="B993" s="60"/>
      <c r="C993" s="60"/>
      <c r="D993" s="60" t="s">
        <v>1207</v>
      </c>
      <c r="E993" s="60"/>
      <c r="F993" s="79">
        <v>4560877.0788030662</v>
      </c>
      <c r="G993" s="79">
        <f>'Billing Det'!G8</f>
        <v>3145961.0417387774</v>
      </c>
      <c r="H993" s="79">
        <f>'Billing Det'!G10</f>
        <v>9389.6241332640639</v>
      </c>
      <c r="I993" s="79">
        <f>'Billing Det'!G12</f>
        <v>504189.40375760838</v>
      </c>
      <c r="J993" s="79">
        <v>0</v>
      </c>
      <c r="K993" s="79">
        <f>'Billing Det'!G16</f>
        <v>477537.689536402</v>
      </c>
      <c r="L993" s="79">
        <v>0</v>
      </c>
      <c r="M993" s="79">
        <f>'Billing Det'!G20</f>
        <v>398342.01766712911</v>
      </c>
      <c r="N993" s="79">
        <v>0</v>
      </c>
      <c r="O993" s="79">
        <v>0</v>
      </c>
      <c r="P993" s="79">
        <f>'Billing Det'!G26</f>
        <v>24182.110712100763</v>
      </c>
      <c r="Q993" s="79">
        <f>'Billing Det'!G28</f>
        <v>842.2634094387754</v>
      </c>
      <c r="R993" s="79">
        <f>'Billing Det'!G30</f>
        <v>386.63809557648403</v>
      </c>
      <c r="S993" s="79">
        <f>'Billing Det'!G32</f>
        <v>42.076752768819269</v>
      </c>
      <c r="T993" s="79">
        <f>'Billing Det'!G34</f>
        <v>4.2130000000000001</v>
      </c>
      <c r="U993" s="79">
        <f>'Billing Det'!G36</f>
        <v>0</v>
      </c>
      <c r="V993" s="79">
        <f>'Billing Det'!G38</f>
        <v>0</v>
      </c>
      <c r="W993" s="79">
        <v>0</v>
      </c>
      <c r="X993" s="160">
        <v>0</v>
      </c>
      <c r="Y993" s="160">
        <v>0</v>
      </c>
      <c r="Z993" s="160">
        <v>0</v>
      </c>
      <c r="AA993" s="160">
        <f t="shared" si="495"/>
        <v>4560877.0788030662</v>
      </c>
      <c r="AB993" s="163" t="str">
        <f t="shared" si="496"/>
        <v>ok</v>
      </c>
    </row>
    <row r="994" spans="1:29" s="164" customFormat="1">
      <c r="A994" s="60" t="s">
        <v>645</v>
      </c>
      <c r="B994" s="60"/>
      <c r="C994" s="60"/>
      <c r="D994" s="60" t="s">
        <v>646</v>
      </c>
      <c r="E994" s="60"/>
      <c r="F994" s="79">
        <v>4162535.0611359365</v>
      </c>
      <c r="G994" s="79">
        <f>'Billing Det'!G8</f>
        <v>3145961.0417387774</v>
      </c>
      <c r="H994" s="79">
        <f>'Billing Det'!G10</f>
        <v>9389.6241332640639</v>
      </c>
      <c r="I994" s="79">
        <f>'Billing Det'!G12</f>
        <v>504189.40375760838</v>
      </c>
      <c r="J994" s="79">
        <v>0</v>
      </c>
      <c r="K994" s="79">
        <f>'Billing Det'!G16</f>
        <v>477537.689536402</v>
      </c>
      <c r="L994" s="79">
        <v>0</v>
      </c>
      <c r="M994" s="79">
        <v>0</v>
      </c>
      <c r="N994" s="79">
        <v>0</v>
      </c>
      <c r="O994" s="79">
        <v>0</v>
      </c>
      <c r="P994" s="79">
        <f>'Billing Det'!G26</f>
        <v>24182.110712100763</v>
      </c>
      <c r="Q994" s="79">
        <f>'Billing Det'!G28</f>
        <v>842.2634094387754</v>
      </c>
      <c r="R994" s="79">
        <f>'Billing Det'!G30</f>
        <v>386.63809557648403</v>
      </c>
      <c r="S994" s="79">
        <f>'Billing Det'!G32</f>
        <v>42.076752768819269</v>
      </c>
      <c r="T994" s="79">
        <f>'Billing Det'!G34</f>
        <v>4.2130000000000001</v>
      </c>
      <c r="U994" s="79">
        <f>'Billing Det'!G36</f>
        <v>0</v>
      </c>
      <c r="V994" s="79">
        <f>'Billing Det'!G38</f>
        <v>0</v>
      </c>
      <c r="W994" s="79">
        <v>0</v>
      </c>
      <c r="X994" s="160">
        <v>0</v>
      </c>
      <c r="Y994" s="160">
        <v>0</v>
      </c>
      <c r="Z994" s="160">
        <v>0</v>
      </c>
      <c r="AA994" s="160">
        <f t="shared" si="495"/>
        <v>4162535.0611359365</v>
      </c>
      <c r="AB994" s="163" t="str">
        <f t="shared" si="496"/>
        <v>ok</v>
      </c>
    </row>
    <row r="995" spans="1:29" s="164" customFormat="1" hidden="1">
      <c r="A995" s="60" t="s">
        <v>804</v>
      </c>
      <c r="B995" s="60"/>
      <c r="C995" s="60"/>
      <c r="D995" s="60" t="s">
        <v>174</v>
      </c>
      <c r="E995" s="60"/>
      <c r="F995" s="438">
        <v>34305.024476596634</v>
      </c>
      <c r="G995" s="79">
        <f t="shared" ref="G995:U995" si="497">G997</f>
        <v>5840437.5715003172</v>
      </c>
      <c r="H995" s="79">
        <f t="shared" si="497"/>
        <v>10949.926239942595</v>
      </c>
      <c r="I995" s="79">
        <f t="shared" si="497"/>
        <v>1634205.716666779</v>
      </c>
      <c r="J995" s="79">
        <f t="shared" si="497"/>
        <v>110740.70185862978</v>
      </c>
      <c r="K995" s="79">
        <f t="shared" si="497"/>
        <v>1821912.2399021527</v>
      </c>
      <c r="L995" s="79">
        <f t="shared" si="497"/>
        <v>1644584.7917555904</v>
      </c>
      <c r="M995" s="79">
        <f t="shared" si="497"/>
        <v>1399190.6020020954</v>
      </c>
      <c r="N995" s="79">
        <f t="shared" si="497"/>
        <v>794954.55162196734</v>
      </c>
      <c r="O995" s="79">
        <f t="shared" si="497"/>
        <v>47189.380547033208</v>
      </c>
      <c r="P995" s="79">
        <f t="shared" si="497"/>
        <v>48364.221424201525</v>
      </c>
      <c r="Q995" s="79">
        <f t="shared" si="497"/>
        <v>1684.5268188775508</v>
      </c>
      <c r="R995" s="79">
        <f t="shared" si="497"/>
        <v>2319.828573458904</v>
      </c>
      <c r="S995" s="79">
        <f t="shared" si="497"/>
        <v>2.2853442260420227</v>
      </c>
      <c r="T995" s="79">
        <f t="shared" si="497"/>
        <v>21.065000000000001</v>
      </c>
      <c r="U995" s="79">
        <f t="shared" si="497"/>
        <v>0</v>
      </c>
      <c r="V995" s="79">
        <v>0</v>
      </c>
      <c r="W995" s="79">
        <v>0</v>
      </c>
      <c r="X995" s="160"/>
      <c r="Y995" s="160"/>
      <c r="Z995" s="160"/>
      <c r="AA995" s="160">
        <v>34305.024476596634</v>
      </c>
      <c r="AB995" s="163" t="str">
        <f t="shared" si="496"/>
        <v>ok</v>
      </c>
      <c r="AC995" s="165"/>
    </row>
    <row r="996" spans="1:29" s="164" customFormat="1" hidden="1">
      <c r="A996" s="60" t="s">
        <v>805</v>
      </c>
      <c r="B996" s="60"/>
      <c r="C996" s="60"/>
      <c r="D996" s="60" t="s">
        <v>175</v>
      </c>
      <c r="E996" s="60"/>
      <c r="F996" s="438">
        <v>34305.024476596634</v>
      </c>
      <c r="G996" s="79">
        <f t="shared" ref="G996:U996" si="498">G997</f>
        <v>5840437.5715003172</v>
      </c>
      <c r="H996" s="79">
        <f t="shared" si="498"/>
        <v>10949.926239942595</v>
      </c>
      <c r="I996" s="79">
        <f t="shared" si="498"/>
        <v>1634205.716666779</v>
      </c>
      <c r="J996" s="79">
        <f t="shared" si="498"/>
        <v>110740.70185862978</v>
      </c>
      <c r="K996" s="79">
        <f t="shared" si="498"/>
        <v>1821912.2399021527</v>
      </c>
      <c r="L996" s="79">
        <f t="shared" si="498"/>
        <v>1644584.7917555904</v>
      </c>
      <c r="M996" s="79">
        <f t="shared" si="498"/>
        <v>1399190.6020020954</v>
      </c>
      <c r="N996" s="79">
        <f t="shared" si="498"/>
        <v>794954.55162196734</v>
      </c>
      <c r="O996" s="79">
        <f t="shared" si="498"/>
        <v>47189.380547033208</v>
      </c>
      <c r="P996" s="79">
        <f t="shared" si="498"/>
        <v>48364.221424201525</v>
      </c>
      <c r="Q996" s="79">
        <f t="shared" si="498"/>
        <v>1684.5268188775508</v>
      </c>
      <c r="R996" s="79">
        <f t="shared" si="498"/>
        <v>2319.828573458904</v>
      </c>
      <c r="S996" s="79">
        <f t="shared" si="498"/>
        <v>2.2853442260420227</v>
      </c>
      <c r="T996" s="79">
        <f t="shared" si="498"/>
        <v>21.065000000000001</v>
      </c>
      <c r="U996" s="79">
        <f t="shared" si="498"/>
        <v>0</v>
      </c>
      <c r="V996" s="79">
        <v>0</v>
      </c>
      <c r="W996" s="79">
        <v>0</v>
      </c>
      <c r="X996" s="160"/>
      <c r="Y996" s="160"/>
      <c r="Z996" s="160"/>
      <c r="AA996" s="160">
        <v>34305.024476596634</v>
      </c>
      <c r="AB996" s="163" t="str">
        <f t="shared" si="496"/>
        <v>ok</v>
      </c>
    </row>
    <row r="997" spans="1:29" s="164" customFormat="1">
      <c r="A997" s="44" t="s">
        <v>1409</v>
      </c>
      <c r="B997" s="44"/>
      <c r="C997" s="44"/>
      <c r="D997" s="44" t="s">
        <v>1410</v>
      </c>
      <c r="E997" s="44"/>
      <c r="F997" s="79">
        <v>13356557.409255272</v>
      </c>
      <c r="G997" s="79">
        <v>5840437.5715003172</v>
      </c>
      <c r="H997" s="79">
        <v>10949.926239942595</v>
      </c>
      <c r="I997" s="79">
        <v>1634205.716666779</v>
      </c>
      <c r="J997" s="79">
        <v>110740.70185862978</v>
      </c>
      <c r="K997" s="79">
        <v>1821912.2399021527</v>
      </c>
      <c r="L997" s="79">
        <v>1644584.7917555904</v>
      </c>
      <c r="M997" s="79">
        <v>1399190.6020020954</v>
      </c>
      <c r="N997" s="79">
        <v>794954.55162196734</v>
      </c>
      <c r="O997" s="79">
        <v>47189.380547033208</v>
      </c>
      <c r="P997" s="79">
        <v>48364.221424201525</v>
      </c>
      <c r="Q997" s="79">
        <v>1684.5268188775508</v>
      </c>
      <c r="R997" s="79">
        <v>2319.828573458904</v>
      </c>
      <c r="S997" s="79">
        <v>2.2853442260420227</v>
      </c>
      <c r="T997" s="79">
        <v>21.065000000000001</v>
      </c>
      <c r="U997" s="79">
        <f>'[13]Billing Det'!F36</f>
        <v>0</v>
      </c>
      <c r="V997" s="79">
        <f>'[13]Billing Det'!F38</f>
        <v>0</v>
      </c>
      <c r="W997" s="79">
        <v>0</v>
      </c>
      <c r="X997" s="160"/>
      <c r="Y997" s="160"/>
      <c r="Z997" s="160"/>
      <c r="AA997" s="160">
        <f t="shared" ref="AA997" si="499">SUM(G997:Z997)</f>
        <v>13356557.409255272</v>
      </c>
      <c r="AB997" s="163" t="str">
        <f t="shared" si="496"/>
        <v>ok</v>
      </c>
      <c r="AC997" s="169"/>
    </row>
    <row r="998" spans="1:29" s="164" customFormat="1">
      <c r="A998" s="60"/>
      <c r="B998" s="60"/>
      <c r="C998" s="60"/>
      <c r="D998" s="60"/>
      <c r="E998" s="60"/>
      <c r="F998" s="110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167"/>
      <c r="Y998" s="167"/>
      <c r="Z998" s="167"/>
      <c r="AA998" s="167"/>
      <c r="AB998" s="163"/>
    </row>
    <row r="999" spans="1:29" s="164" customFormat="1" ht="14.1">
      <c r="A999" s="65" t="s">
        <v>1162</v>
      </c>
      <c r="B999" s="60"/>
      <c r="C999" s="60"/>
      <c r="D999" s="60"/>
      <c r="E999" s="60"/>
      <c r="F999" s="110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167"/>
      <c r="Y999" s="167"/>
      <c r="Z999" s="167"/>
      <c r="AA999" s="167"/>
      <c r="AB999" s="163"/>
    </row>
    <row r="1000" spans="1:29" s="164" customFormat="1">
      <c r="A1000" s="60"/>
      <c r="B1000" s="60"/>
      <c r="C1000" s="60"/>
      <c r="D1000" s="60"/>
      <c r="E1000" s="60"/>
      <c r="F1000" s="110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167"/>
      <c r="Y1000" s="167"/>
      <c r="Z1000" s="167"/>
      <c r="AA1000" s="167"/>
      <c r="AB1000" s="163"/>
    </row>
    <row r="1001" spans="1:29" s="164" customFormat="1" ht="14.1">
      <c r="A1001" s="218" t="s">
        <v>1357</v>
      </c>
      <c r="B1001" s="60"/>
      <c r="C1001" s="60"/>
      <c r="D1001" s="60"/>
      <c r="E1001" s="60"/>
      <c r="F1001" s="110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167"/>
      <c r="Y1001" s="167"/>
      <c r="Z1001" s="167"/>
      <c r="AA1001" s="167"/>
      <c r="AB1001" s="163"/>
    </row>
    <row r="1002" spans="1:29" s="164" customFormat="1">
      <c r="A1002" s="60" t="s">
        <v>1351</v>
      </c>
      <c r="B1002" s="60"/>
      <c r="C1002" s="60"/>
      <c r="D1002" s="44" t="s">
        <v>1413</v>
      </c>
      <c r="E1002" s="44"/>
      <c r="F1002" s="79">
        <f>F997</f>
        <v>13356557.409255272</v>
      </c>
      <c r="G1002" s="79">
        <f t="shared" ref="G1002:Z1002" si="500">G996</f>
        <v>5840437.5715003172</v>
      </c>
      <c r="H1002" s="79">
        <f t="shared" si="500"/>
        <v>10949.926239942595</v>
      </c>
      <c r="I1002" s="79">
        <f t="shared" si="500"/>
        <v>1634205.716666779</v>
      </c>
      <c r="J1002" s="79">
        <f t="shared" si="500"/>
        <v>110740.70185862978</v>
      </c>
      <c r="K1002" s="79">
        <f t="shared" si="500"/>
        <v>1821912.2399021527</v>
      </c>
      <c r="L1002" s="79">
        <f t="shared" si="500"/>
        <v>1644584.7917555904</v>
      </c>
      <c r="M1002" s="79">
        <f t="shared" si="500"/>
        <v>1399190.6020020954</v>
      </c>
      <c r="N1002" s="79">
        <f t="shared" si="500"/>
        <v>794954.55162196734</v>
      </c>
      <c r="O1002" s="79">
        <f>O996</f>
        <v>47189.380547033208</v>
      </c>
      <c r="P1002" s="79">
        <f t="shared" si="500"/>
        <v>48364.221424201525</v>
      </c>
      <c r="Q1002" s="79">
        <f t="shared" si="500"/>
        <v>1684.5268188775508</v>
      </c>
      <c r="R1002" s="79">
        <f t="shared" si="500"/>
        <v>2319.828573458904</v>
      </c>
      <c r="S1002" s="79">
        <f t="shared" si="500"/>
        <v>2.2853442260420227</v>
      </c>
      <c r="T1002" s="79">
        <f t="shared" si="500"/>
        <v>21.065000000000001</v>
      </c>
      <c r="U1002" s="79">
        <f t="shared" si="500"/>
        <v>0</v>
      </c>
      <c r="V1002" s="79">
        <f t="shared" si="500"/>
        <v>0</v>
      </c>
      <c r="W1002" s="79">
        <f t="shared" si="500"/>
        <v>0</v>
      </c>
      <c r="X1002" s="160">
        <f t="shared" si="500"/>
        <v>0</v>
      </c>
      <c r="Y1002" s="160">
        <f t="shared" si="500"/>
        <v>0</v>
      </c>
      <c r="Z1002" s="160">
        <f t="shared" si="500"/>
        <v>0</v>
      </c>
      <c r="AA1002" s="160">
        <f>SUM(G1002:Z1002)</f>
        <v>13356557.409255272</v>
      </c>
      <c r="AB1002" s="163" t="str">
        <f t="shared" ref="AB1002:AB1007" si="501">IF(ABS(F1002-AA1002)&lt;0.01,"ok","err")</f>
        <v>ok</v>
      </c>
    </row>
    <row r="1003" spans="1:29" s="164" customFormat="1">
      <c r="A1003" s="60" t="s">
        <v>1352</v>
      </c>
      <c r="B1003" s="60"/>
      <c r="C1003" s="60"/>
      <c r="D1003" s="44"/>
      <c r="E1003" s="44"/>
      <c r="F1003" s="80">
        <f>F9</f>
        <v>3865573604.4296021</v>
      </c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AA1003" s="166">
        <f>F1003</f>
        <v>3865573604.4296021</v>
      </c>
      <c r="AB1003" s="163" t="str">
        <f t="shared" si="501"/>
        <v>ok</v>
      </c>
    </row>
    <row r="1004" spans="1:29" s="164" customFormat="1">
      <c r="A1004" s="60" t="s">
        <v>152</v>
      </c>
      <c r="B1004" s="60"/>
      <c r="C1004" s="60"/>
      <c r="D1004" s="44"/>
      <c r="E1004" s="44"/>
      <c r="F1004" s="80">
        <v>2715714.11</v>
      </c>
      <c r="G1004" s="60"/>
      <c r="H1004" s="79">
        <v>0</v>
      </c>
      <c r="I1004" s="76">
        <v>0</v>
      </c>
      <c r="J1004" s="79">
        <v>0</v>
      </c>
      <c r="K1004" s="79">
        <v>0</v>
      </c>
      <c r="L1004" s="112">
        <v>0</v>
      </c>
      <c r="M1004" s="79">
        <v>0</v>
      </c>
      <c r="N1004" s="79">
        <v>0</v>
      </c>
      <c r="O1004" s="79">
        <v>0</v>
      </c>
      <c r="P1004" s="79">
        <v>0</v>
      </c>
      <c r="Q1004" s="60"/>
      <c r="R1004" s="60"/>
      <c r="S1004" s="60"/>
      <c r="T1004" s="79">
        <v>0</v>
      </c>
      <c r="U1004" s="79">
        <f>2200391.61+430350.97</f>
        <v>2630742.58</v>
      </c>
      <c r="V1004" s="375">
        <v>84971.530000000013</v>
      </c>
      <c r="W1004" s="79">
        <v>0</v>
      </c>
      <c r="AA1004" s="166">
        <f>SUM(G1004:Z1004)</f>
        <v>2715714.11</v>
      </c>
      <c r="AB1004" s="163" t="str">
        <f t="shared" si="501"/>
        <v>ok</v>
      </c>
    </row>
    <row r="1005" spans="1:29" s="164" customFormat="1">
      <c r="A1005" s="60" t="s">
        <v>1353</v>
      </c>
      <c r="B1005" s="60"/>
      <c r="C1005" s="60"/>
      <c r="D1005" s="44"/>
      <c r="E1005" s="44" t="s">
        <v>1413</v>
      </c>
      <c r="F1005" s="80">
        <f>F1003-F1004</f>
        <v>3862857890.319602</v>
      </c>
      <c r="G1005" s="76">
        <f t="shared" ref="G1005:Z1005" si="502">IF(VLOOKUP($E1005,$D$6:$AN$1150,3,)=0,0,(VLOOKUP($E1005,$D$6:$AN$1150,G$2,)/VLOOKUP($E1005,$D$6:$AN$1150,3,))*$F1005)</f>
        <v>1689116414.1110063</v>
      </c>
      <c r="H1005" s="76">
        <f t="shared" si="502"/>
        <v>3166834.6624310534</v>
      </c>
      <c r="I1005" s="76">
        <f t="shared" si="502"/>
        <v>472629604.59087694</v>
      </c>
      <c r="J1005" s="76">
        <f t="shared" si="502"/>
        <v>32027384.066624567</v>
      </c>
      <c r="K1005" s="76">
        <f t="shared" si="502"/>
        <v>526916319.50753546</v>
      </c>
      <c r="L1005" s="76">
        <f t="shared" si="502"/>
        <v>475631343.05330837</v>
      </c>
      <c r="M1005" s="76">
        <f t="shared" si="502"/>
        <v>404660743.88746178</v>
      </c>
      <c r="N1005" s="76">
        <f t="shared" si="502"/>
        <v>229909277.3749114</v>
      </c>
      <c r="O1005" s="76">
        <f t="shared" si="502"/>
        <v>13647668.736787571</v>
      </c>
      <c r="P1005" s="76">
        <f t="shared" si="502"/>
        <v>13987445.163690427</v>
      </c>
      <c r="Q1005" s="76">
        <f t="shared" si="502"/>
        <v>487183.00040750887</v>
      </c>
      <c r="R1005" s="76">
        <f t="shared" si="502"/>
        <v>670918.99765766412</v>
      </c>
      <c r="S1005" s="76">
        <f t="shared" si="502"/>
        <v>660.94575908800709</v>
      </c>
      <c r="T1005" s="76">
        <f t="shared" si="502"/>
        <v>6092.2211439900866</v>
      </c>
      <c r="U1005" s="76">
        <f t="shared" si="502"/>
        <v>0</v>
      </c>
      <c r="V1005" s="76">
        <f t="shared" si="502"/>
        <v>0</v>
      </c>
      <c r="W1005" s="76">
        <f t="shared" si="502"/>
        <v>0</v>
      </c>
      <c r="X1005" s="161">
        <f t="shared" si="502"/>
        <v>0</v>
      </c>
      <c r="Y1005" s="161">
        <f t="shared" si="502"/>
        <v>0</v>
      </c>
      <c r="Z1005" s="161">
        <f t="shared" si="502"/>
        <v>0</v>
      </c>
      <c r="AA1005" s="166">
        <f>SUM(G1005:Z1005)</f>
        <v>3862857890.319603</v>
      </c>
      <c r="AB1005" s="163" t="str">
        <f t="shared" si="501"/>
        <v>ok</v>
      </c>
    </row>
    <row r="1006" spans="1:29" s="164" customFormat="1">
      <c r="A1006" s="60" t="s">
        <v>1354</v>
      </c>
      <c r="B1006" s="60"/>
      <c r="C1006" s="60"/>
      <c r="D1006" s="44" t="s">
        <v>1414</v>
      </c>
      <c r="E1006" s="44"/>
      <c r="F1006" s="80">
        <f t="shared" ref="F1006" si="503">F1004+F1005</f>
        <v>3865573604.4296021</v>
      </c>
      <c r="G1006" s="80">
        <f t="shared" ref="G1006:W1006" si="504">G1004+G1005</f>
        <v>1689116414.1110063</v>
      </c>
      <c r="H1006" s="80">
        <f t="shared" si="504"/>
        <v>3166834.6624310534</v>
      </c>
      <c r="I1006" s="80">
        <f t="shared" si="504"/>
        <v>472629604.59087694</v>
      </c>
      <c r="J1006" s="80">
        <f t="shared" si="504"/>
        <v>32027384.066624567</v>
      </c>
      <c r="K1006" s="80">
        <f t="shared" si="504"/>
        <v>526916319.50753546</v>
      </c>
      <c r="L1006" s="80">
        <f t="shared" si="504"/>
        <v>475631343.05330837</v>
      </c>
      <c r="M1006" s="80">
        <f t="shared" si="504"/>
        <v>404660743.88746178</v>
      </c>
      <c r="N1006" s="80">
        <f t="shared" si="504"/>
        <v>229909277.3749114</v>
      </c>
      <c r="O1006" s="80">
        <f>O1004+O1005</f>
        <v>13647668.736787571</v>
      </c>
      <c r="P1006" s="80">
        <f t="shared" si="504"/>
        <v>13987445.163690427</v>
      </c>
      <c r="Q1006" s="80">
        <f t="shared" si="504"/>
        <v>487183.00040750887</v>
      </c>
      <c r="R1006" s="80">
        <f t="shared" si="504"/>
        <v>670918.99765766412</v>
      </c>
      <c r="S1006" s="80">
        <f t="shared" si="504"/>
        <v>660.94575908800709</v>
      </c>
      <c r="T1006" s="80">
        <f t="shared" si="504"/>
        <v>6092.2211439900866</v>
      </c>
      <c r="U1006" s="80">
        <f t="shared" si="504"/>
        <v>2630742.58</v>
      </c>
      <c r="V1006" s="80">
        <f t="shared" si="504"/>
        <v>84971.530000000013</v>
      </c>
      <c r="W1006" s="80">
        <f t="shared" si="504"/>
        <v>0</v>
      </c>
      <c r="X1006" s="166">
        <f>X1004+X1005</f>
        <v>0</v>
      </c>
      <c r="Y1006" s="166">
        <f>Y1004+Y1005</f>
        <v>0</v>
      </c>
      <c r="Z1006" s="166">
        <f>Z1004+Z1005</f>
        <v>0</v>
      </c>
      <c r="AA1006" s="166">
        <f>SUM(G1006:Z1006)</f>
        <v>3865573604.4296031</v>
      </c>
      <c r="AB1006" s="163" t="str">
        <f t="shared" si="501"/>
        <v>ok</v>
      </c>
    </row>
    <row r="1007" spans="1:29" s="164" customFormat="1">
      <c r="A1007" s="60" t="s">
        <v>1355</v>
      </c>
      <c r="B1007" s="60"/>
      <c r="C1007" s="60"/>
      <c r="D1007" s="44" t="s">
        <v>1412</v>
      </c>
      <c r="E1007" s="44" t="s">
        <v>1414</v>
      </c>
      <c r="F1007" s="110">
        <v>1</v>
      </c>
      <c r="G1007" s="83">
        <f t="shared" ref="G1007:Z1007" si="505">IF(VLOOKUP($E1007,$D$6:$AN$1150,3,)=0,0,(VLOOKUP($E1007,$D$6:$AN$1150,G$2,)/VLOOKUP($E1007,$D$6:$AN$1150,3,))*$F1007)</f>
        <v>0.43696397662055375</v>
      </c>
      <c r="H1007" s="83">
        <f t="shared" si="505"/>
        <v>8.1924055431311499E-4</v>
      </c>
      <c r="I1007" s="83">
        <f t="shared" si="505"/>
        <v>0.12226635758514225</v>
      </c>
      <c r="J1007" s="83">
        <f t="shared" si="505"/>
        <v>8.2852863104001025E-3</v>
      </c>
      <c r="K1007" s="83">
        <f t="shared" si="505"/>
        <v>0.13630999521099182</v>
      </c>
      <c r="L1007" s="83">
        <f t="shared" si="505"/>
        <v>0.12304288877290484</v>
      </c>
      <c r="M1007" s="83">
        <f t="shared" si="505"/>
        <v>0.10468323340778111</v>
      </c>
      <c r="N1007" s="83">
        <f t="shared" si="505"/>
        <v>5.9476109085455232E-2</v>
      </c>
      <c r="O1007" s="83">
        <f t="shared" si="505"/>
        <v>3.5305675517725392E-3</v>
      </c>
      <c r="P1007" s="83">
        <f t="shared" si="505"/>
        <v>3.6184656133987627E-3</v>
      </c>
      <c r="Q1007" s="83">
        <f t="shared" si="505"/>
        <v>1.2603123113455675E-4</v>
      </c>
      <c r="R1007" s="83">
        <f t="shared" si="505"/>
        <v>1.7356259802913876E-4</v>
      </c>
      <c r="S1007" s="83">
        <f t="shared" si="505"/>
        <v>1.7098258285151323E-7</v>
      </c>
      <c r="T1007" s="83">
        <f t="shared" si="505"/>
        <v>1.5760199565231265E-6</v>
      </c>
      <c r="U1007" s="83">
        <f t="shared" si="505"/>
        <v>6.8055684594529615E-4</v>
      </c>
      <c r="V1007" s="83">
        <f t="shared" si="505"/>
        <v>2.198160963812207E-5</v>
      </c>
      <c r="W1007" s="83">
        <f t="shared" si="505"/>
        <v>0</v>
      </c>
      <c r="X1007" s="167">
        <f t="shared" si="505"/>
        <v>0</v>
      </c>
      <c r="Y1007" s="167">
        <f t="shared" si="505"/>
        <v>0</v>
      </c>
      <c r="Z1007" s="167">
        <f t="shared" si="505"/>
        <v>0</v>
      </c>
      <c r="AA1007" s="167">
        <f>SUM(G1007:Z1007)</f>
        <v>0.99999999999999989</v>
      </c>
      <c r="AB1007" s="163" t="str">
        <f t="shared" si="501"/>
        <v>ok</v>
      </c>
    </row>
    <row r="1008" spans="1:29" s="164" customFormat="1">
      <c r="A1008" s="60"/>
      <c r="B1008" s="60"/>
      <c r="C1008" s="60"/>
      <c r="D1008" s="44"/>
      <c r="E1008" s="44"/>
      <c r="F1008" s="110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167"/>
      <c r="Y1008" s="167"/>
      <c r="Z1008" s="167"/>
      <c r="AA1008" s="167"/>
      <c r="AB1008" s="163"/>
    </row>
    <row r="1009" spans="1:28" s="164" customFormat="1">
      <c r="A1009" s="60" t="s">
        <v>1336</v>
      </c>
      <c r="B1009" s="60"/>
      <c r="C1009" s="60"/>
      <c r="D1009" s="44" t="s">
        <v>1415</v>
      </c>
      <c r="E1009" s="44"/>
      <c r="F1009" s="79">
        <f>F997</f>
        <v>13356557.409255272</v>
      </c>
      <c r="G1009" s="79">
        <f t="shared" ref="G1009:Z1009" si="506">G995</f>
        <v>5840437.5715003172</v>
      </c>
      <c r="H1009" s="79">
        <f t="shared" si="506"/>
        <v>10949.926239942595</v>
      </c>
      <c r="I1009" s="79">
        <f t="shared" si="506"/>
        <v>1634205.716666779</v>
      </c>
      <c r="J1009" s="79">
        <f t="shared" si="506"/>
        <v>110740.70185862978</v>
      </c>
      <c r="K1009" s="79">
        <f t="shared" si="506"/>
        <v>1821912.2399021527</v>
      </c>
      <c r="L1009" s="79">
        <f t="shared" si="506"/>
        <v>1644584.7917555904</v>
      </c>
      <c r="M1009" s="79">
        <f t="shared" si="506"/>
        <v>1399190.6020020954</v>
      </c>
      <c r="N1009" s="79">
        <f t="shared" si="506"/>
        <v>794954.55162196734</v>
      </c>
      <c r="O1009" s="79">
        <f>O995</f>
        <v>47189.380547033208</v>
      </c>
      <c r="P1009" s="79">
        <f t="shared" si="506"/>
        <v>48364.221424201525</v>
      </c>
      <c r="Q1009" s="79">
        <f t="shared" si="506"/>
        <v>1684.5268188775508</v>
      </c>
      <c r="R1009" s="79">
        <f t="shared" si="506"/>
        <v>2319.828573458904</v>
      </c>
      <c r="S1009" s="79">
        <f t="shared" si="506"/>
        <v>2.2853442260420227</v>
      </c>
      <c r="T1009" s="79">
        <f t="shared" si="506"/>
        <v>21.065000000000001</v>
      </c>
      <c r="U1009" s="79">
        <f t="shared" si="506"/>
        <v>0</v>
      </c>
      <c r="V1009" s="79">
        <f t="shared" si="506"/>
        <v>0</v>
      </c>
      <c r="W1009" s="79">
        <f t="shared" si="506"/>
        <v>0</v>
      </c>
      <c r="X1009" s="160">
        <f t="shared" si="506"/>
        <v>0</v>
      </c>
      <c r="Y1009" s="160">
        <f t="shared" si="506"/>
        <v>0</v>
      </c>
      <c r="Z1009" s="160">
        <f t="shared" si="506"/>
        <v>0</v>
      </c>
      <c r="AA1009" s="160">
        <f>SUM(G1009:Z1009)</f>
        <v>13356557.409255272</v>
      </c>
      <c r="AB1009" s="163" t="str">
        <f t="shared" ref="AB1009:AB1014" si="507">IF(ABS(F1009-AA1009)&lt;0.01,"ok","err")</f>
        <v>ok</v>
      </c>
    </row>
    <row r="1010" spans="1:28" s="164" customFormat="1">
      <c r="A1010" s="60" t="s">
        <v>1337</v>
      </c>
      <c r="B1010" s="60"/>
      <c r="C1010" s="60"/>
      <c r="D1010" s="44"/>
      <c r="E1010" s="44"/>
      <c r="F1010" s="80">
        <f>F68</f>
        <v>2495383412.90588</v>
      </c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AA1010" s="166">
        <f>F1010</f>
        <v>2495383412.90588</v>
      </c>
      <c r="AB1010" s="163" t="str">
        <f t="shared" si="507"/>
        <v>ok</v>
      </c>
    </row>
    <row r="1011" spans="1:28" s="164" customFormat="1">
      <c r="A1011" s="60" t="s">
        <v>152</v>
      </c>
      <c r="B1011" s="60"/>
      <c r="C1011" s="60"/>
      <c r="D1011" s="44"/>
      <c r="E1011" s="44"/>
      <c r="F1011" s="80">
        <v>2559062.9700000002</v>
      </c>
      <c r="G1011" s="60"/>
      <c r="H1011" s="79">
        <v>0</v>
      </c>
      <c r="I1011" s="76">
        <v>0</v>
      </c>
      <c r="J1011" s="79">
        <v>0</v>
      </c>
      <c r="K1011" s="79">
        <v>0</v>
      </c>
      <c r="L1011" s="112">
        <v>0</v>
      </c>
      <c r="M1011" s="79">
        <v>0</v>
      </c>
      <c r="N1011" s="79">
        <v>0</v>
      </c>
      <c r="O1011" s="79">
        <v>0</v>
      </c>
      <c r="P1011" s="79">
        <v>0</v>
      </c>
      <c r="Q1011" s="60"/>
      <c r="R1011" s="60"/>
      <c r="S1011" s="60"/>
      <c r="T1011" s="79">
        <v>0</v>
      </c>
      <c r="U1011" s="79">
        <f>U1004-144008.4</f>
        <v>2486734.1800000002</v>
      </c>
      <c r="V1011" s="375">
        <f>V1004-12642.74</f>
        <v>72328.790000000008</v>
      </c>
      <c r="W1011" s="79">
        <v>0</v>
      </c>
      <c r="AA1011" s="166">
        <f>SUM(G1011:Z1011)</f>
        <v>2559062.9700000002</v>
      </c>
      <c r="AB1011" s="163" t="str">
        <f t="shared" si="507"/>
        <v>ok</v>
      </c>
    </row>
    <row r="1012" spans="1:28" s="164" customFormat="1">
      <c r="A1012" s="60" t="s">
        <v>1338</v>
      </c>
      <c r="B1012" s="60"/>
      <c r="C1012" s="60"/>
      <c r="D1012" s="44"/>
      <c r="E1012" s="44" t="s">
        <v>1415</v>
      </c>
      <c r="F1012" s="80">
        <f>F1010-F1011</f>
        <v>2492824349.9358802</v>
      </c>
      <c r="G1012" s="76">
        <f t="shared" ref="G1012:Z1012" si="508">IF(VLOOKUP($E1012,$D$6:$AN$1150,3,)=0,0,(VLOOKUP($E1012,$D$6:$AN$1150,G$2,)/VLOOKUP($E1012,$D$6:$AN$1150,3,))*$F1012)</f>
        <v>1090040236.1485565</v>
      </c>
      <c r="H1012" s="76">
        <f t="shared" si="508"/>
        <v>2043658.5509688389</v>
      </c>
      <c r="I1012" s="76">
        <f t="shared" si="508"/>
        <v>305002829.58305395</v>
      </c>
      <c r="J1012" s="76">
        <f t="shared" si="508"/>
        <v>20668283.724883426</v>
      </c>
      <c r="K1012" s="76">
        <f t="shared" si="508"/>
        <v>340035763.40166694</v>
      </c>
      <c r="L1012" s="76">
        <f t="shared" si="508"/>
        <v>306939946.33540463</v>
      </c>
      <c r="M1012" s="76">
        <f t="shared" si="508"/>
        <v>261140374.4242765</v>
      </c>
      <c r="N1012" s="76">
        <f t="shared" si="508"/>
        <v>148367727.00145146</v>
      </c>
      <c r="O1012" s="76">
        <f t="shared" si="508"/>
        <v>8807272.2095681056</v>
      </c>
      <c r="P1012" s="76">
        <f t="shared" si="508"/>
        <v>9026540.6824364085</v>
      </c>
      <c r="Q1012" s="76">
        <f t="shared" si="508"/>
        <v>314394.59611862106</v>
      </c>
      <c r="R1012" s="76">
        <f t="shared" si="508"/>
        <v>432965.24533995276</v>
      </c>
      <c r="S1012" s="76">
        <f t="shared" si="508"/>
        <v>426.52919911198666</v>
      </c>
      <c r="T1012" s="76">
        <f t="shared" si="508"/>
        <v>3931.5029556203003</v>
      </c>
      <c r="U1012" s="76">
        <f t="shared" si="508"/>
        <v>0</v>
      </c>
      <c r="V1012" s="76">
        <f t="shared" si="508"/>
        <v>0</v>
      </c>
      <c r="W1012" s="76">
        <f t="shared" si="508"/>
        <v>0</v>
      </c>
      <c r="X1012" s="161">
        <f t="shared" si="508"/>
        <v>0</v>
      </c>
      <c r="Y1012" s="161">
        <f t="shared" si="508"/>
        <v>0</v>
      </c>
      <c r="Z1012" s="161">
        <f t="shared" si="508"/>
        <v>0</v>
      </c>
      <c r="AA1012" s="166">
        <f>SUM(G1012:Z1012)</f>
        <v>2492824349.9358797</v>
      </c>
      <c r="AB1012" s="163" t="str">
        <f t="shared" si="507"/>
        <v>ok</v>
      </c>
    </row>
    <row r="1013" spans="1:28" s="164" customFormat="1">
      <c r="A1013" s="60" t="s">
        <v>1339</v>
      </c>
      <c r="B1013" s="60"/>
      <c r="C1013" s="60"/>
      <c r="D1013" s="44" t="s">
        <v>1416</v>
      </c>
      <c r="E1013" s="44"/>
      <c r="F1013" s="80">
        <f t="shared" ref="F1013:Z1013" si="509">F1011+F1012</f>
        <v>2495383412.90588</v>
      </c>
      <c r="G1013" s="80">
        <f t="shared" si="509"/>
        <v>1090040236.1485565</v>
      </c>
      <c r="H1013" s="80">
        <f t="shared" si="509"/>
        <v>2043658.5509688389</v>
      </c>
      <c r="I1013" s="80">
        <f t="shared" si="509"/>
        <v>305002829.58305395</v>
      </c>
      <c r="J1013" s="80">
        <f t="shared" si="509"/>
        <v>20668283.724883426</v>
      </c>
      <c r="K1013" s="80">
        <f t="shared" si="509"/>
        <v>340035763.40166694</v>
      </c>
      <c r="L1013" s="80">
        <f t="shared" si="509"/>
        <v>306939946.33540463</v>
      </c>
      <c r="M1013" s="80">
        <f t="shared" si="509"/>
        <v>261140374.4242765</v>
      </c>
      <c r="N1013" s="80">
        <f t="shared" si="509"/>
        <v>148367727.00145146</v>
      </c>
      <c r="O1013" s="80">
        <f>O1011+O1012</f>
        <v>8807272.2095681056</v>
      </c>
      <c r="P1013" s="80">
        <f t="shared" si="509"/>
        <v>9026540.6824364085</v>
      </c>
      <c r="Q1013" s="80">
        <f t="shared" si="509"/>
        <v>314394.59611862106</v>
      </c>
      <c r="R1013" s="80">
        <f t="shared" si="509"/>
        <v>432965.24533995276</v>
      </c>
      <c r="S1013" s="80">
        <f t="shared" si="509"/>
        <v>426.52919911198666</v>
      </c>
      <c r="T1013" s="80">
        <f t="shared" si="509"/>
        <v>3931.5029556203003</v>
      </c>
      <c r="U1013" s="80">
        <f t="shared" si="509"/>
        <v>2486734.1800000002</v>
      </c>
      <c r="V1013" s="80">
        <f t="shared" si="509"/>
        <v>72328.790000000008</v>
      </c>
      <c r="W1013" s="80">
        <f t="shared" si="509"/>
        <v>0</v>
      </c>
      <c r="X1013" s="166">
        <f t="shared" si="509"/>
        <v>0</v>
      </c>
      <c r="Y1013" s="166">
        <f t="shared" si="509"/>
        <v>0</v>
      </c>
      <c r="Z1013" s="166">
        <f t="shared" si="509"/>
        <v>0</v>
      </c>
      <c r="AA1013" s="166">
        <f>SUM(G1013:Z1013)</f>
        <v>2495383412.9058795</v>
      </c>
      <c r="AB1013" s="163" t="str">
        <f t="shared" si="507"/>
        <v>ok</v>
      </c>
    </row>
    <row r="1014" spans="1:28" s="164" customFormat="1">
      <c r="A1014" s="60" t="s">
        <v>1340</v>
      </c>
      <c r="B1014" s="60"/>
      <c r="C1014" s="60"/>
      <c r="D1014" s="44" t="s">
        <v>1417</v>
      </c>
      <c r="E1014" s="44" t="s">
        <v>1416</v>
      </c>
      <c r="F1014" s="110">
        <v>1</v>
      </c>
      <c r="G1014" s="83">
        <f t="shared" ref="G1014:Z1014" si="510">IF(VLOOKUP($E1014,$D$6:$AN$1150,3,)=0,0,(VLOOKUP($E1014,$D$6:$AN$1150,G$2,)/VLOOKUP($E1014,$D$6:$AN$1150,3,))*$F1014)</f>
        <v>0.43682274656109943</v>
      </c>
      <c r="H1014" s="83">
        <f t="shared" si="510"/>
        <v>8.1897576957482205E-4</v>
      </c>
      <c r="I1014" s="83">
        <f t="shared" si="510"/>
        <v>0.12222684017438323</v>
      </c>
      <c r="J1014" s="83">
        <f t="shared" si="510"/>
        <v>8.2826084432512763E-3</v>
      </c>
      <c r="K1014" s="83">
        <f t="shared" si="510"/>
        <v>0.13626593879042198</v>
      </c>
      <c r="L1014" s="83">
        <f t="shared" si="510"/>
        <v>0.12300312038139756</v>
      </c>
      <c r="M1014" s="83">
        <f t="shared" si="510"/>
        <v>0.10464939899563487</v>
      </c>
      <c r="N1014" s="83">
        <f t="shared" si="510"/>
        <v>5.9456885957527822E-2</v>
      </c>
      <c r="O1014" s="83">
        <f t="shared" si="510"/>
        <v>3.5294264456587118E-3</v>
      </c>
      <c r="P1014" s="83">
        <f t="shared" si="510"/>
        <v>3.6172960979671577E-3</v>
      </c>
      <c r="Q1014" s="83">
        <f t="shared" si="510"/>
        <v>1.259904968882148E-4</v>
      </c>
      <c r="R1014" s="83">
        <f t="shared" si="510"/>
        <v>1.7350650128581391E-4</v>
      </c>
      <c r="S1014" s="83">
        <f t="shared" si="510"/>
        <v>1.7092731998859139E-7</v>
      </c>
      <c r="T1014" s="83">
        <f t="shared" si="510"/>
        <v>1.5755105749629295E-6</v>
      </c>
      <c r="U1014" s="83">
        <f t="shared" si="510"/>
        <v>9.9653390622813851E-4</v>
      </c>
      <c r="V1014" s="83">
        <f t="shared" si="510"/>
        <v>2.8985040786086237E-5</v>
      </c>
      <c r="W1014" s="83">
        <f t="shared" si="510"/>
        <v>0</v>
      </c>
      <c r="X1014" s="167">
        <f t="shared" si="510"/>
        <v>0</v>
      </c>
      <c r="Y1014" s="167">
        <f t="shared" si="510"/>
        <v>0</v>
      </c>
      <c r="Z1014" s="167">
        <f t="shared" si="510"/>
        <v>0</v>
      </c>
      <c r="AA1014" s="167">
        <f>SUM(G1014:Z1014)</f>
        <v>0.99999999999999989</v>
      </c>
      <c r="AB1014" s="163" t="str">
        <f t="shared" si="507"/>
        <v>ok</v>
      </c>
    </row>
    <row r="1015" spans="1:28" s="164" customFormat="1">
      <c r="A1015" s="60"/>
      <c r="B1015" s="60"/>
      <c r="C1015" s="60"/>
      <c r="D1015" s="44"/>
      <c r="E1015" s="44"/>
      <c r="F1015" s="110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167"/>
      <c r="Y1015" s="167"/>
      <c r="Z1015" s="167"/>
      <c r="AA1015" s="167"/>
      <c r="AB1015" s="163"/>
    </row>
    <row r="1016" spans="1:28" s="164" customFormat="1">
      <c r="A1016" s="60" t="s">
        <v>1341</v>
      </c>
      <c r="B1016" s="60"/>
      <c r="C1016" s="60"/>
      <c r="D1016" s="44" t="s">
        <v>1418</v>
      </c>
      <c r="E1016" s="44"/>
      <c r="F1016" s="79">
        <f>F1009</f>
        <v>13356557.409255272</v>
      </c>
      <c r="G1016" s="79">
        <f t="shared" ref="G1016:U1016" si="511">G1009</f>
        <v>5840437.5715003172</v>
      </c>
      <c r="H1016" s="79">
        <f t="shared" si="511"/>
        <v>10949.926239942595</v>
      </c>
      <c r="I1016" s="79">
        <f t="shared" si="511"/>
        <v>1634205.716666779</v>
      </c>
      <c r="J1016" s="79">
        <f t="shared" si="511"/>
        <v>110740.70185862978</v>
      </c>
      <c r="K1016" s="79">
        <f t="shared" si="511"/>
        <v>1821912.2399021527</v>
      </c>
      <c r="L1016" s="79">
        <f t="shared" si="511"/>
        <v>1644584.7917555904</v>
      </c>
      <c r="M1016" s="79">
        <f t="shared" si="511"/>
        <v>1399190.6020020954</v>
      </c>
      <c r="N1016" s="79">
        <f t="shared" si="511"/>
        <v>794954.55162196734</v>
      </c>
      <c r="O1016" s="79">
        <f t="shared" si="511"/>
        <v>47189.380547033208</v>
      </c>
      <c r="P1016" s="79">
        <f t="shared" si="511"/>
        <v>48364.221424201525</v>
      </c>
      <c r="Q1016" s="79">
        <f t="shared" si="511"/>
        <v>1684.5268188775508</v>
      </c>
      <c r="R1016" s="79">
        <f t="shared" si="511"/>
        <v>2319.828573458904</v>
      </c>
      <c r="S1016" s="79">
        <f t="shared" si="511"/>
        <v>2.2853442260420227</v>
      </c>
      <c r="T1016" s="79">
        <f t="shared" si="511"/>
        <v>21.065000000000001</v>
      </c>
      <c r="U1016" s="79">
        <f t="shared" si="511"/>
        <v>0</v>
      </c>
      <c r="V1016" s="79">
        <f t="shared" ref="V1016:Z1016" si="512">V1002</f>
        <v>0</v>
      </c>
      <c r="W1016" s="79">
        <f t="shared" si="512"/>
        <v>0</v>
      </c>
      <c r="X1016" s="160">
        <f t="shared" si="512"/>
        <v>0</v>
      </c>
      <c r="Y1016" s="160">
        <f t="shared" si="512"/>
        <v>0</v>
      </c>
      <c r="Z1016" s="160">
        <f t="shared" si="512"/>
        <v>0</v>
      </c>
      <c r="AA1016" s="160">
        <f>SUM(G1016:Z1016)</f>
        <v>13356557.409255272</v>
      </c>
      <c r="AB1016" s="163" t="str">
        <f t="shared" ref="AB1016:AB1021" si="513">IF(ABS(F1016-AA1016)&lt;0.01,"ok","err")</f>
        <v>ok</v>
      </c>
    </row>
    <row r="1017" spans="1:28" s="164" customFormat="1">
      <c r="A1017" s="60" t="s">
        <v>1342</v>
      </c>
      <c r="B1017" s="60"/>
      <c r="C1017" s="60"/>
      <c r="D1017" s="44"/>
      <c r="E1017" s="44"/>
      <c r="F1017" s="80">
        <f>F125</f>
        <v>2009588145.2784369</v>
      </c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AA1017" s="166">
        <f>F1017</f>
        <v>2009588145.2784369</v>
      </c>
      <c r="AB1017" s="163" t="str">
        <f t="shared" si="513"/>
        <v>ok</v>
      </c>
    </row>
    <row r="1018" spans="1:28" s="164" customFormat="1">
      <c r="A1018" s="60" t="s">
        <v>152</v>
      </c>
      <c r="B1018" s="60"/>
      <c r="C1018" s="60"/>
      <c r="D1018" s="44"/>
      <c r="E1018" s="44"/>
      <c r="F1018" s="80">
        <v>2375298.6300000004</v>
      </c>
      <c r="G1018" s="60"/>
      <c r="H1018" s="79">
        <v>0</v>
      </c>
      <c r="I1018" s="76">
        <v>0</v>
      </c>
      <c r="J1018" s="79">
        <v>0</v>
      </c>
      <c r="K1018" s="79">
        <v>0</v>
      </c>
      <c r="L1018" s="112">
        <v>0</v>
      </c>
      <c r="M1018" s="79">
        <v>0</v>
      </c>
      <c r="N1018" s="79">
        <v>0</v>
      </c>
      <c r="O1018" s="79">
        <v>0</v>
      </c>
      <c r="P1018" s="79">
        <v>0</v>
      </c>
      <c r="Q1018" s="60"/>
      <c r="R1018" s="60"/>
      <c r="S1018" s="60"/>
      <c r="T1018" s="79">
        <v>0</v>
      </c>
      <c r="U1018" s="79">
        <f>U1011-172112.34</f>
        <v>2314621.8400000003</v>
      </c>
      <c r="V1018" s="375">
        <f>V1011-11652</f>
        <v>60676.790000000008</v>
      </c>
      <c r="W1018" s="79">
        <v>0</v>
      </c>
      <c r="AA1018" s="166">
        <f>SUM(G1018:Z1018)</f>
        <v>2375298.6300000004</v>
      </c>
      <c r="AB1018" s="163" t="str">
        <f t="shared" si="513"/>
        <v>ok</v>
      </c>
    </row>
    <row r="1019" spans="1:28" s="164" customFormat="1">
      <c r="A1019" s="60" t="s">
        <v>1343</v>
      </c>
      <c r="B1019" s="60"/>
      <c r="C1019" s="60"/>
      <c r="D1019" s="44"/>
      <c r="E1019" s="44" t="s">
        <v>1418</v>
      </c>
      <c r="F1019" s="80">
        <f>F1017-F1018</f>
        <v>2007212846.6484368</v>
      </c>
      <c r="G1019" s="76">
        <f t="shared" ref="G1019:Z1019" si="514">IF(VLOOKUP($E1019,$D$6:$AN$1150,3,)=0,0,(VLOOKUP($E1019,$D$6:$AN$1150,G$2,)/VLOOKUP($E1019,$D$6:$AN$1150,3,))*$F1019)</f>
        <v>877696322.81446397</v>
      </c>
      <c r="H1019" s="76">
        <f t="shared" si="514"/>
        <v>1645546.2246159038</v>
      </c>
      <c r="I1019" s="76">
        <f t="shared" si="514"/>
        <v>245587138.06649747</v>
      </c>
      <c r="J1019" s="76">
        <f t="shared" si="514"/>
        <v>16642024.782784196</v>
      </c>
      <c r="K1019" s="76">
        <f t="shared" si="514"/>
        <v>273795525.39964962</v>
      </c>
      <c r="L1019" s="76">
        <f t="shared" si="514"/>
        <v>247146897.23319376</v>
      </c>
      <c r="M1019" s="76">
        <f t="shared" si="514"/>
        <v>210269253.16116762</v>
      </c>
      <c r="N1019" s="76">
        <f t="shared" si="514"/>
        <v>119465139.07929438</v>
      </c>
      <c r="O1019" s="76">
        <f t="shared" si="514"/>
        <v>7091582.6554043312</v>
      </c>
      <c r="P1019" s="76">
        <f t="shared" si="514"/>
        <v>7268136.8099790653</v>
      </c>
      <c r="Q1019" s="76">
        <f t="shared" si="514"/>
        <v>253149.35336794783</v>
      </c>
      <c r="R1019" s="76">
        <f t="shared" si="514"/>
        <v>348621.996820995</v>
      </c>
      <c r="S1019" s="76">
        <f t="shared" si="514"/>
        <v>343.43971646067638</v>
      </c>
      <c r="T1019" s="76">
        <f t="shared" si="514"/>
        <v>3165.6314811592501</v>
      </c>
      <c r="U1019" s="76">
        <f t="shared" si="514"/>
        <v>0</v>
      </c>
      <c r="V1019" s="76">
        <f t="shared" si="514"/>
        <v>0</v>
      </c>
      <c r="W1019" s="76">
        <f t="shared" si="514"/>
        <v>0</v>
      </c>
      <c r="X1019" s="161">
        <f t="shared" si="514"/>
        <v>0</v>
      </c>
      <c r="Y1019" s="161">
        <f t="shared" si="514"/>
        <v>0</v>
      </c>
      <c r="Z1019" s="161">
        <f t="shared" si="514"/>
        <v>0</v>
      </c>
      <c r="AA1019" s="166">
        <f>SUM(G1019:Z1019)</f>
        <v>2007212846.648437</v>
      </c>
      <c r="AB1019" s="163" t="str">
        <f t="shared" si="513"/>
        <v>ok</v>
      </c>
    </row>
    <row r="1020" spans="1:28" s="164" customFormat="1">
      <c r="A1020" s="60" t="s">
        <v>1344</v>
      </c>
      <c r="B1020" s="60"/>
      <c r="C1020" s="60"/>
      <c r="D1020" s="44" t="s">
        <v>1419</v>
      </c>
      <c r="E1020" s="44"/>
      <c r="F1020" s="80">
        <f t="shared" ref="F1020:N1020" si="515">F1018+F1019</f>
        <v>2009588145.2784369</v>
      </c>
      <c r="G1020" s="80">
        <f t="shared" si="515"/>
        <v>877696322.81446397</v>
      </c>
      <c r="H1020" s="80">
        <f t="shared" si="515"/>
        <v>1645546.2246159038</v>
      </c>
      <c r="I1020" s="80">
        <f t="shared" si="515"/>
        <v>245587138.06649747</v>
      </c>
      <c r="J1020" s="80">
        <f t="shared" si="515"/>
        <v>16642024.782784196</v>
      </c>
      <c r="K1020" s="80">
        <f t="shared" si="515"/>
        <v>273795525.39964962</v>
      </c>
      <c r="L1020" s="80">
        <f t="shared" si="515"/>
        <v>247146897.23319376</v>
      </c>
      <c r="M1020" s="80">
        <f t="shared" si="515"/>
        <v>210269253.16116762</v>
      </c>
      <c r="N1020" s="80">
        <f t="shared" si="515"/>
        <v>119465139.07929438</v>
      </c>
      <c r="O1020" s="80">
        <f>O1018+O1019</f>
        <v>7091582.6554043312</v>
      </c>
      <c r="P1020" s="80">
        <f t="shared" ref="P1020:Z1020" si="516">P1018+P1019</f>
        <v>7268136.8099790653</v>
      </c>
      <c r="Q1020" s="80">
        <f t="shared" si="516"/>
        <v>253149.35336794783</v>
      </c>
      <c r="R1020" s="80">
        <f t="shared" si="516"/>
        <v>348621.996820995</v>
      </c>
      <c r="S1020" s="80">
        <f t="shared" si="516"/>
        <v>343.43971646067638</v>
      </c>
      <c r="T1020" s="80">
        <f t="shared" si="516"/>
        <v>3165.6314811592501</v>
      </c>
      <c r="U1020" s="80">
        <f t="shared" si="516"/>
        <v>2314621.8400000003</v>
      </c>
      <c r="V1020" s="80">
        <f t="shared" si="516"/>
        <v>60676.790000000008</v>
      </c>
      <c r="W1020" s="80">
        <f t="shared" si="516"/>
        <v>0</v>
      </c>
      <c r="X1020" s="166">
        <f t="shared" si="516"/>
        <v>0</v>
      </c>
      <c r="Y1020" s="166">
        <f t="shared" si="516"/>
        <v>0</v>
      </c>
      <c r="Z1020" s="166">
        <f t="shared" si="516"/>
        <v>0</v>
      </c>
      <c r="AA1020" s="166">
        <f>SUM(G1020:Z1020)</f>
        <v>2009588145.2784369</v>
      </c>
      <c r="AB1020" s="163" t="str">
        <f t="shared" si="513"/>
        <v>ok</v>
      </c>
    </row>
    <row r="1021" spans="1:28" s="164" customFormat="1">
      <c r="A1021" s="60" t="s">
        <v>1345</v>
      </c>
      <c r="B1021" s="60"/>
      <c r="C1021" s="60"/>
      <c r="D1021" s="44" t="s">
        <v>1420</v>
      </c>
      <c r="E1021" s="44" t="s">
        <v>1419</v>
      </c>
      <c r="F1021" s="110">
        <v>1</v>
      </c>
      <c r="G1021" s="83">
        <f t="shared" ref="G1021:Z1021" si="517">IF(VLOOKUP($E1021,$D$6:$AN$1150,3,)=0,0,(VLOOKUP($E1021,$D$6:$AN$1150,G$2,)/VLOOKUP($E1021,$D$6:$AN$1150,3,))*$F1021)</f>
        <v>0.43675432942646836</v>
      </c>
      <c r="H1021" s="83">
        <f t="shared" si="517"/>
        <v>8.1884749792246936E-4</v>
      </c>
      <c r="I1021" s="83">
        <f t="shared" si="517"/>
        <v>0.12220769645935105</v>
      </c>
      <c r="J1021" s="83">
        <f t="shared" si="517"/>
        <v>8.2813111840278966E-3</v>
      </c>
      <c r="K1021" s="83">
        <f t="shared" si="517"/>
        <v>0.13624459620889837</v>
      </c>
      <c r="L1021" s="83">
        <f t="shared" si="517"/>
        <v>0.12298385508188321</v>
      </c>
      <c r="M1021" s="83">
        <f t="shared" si="517"/>
        <v>0.10463300833815077</v>
      </c>
      <c r="N1021" s="83">
        <f t="shared" si="517"/>
        <v>5.9447573553804971E-2</v>
      </c>
      <c r="O1021" s="83">
        <f t="shared" si="517"/>
        <v>3.5288736510842439E-3</v>
      </c>
      <c r="P1021" s="83">
        <f t="shared" si="517"/>
        <v>3.6167295408542702E-3</v>
      </c>
      <c r="Q1021" s="83">
        <f t="shared" si="517"/>
        <v>1.2597076369241466E-4</v>
      </c>
      <c r="R1021" s="83">
        <f t="shared" si="517"/>
        <v>1.7347932592063134E-4</v>
      </c>
      <c r="S1021" s="83">
        <f t="shared" si="517"/>
        <v>1.7090054858633302E-7</v>
      </c>
      <c r="T1021" s="83">
        <f t="shared" si="517"/>
        <v>1.5752638114416418E-6</v>
      </c>
      <c r="U1021" s="83">
        <f t="shared" si="517"/>
        <v>1.1517891591061808E-3</v>
      </c>
      <c r="V1021" s="83">
        <f t="shared" si="517"/>
        <v>3.0193644475143429E-5</v>
      </c>
      <c r="W1021" s="83">
        <f t="shared" si="517"/>
        <v>0</v>
      </c>
      <c r="X1021" s="167">
        <f t="shared" si="517"/>
        <v>0</v>
      </c>
      <c r="Y1021" s="167">
        <f t="shared" si="517"/>
        <v>0</v>
      </c>
      <c r="Z1021" s="167">
        <f t="shared" si="517"/>
        <v>0</v>
      </c>
      <c r="AA1021" s="167">
        <f>SUM(G1021:Z1021)</f>
        <v>0.99999999999999989</v>
      </c>
      <c r="AB1021" s="163" t="str">
        <f t="shared" si="513"/>
        <v>ok</v>
      </c>
    </row>
    <row r="1022" spans="1:28" s="170" customFormat="1">
      <c r="A1022" s="60"/>
      <c r="B1022" s="60"/>
      <c r="C1022" s="60"/>
      <c r="D1022" s="44"/>
      <c r="E1022" s="44"/>
      <c r="F1022" s="110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176"/>
      <c r="X1022" s="176"/>
      <c r="Y1022" s="176"/>
      <c r="Z1022" s="176"/>
      <c r="AA1022" s="176"/>
      <c r="AB1022" s="172"/>
    </row>
    <row r="1023" spans="1:28" s="164" customFormat="1">
      <c r="A1023" s="60" t="s">
        <v>1261</v>
      </c>
      <c r="B1023" s="60"/>
      <c r="C1023" s="60"/>
      <c r="D1023" s="44" t="s">
        <v>1421</v>
      </c>
      <c r="E1023" s="44"/>
      <c r="F1023" s="79">
        <f>F1009</f>
        <v>13356557.409255272</v>
      </c>
      <c r="G1023" s="79">
        <f t="shared" ref="G1023:U1023" si="518">G1009</f>
        <v>5840437.5715003172</v>
      </c>
      <c r="H1023" s="79">
        <f t="shared" si="518"/>
        <v>10949.926239942595</v>
      </c>
      <c r="I1023" s="79">
        <f t="shared" si="518"/>
        <v>1634205.716666779</v>
      </c>
      <c r="J1023" s="79">
        <f t="shared" si="518"/>
        <v>110740.70185862978</v>
      </c>
      <c r="K1023" s="79">
        <f t="shared" si="518"/>
        <v>1821912.2399021527</v>
      </c>
      <c r="L1023" s="79">
        <f t="shared" si="518"/>
        <v>1644584.7917555904</v>
      </c>
      <c r="M1023" s="79">
        <f t="shared" si="518"/>
        <v>1399190.6020020954</v>
      </c>
      <c r="N1023" s="79">
        <f t="shared" si="518"/>
        <v>794954.55162196734</v>
      </c>
      <c r="O1023" s="79">
        <f t="shared" si="518"/>
        <v>47189.380547033208</v>
      </c>
      <c r="P1023" s="79">
        <f t="shared" si="518"/>
        <v>48364.221424201525</v>
      </c>
      <c r="Q1023" s="79">
        <f t="shared" si="518"/>
        <v>1684.5268188775508</v>
      </c>
      <c r="R1023" s="79">
        <f t="shared" si="518"/>
        <v>2319.828573458904</v>
      </c>
      <c r="S1023" s="79">
        <f t="shared" si="518"/>
        <v>2.2853442260420227</v>
      </c>
      <c r="T1023" s="79">
        <f t="shared" si="518"/>
        <v>21.065000000000001</v>
      </c>
      <c r="U1023" s="79">
        <f t="shared" si="518"/>
        <v>0</v>
      </c>
      <c r="V1023" s="79">
        <v>0</v>
      </c>
      <c r="W1023" s="79">
        <f>W1004</f>
        <v>0</v>
      </c>
      <c r="X1023" s="160">
        <f>X1004</f>
        <v>0</v>
      </c>
      <c r="Y1023" s="160">
        <f>Y1004</f>
        <v>0</v>
      </c>
      <c r="Z1023" s="160">
        <f>Z1004</f>
        <v>0</v>
      </c>
      <c r="AA1023" s="160">
        <f>SUM(G1023:Z1023)</f>
        <v>13356557.409255272</v>
      </c>
      <c r="AB1023" s="163" t="str">
        <f t="shared" ref="AB1023:AB1028" si="519">IF(ABS(F1023-AA1023)&lt;0.01,"ok","err")</f>
        <v>ok</v>
      </c>
    </row>
    <row r="1024" spans="1:28" s="164" customFormat="1">
      <c r="A1024" s="60" t="s">
        <v>1262</v>
      </c>
      <c r="B1024" s="60"/>
      <c r="C1024" s="60"/>
      <c r="D1024" s="44"/>
      <c r="E1024" s="44"/>
      <c r="F1024" s="80">
        <f>F182</f>
        <v>111958098.21523491</v>
      </c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AA1024" s="166">
        <f>F1024</f>
        <v>111958098.21523491</v>
      </c>
      <c r="AB1024" s="163" t="str">
        <f t="shared" si="519"/>
        <v>ok</v>
      </c>
    </row>
    <row r="1025" spans="1:28" s="164" customFormat="1">
      <c r="A1025" s="60" t="s">
        <v>152</v>
      </c>
      <c r="B1025" s="60"/>
      <c r="C1025" s="60"/>
      <c r="D1025" s="44"/>
      <c r="E1025" s="44"/>
      <c r="F1025" s="80">
        <v>71903</v>
      </c>
      <c r="G1025" s="60"/>
      <c r="H1025" s="79">
        <v>0</v>
      </c>
      <c r="I1025" s="76">
        <v>0</v>
      </c>
      <c r="J1025" s="79">
        <v>0</v>
      </c>
      <c r="K1025" s="79">
        <v>0</v>
      </c>
      <c r="L1025" s="112">
        <v>0</v>
      </c>
      <c r="M1025" s="79">
        <v>0</v>
      </c>
      <c r="N1025" s="79">
        <v>0</v>
      </c>
      <c r="O1025" s="79">
        <v>0</v>
      </c>
      <c r="P1025" s="79">
        <v>0</v>
      </c>
      <c r="Q1025" s="60"/>
      <c r="R1025" s="60"/>
      <c r="S1025" s="60"/>
      <c r="T1025" s="79"/>
      <c r="U1025" s="79">
        <v>71903</v>
      </c>
      <c r="V1025" s="79">
        <v>0</v>
      </c>
      <c r="W1025" s="79">
        <v>0</v>
      </c>
      <c r="AA1025" s="166">
        <f>SUM(G1025:Z1025)</f>
        <v>71903</v>
      </c>
      <c r="AB1025" s="163" t="str">
        <f t="shared" si="519"/>
        <v>ok</v>
      </c>
    </row>
    <row r="1026" spans="1:28" s="164" customFormat="1">
      <c r="A1026" s="60" t="s">
        <v>1273</v>
      </c>
      <c r="B1026" s="60"/>
      <c r="C1026" s="60"/>
      <c r="D1026" s="44"/>
      <c r="E1026" s="44" t="s">
        <v>1421</v>
      </c>
      <c r="F1026" s="80">
        <f>F1024-F1025</f>
        <v>111886195.21523491</v>
      </c>
      <c r="G1026" s="76">
        <f t="shared" ref="G1026:Z1026" si="520">IF(VLOOKUP($E1026,$D$6:$AN$1150,3,)=0,0,(VLOOKUP($E1026,$D$6:$AN$1150,G$2,)/VLOOKUP($E1026,$D$6:$AN$1150,3,))*$F1026)</f>
        <v>48924608.20888371</v>
      </c>
      <c r="H1026" s="76">
        <f t="shared" si="520"/>
        <v>91726.149735686369</v>
      </c>
      <c r="I1026" s="76">
        <f t="shared" si="520"/>
        <v>13689534.977787893</v>
      </c>
      <c r="J1026" s="76">
        <f t="shared" si="520"/>
        <v>927660.87898076372</v>
      </c>
      <c r="K1026" s="76">
        <f t="shared" si="520"/>
        <v>15261928.825871317</v>
      </c>
      <c r="L1026" s="76">
        <f t="shared" si="520"/>
        <v>13776479.179497808</v>
      </c>
      <c r="M1026" s="76">
        <f t="shared" si="520"/>
        <v>11720843.031786686</v>
      </c>
      <c r="N1026" s="76">
        <f t="shared" si="520"/>
        <v>6659233.9196911594</v>
      </c>
      <c r="O1026" s="76">
        <f t="shared" si="520"/>
        <v>395299.48340676184</v>
      </c>
      <c r="P1026" s="76">
        <f t="shared" si="520"/>
        <v>405140.97711670585</v>
      </c>
      <c r="Q1026" s="76">
        <f t="shared" si="520"/>
        <v>14111.068498206771</v>
      </c>
      <c r="R1026" s="76">
        <f t="shared" si="520"/>
        <v>19432.91109249798</v>
      </c>
      <c r="S1026" s="76">
        <f t="shared" si="520"/>
        <v>19.144040067672258</v>
      </c>
      <c r="T1026" s="76">
        <f t="shared" si="520"/>
        <v>176.458845643545</v>
      </c>
      <c r="U1026" s="76">
        <f t="shared" si="520"/>
        <v>0</v>
      </c>
      <c r="V1026" s="76">
        <f t="shared" si="520"/>
        <v>0</v>
      </c>
      <c r="W1026" s="76">
        <f t="shared" si="520"/>
        <v>0</v>
      </c>
      <c r="X1026" s="161">
        <f t="shared" si="520"/>
        <v>0</v>
      </c>
      <c r="Y1026" s="161">
        <f t="shared" si="520"/>
        <v>0</v>
      </c>
      <c r="Z1026" s="161">
        <f t="shared" si="520"/>
        <v>0</v>
      </c>
      <c r="AA1026" s="166">
        <f>SUM(G1026:Z1026)</f>
        <v>111886195.21523491</v>
      </c>
      <c r="AB1026" s="163" t="str">
        <f t="shared" si="519"/>
        <v>ok</v>
      </c>
    </row>
    <row r="1027" spans="1:28" s="164" customFormat="1">
      <c r="A1027" s="60" t="s">
        <v>1272</v>
      </c>
      <c r="B1027" s="60"/>
      <c r="C1027" s="60"/>
      <c r="D1027" s="44" t="s">
        <v>1422</v>
      </c>
      <c r="E1027" s="44"/>
      <c r="F1027" s="80">
        <f t="shared" ref="F1027:N1027" si="521">F1025+F1026</f>
        <v>111958098.21523491</v>
      </c>
      <c r="G1027" s="80">
        <f t="shared" si="521"/>
        <v>48924608.20888371</v>
      </c>
      <c r="H1027" s="80">
        <f t="shared" si="521"/>
        <v>91726.149735686369</v>
      </c>
      <c r="I1027" s="80">
        <f t="shared" si="521"/>
        <v>13689534.977787893</v>
      </c>
      <c r="J1027" s="80">
        <f t="shared" si="521"/>
        <v>927660.87898076372</v>
      </c>
      <c r="K1027" s="80">
        <f t="shared" si="521"/>
        <v>15261928.825871317</v>
      </c>
      <c r="L1027" s="80">
        <f t="shared" si="521"/>
        <v>13776479.179497808</v>
      </c>
      <c r="M1027" s="80">
        <f t="shared" si="521"/>
        <v>11720843.031786686</v>
      </c>
      <c r="N1027" s="80">
        <f t="shared" si="521"/>
        <v>6659233.9196911594</v>
      </c>
      <c r="O1027" s="80">
        <f>O1025+O1026</f>
        <v>395299.48340676184</v>
      </c>
      <c r="P1027" s="80">
        <f t="shared" ref="P1027:Z1027" si="522">P1025+P1026</f>
        <v>405140.97711670585</v>
      </c>
      <c r="Q1027" s="80">
        <f t="shared" si="522"/>
        <v>14111.068498206771</v>
      </c>
      <c r="R1027" s="80">
        <f t="shared" si="522"/>
        <v>19432.91109249798</v>
      </c>
      <c r="S1027" s="80">
        <f t="shared" si="522"/>
        <v>19.144040067672258</v>
      </c>
      <c r="T1027" s="80">
        <f t="shared" si="522"/>
        <v>176.458845643545</v>
      </c>
      <c r="U1027" s="80">
        <f t="shared" si="522"/>
        <v>71903</v>
      </c>
      <c r="V1027" s="80">
        <f t="shared" si="522"/>
        <v>0</v>
      </c>
      <c r="W1027" s="80">
        <f t="shared" si="522"/>
        <v>0</v>
      </c>
      <c r="X1027" s="166">
        <f t="shared" si="522"/>
        <v>0</v>
      </c>
      <c r="Y1027" s="166">
        <f t="shared" si="522"/>
        <v>0</v>
      </c>
      <c r="Z1027" s="166">
        <f t="shared" si="522"/>
        <v>0</v>
      </c>
      <c r="AA1027" s="166">
        <f>SUM(G1027:Z1027)</f>
        <v>111958098.21523491</v>
      </c>
      <c r="AB1027" s="163" t="str">
        <f t="shared" si="519"/>
        <v>ok</v>
      </c>
    </row>
    <row r="1028" spans="1:28" s="164" customFormat="1">
      <c r="A1028" s="60" t="s">
        <v>1271</v>
      </c>
      <c r="B1028" s="60"/>
      <c r="C1028" s="60"/>
      <c r="D1028" s="44" t="s">
        <v>1423</v>
      </c>
      <c r="E1028" s="44" t="s">
        <v>1422</v>
      </c>
      <c r="F1028" s="110">
        <v>1</v>
      </c>
      <c r="G1028" s="83">
        <f t="shared" ref="G1028:Z1028" si="523">IF(VLOOKUP($E1028,$D$6:$AN$1150,3,)=0,0,(VLOOKUP($E1028,$D$6:$AN$1150,G$2,)/VLOOKUP($E1028,$D$6:$AN$1150,3,))*$F1028)</f>
        <v>0.43699034718174773</v>
      </c>
      <c r="H1028" s="83">
        <f t="shared" si="523"/>
        <v>8.1928999507786002E-4</v>
      </c>
      <c r="I1028" s="83">
        <f t="shared" si="523"/>
        <v>0.12227373629972096</v>
      </c>
      <c r="J1028" s="83">
        <f t="shared" si="523"/>
        <v>8.285786323356201E-3</v>
      </c>
      <c r="K1028" s="83">
        <f t="shared" si="523"/>
        <v>0.13631822145219794</v>
      </c>
      <c r="L1028" s="83">
        <f t="shared" si="523"/>
        <v>0.12305031435075903</v>
      </c>
      <c r="M1028" s="83">
        <f t="shared" si="523"/>
        <v>0.10468955098945894</v>
      </c>
      <c r="N1028" s="83">
        <f t="shared" si="523"/>
        <v>5.9479698439402318E-2</v>
      </c>
      <c r="O1028" s="83">
        <f t="shared" si="523"/>
        <v>3.5307806197887948E-3</v>
      </c>
      <c r="P1028" s="83">
        <f t="shared" si="523"/>
        <v>3.6186839860198297E-3</v>
      </c>
      <c r="Q1028" s="83">
        <f t="shared" si="523"/>
        <v>1.2603883705740351E-4</v>
      </c>
      <c r="R1028" s="83">
        <f t="shared" si="523"/>
        <v>1.7357307244661297E-4</v>
      </c>
      <c r="S1028" s="83">
        <f t="shared" si="523"/>
        <v>1.7099290156633971E-7</v>
      </c>
      <c r="T1028" s="83">
        <f t="shared" si="523"/>
        <v>1.5761150685527905E-6</v>
      </c>
      <c r="U1028" s="83">
        <f t="shared" si="523"/>
        <v>6.422313449963164E-4</v>
      </c>
      <c r="V1028" s="83">
        <f t="shared" si="523"/>
        <v>0</v>
      </c>
      <c r="W1028" s="83">
        <f t="shared" si="523"/>
        <v>0</v>
      </c>
      <c r="X1028" s="161">
        <f t="shared" si="523"/>
        <v>0</v>
      </c>
      <c r="Y1028" s="161">
        <f t="shared" si="523"/>
        <v>0</v>
      </c>
      <c r="Z1028" s="161">
        <f t="shared" si="523"/>
        <v>0</v>
      </c>
      <c r="AA1028" s="167">
        <f>SUM(G1028:Z1028)</f>
        <v>1.0000000000000002</v>
      </c>
      <c r="AB1028" s="163" t="str">
        <f t="shared" si="519"/>
        <v>ok</v>
      </c>
    </row>
    <row r="1029" spans="1:28" s="164" customFormat="1">
      <c r="A1029" s="60"/>
      <c r="B1029" s="60"/>
      <c r="C1029" s="60"/>
      <c r="D1029" s="44"/>
      <c r="E1029" s="44"/>
      <c r="F1029" s="110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167"/>
      <c r="Y1029" s="167"/>
      <c r="Z1029" s="167"/>
      <c r="AA1029" s="167"/>
      <c r="AB1029" s="163"/>
    </row>
    <row r="1030" spans="1:28" s="164" customFormat="1">
      <c r="A1030" s="60" t="s">
        <v>1259</v>
      </c>
      <c r="B1030" s="60"/>
      <c r="C1030" s="60"/>
      <c r="D1030" s="44" t="s">
        <v>1424</v>
      </c>
      <c r="E1030" s="44"/>
      <c r="F1030" s="79">
        <f>F997</f>
        <v>13356557.409255272</v>
      </c>
      <c r="G1030" s="79">
        <f>G1009</f>
        <v>5840437.5715003172</v>
      </c>
      <c r="H1030" s="79">
        <f t="shared" ref="H1030:U1030" si="524">H1009</f>
        <v>10949.926239942595</v>
      </c>
      <c r="I1030" s="79">
        <f t="shared" si="524"/>
        <v>1634205.716666779</v>
      </c>
      <c r="J1030" s="79">
        <f t="shared" si="524"/>
        <v>110740.70185862978</v>
      </c>
      <c r="K1030" s="79">
        <f t="shared" si="524"/>
        <v>1821912.2399021527</v>
      </c>
      <c r="L1030" s="79">
        <f t="shared" si="524"/>
        <v>1644584.7917555904</v>
      </c>
      <c r="M1030" s="79">
        <f t="shared" si="524"/>
        <v>1399190.6020020954</v>
      </c>
      <c r="N1030" s="79">
        <f t="shared" si="524"/>
        <v>794954.55162196734</v>
      </c>
      <c r="O1030" s="79">
        <f t="shared" si="524"/>
        <v>47189.380547033208</v>
      </c>
      <c r="P1030" s="79">
        <f t="shared" si="524"/>
        <v>48364.221424201525</v>
      </c>
      <c r="Q1030" s="79">
        <f t="shared" si="524"/>
        <v>1684.5268188775508</v>
      </c>
      <c r="R1030" s="79">
        <f t="shared" si="524"/>
        <v>2319.828573458904</v>
      </c>
      <c r="S1030" s="79">
        <f t="shared" si="524"/>
        <v>2.2853442260420227</v>
      </c>
      <c r="T1030" s="79">
        <f t="shared" si="524"/>
        <v>21.065000000000001</v>
      </c>
      <c r="U1030" s="79">
        <f t="shared" si="524"/>
        <v>0</v>
      </c>
      <c r="V1030" s="79">
        <f t="shared" ref="V1030:Z1030" si="525">V997</f>
        <v>0</v>
      </c>
      <c r="W1030" s="79">
        <f t="shared" si="525"/>
        <v>0</v>
      </c>
      <c r="X1030" s="160">
        <f t="shared" si="525"/>
        <v>0</v>
      </c>
      <c r="Y1030" s="160">
        <f t="shared" si="525"/>
        <v>0</v>
      </c>
      <c r="Z1030" s="160">
        <f t="shared" si="525"/>
        <v>0</v>
      </c>
      <c r="AA1030" s="160">
        <f>SUM(G1030:Z1030)</f>
        <v>13356557.409255272</v>
      </c>
      <c r="AB1030" s="163" t="str">
        <f t="shared" ref="AB1030:AB1035" si="526">IF(ABS(F1030-AA1030)&lt;0.01,"ok","err")</f>
        <v>ok</v>
      </c>
    </row>
    <row r="1031" spans="1:28" s="164" customFormat="1">
      <c r="A1031" s="60" t="s">
        <v>1260</v>
      </c>
      <c r="B1031" s="60"/>
      <c r="C1031" s="60"/>
      <c r="D1031" s="44"/>
      <c r="E1031" s="44"/>
      <c r="F1031" s="80">
        <f>F302</f>
        <v>212733072.11107191</v>
      </c>
      <c r="G1031" s="11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AA1031" s="166">
        <f>F1031</f>
        <v>212733072.11107191</v>
      </c>
      <c r="AB1031" s="163" t="str">
        <f t="shared" si="526"/>
        <v>ok</v>
      </c>
    </row>
    <row r="1032" spans="1:28" s="164" customFormat="1">
      <c r="A1032" s="60" t="s">
        <v>152</v>
      </c>
      <c r="B1032" s="60"/>
      <c r="C1032" s="60"/>
      <c r="D1032" s="44"/>
      <c r="E1032" s="44"/>
      <c r="F1032" s="80">
        <v>87023.934208333303</v>
      </c>
      <c r="G1032" s="60"/>
      <c r="H1032" s="79">
        <v>0</v>
      </c>
      <c r="I1032" s="76">
        <v>0</v>
      </c>
      <c r="J1032" s="79">
        <v>0</v>
      </c>
      <c r="K1032" s="79">
        <v>0</v>
      </c>
      <c r="L1032" s="112">
        <v>0</v>
      </c>
      <c r="M1032" s="79">
        <v>0</v>
      </c>
      <c r="N1032" s="79">
        <v>0</v>
      </c>
      <c r="O1032" s="79">
        <v>0</v>
      </c>
      <c r="P1032" s="79">
        <v>0</v>
      </c>
      <c r="Q1032" s="60"/>
      <c r="R1032" s="60"/>
      <c r="S1032" s="60"/>
      <c r="T1032" s="375">
        <v>0</v>
      </c>
      <c r="U1032" s="375">
        <v>83869.534208333309</v>
      </c>
      <c r="V1032" s="375">
        <f>3154.4</f>
        <v>3154.4</v>
      </c>
      <c r="W1032" s="79">
        <v>0</v>
      </c>
      <c r="AA1032" s="166">
        <f>SUM(G1032:Z1032)</f>
        <v>87023.934208333303</v>
      </c>
      <c r="AB1032" s="163" t="str">
        <f t="shared" si="526"/>
        <v>ok</v>
      </c>
    </row>
    <row r="1033" spans="1:28" s="164" customFormat="1">
      <c r="A1033" s="60" t="s">
        <v>1268</v>
      </c>
      <c r="B1033" s="60"/>
      <c r="C1033" s="60"/>
      <c r="D1033" s="44"/>
      <c r="E1033" s="44" t="s">
        <v>1424</v>
      </c>
      <c r="F1033" s="80">
        <f>F1031-F1032</f>
        <v>212646048.17686358</v>
      </c>
      <c r="G1033" s="76">
        <f t="shared" ref="G1033:Z1033" si="527">IF(VLOOKUP($E1033,$D$6:$AN$1150,3,)=0,0,(VLOOKUP($E1033,$D$6:$AN$1150,G$2,)/VLOOKUP($E1033,$D$6:$AN$1150,3,))*$F1033)</f>
        <v>92983987.651086539</v>
      </c>
      <c r="H1033" s="76">
        <f t="shared" si="527"/>
        <v>174330.74043004954</v>
      </c>
      <c r="I1033" s="76">
        <f t="shared" si="527"/>
        <v>26017736.225685559</v>
      </c>
      <c r="J1033" s="76">
        <f t="shared" si="527"/>
        <v>1763072.0178129254</v>
      </c>
      <c r="K1033" s="76">
        <f t="shared" si="527"/>
        <v>29006159.751298692</v>
      </c>
      <c r="L1033" s="76">
        <f t="shared" si="527"/>
        <v>26182978.603174038</v>
      </c>
      <c r="M1033" s="76">
        <f t="shared" si="527"/>
        <v>22276125.729507271</v>
      </c>
      <c r="N1033" s="76">
        <f t="shared" si="527"/>
        <v>12656251.061032001</v>
      </c>
      <c r="O1033" s="76">
        <f t="shared" si="527"/>
        <v>751289.04715277825</v>
      </c>
      <c r="P1033" s="76">
        <f t="shared" si="527"/>
        <v>769993.36310124025</v>
      </c>
      <c r="Q1033" s="76">
        <f t="shared" si="527"/>
        <v>26818.884545357352</v>
      </c>
      <c r="R1033" s="76">
        <f t="shared" si="527"/>
        <v>36933.347679243954</v>
      </c>
      <c r="S1033" s="76">
        <f t="shared" si="527"/>
        <v>36.384331942817994</v>
      </c>
      <c r="T1033" s="76">
        <f t="shared" si="527"/>
        <v>335.3700259425899</v>
      </c>
      <c r="U1033" s="76">
        <f t="shared" si="527"/>
        <v>0</v>
      </c>
      <c r="V1033" s="76">
        <f t="shared" si="527"/>
        <v>0</v>
      </c>
      <c r="W1033" s="76">
        <f t="shared" si="527"/>
        <v>0</v>
      </c>
      <c r="X1033" s="161">
        <f t="shared" si="527"/>
        <v>0</v>
      </c>
      <c r="Y1033" s="161">
        <f t="shared" si="527"/>
        <v>0</v>
      </c>
      <c r="Z1033" s="161">
        <f t="shared" si="527"/>
        <v>0</v>
      </c>
      <c r="AA1033" s="166">
        <f>SUM(G1033:Z1033)</f>
        <v>212646048.17686355</v>
      </c>
      <c r="AB1033" s="163" t="str">
        <f t="shared" si="526"/>
        <v>ok</v>
      </c>
    </row>
    <row r="1034" spans="1:28" s="164" customFormat="1">
      <c r="A1034" s="60" t="s">
        <v>1269</v>
      </c>
      <c r="B1034" s="60"/>
      <c r="C1034" s="60"/>
      <c r="D1034" s="44" t="s">
        <v>1425</v>
      </c>
      <c r="E1034" s="44"/>
      <c r="F1034" s="80">
        <f t="shared" ref="F1034:Z1034" si="528">F1032+F1033</f>
        <v>212733072.11107191</v>
      </c>
      <c r="G1034" s="80">
        <f t="shared" si="528"/>
        <v>92983987.651086539</v>
      </c>
      <c r="H1034" s="80">
        <f t="shared" si="528"/>
        <v>174330.74043004954</v>
      </c>
      <c r="I1034" s="80">
        <f t="shared" si="528"/>
        <v>26017736.225685559</v>
      </c>
      <c r="J1034" s="80">
        <f t="shared" si="528"/>
        <v>1763072.0178129254</v>
      </c>
      <c r="K1034" s="80">
        <f t="shared" si="528"/>
        <v>29006159.751298692</v>
      </c>
      <c r="L1034" s="80">
        <f t="shared" si="528"/>
        <v>26182978.603174038</v>
      </c>
      <c r="M1034" s="80">
        <f t="shared" si="528"/>
        <v>22276125.729507271</v>
      </c>
      <c r="N1034" s="80">
        <f t="shared" si="528"/>
        <v>12656251.061032001</v>
      </c>
      <c r="O1034" s="80">
        <f>O1032+O1033</f>
        <v>751289.04715277825</v>
      </c>
      <c r="P1034" s="80">
        <f t="shared" si="528"/>
        <v>769993.36310124025</v>
      </c>
      <c r="Q1034" s="80">
        <f t="shared" si="528"/>
        <v>26818.884545357352</v>
      </c>
      <c r="R1034" s="80">
        <f t="shared" si="528"/>
        <v>36933.347679243954</v>
      </c>
      <c r="S1034" s="80">
        <f t="shared" si="528"/>
        <v>36.384331942817994</v>
      </c>
      <c r="T1034" s="80">
        <f t="shared" si="528"/>
        <v>335.3700259425899</v>
      </c>
      <c r="U1034" s="80">
        <f t="shared" si="528"/>
        <v>83869.534208333309</v>
      </c>
      <c r="V1034" s="80">
        <f t="shared" si="528"/>
        <v>3154.4</v>
      </c>
      <c r="W1034" s="80">
        <f t="shared" si="528"/>
        <v>0</v>
      </c>
      <c r="X1034" s="166">
        <f t="shared" si="528"/>
        <v>0</v>
      </c>
      <c r="Y1034" s="166">
        <f t="shared" si="528"/>
        <v>0</v>
      </c>
      <c r="Z1034" s="166">
        <f t="shared" si="528"/>
        <v>0</v>
      </c>
      <c r="AA1034" s="166">
        <f>SUM(G1034:Z1034)</f>
        <v>212733072.11107188</v>
      </c>
      <c r="AB1034" s="163" t="str">
        <f t="shared" si="526"/>
        <v>ok</v>
      </c>
    </row>
    <row r="1035" spans="1:28" s="164" customFormat="1">
      <c r="A1035" s="60" t="s">
        <v>1270</v>
      </c>
      <c r="B1035" s="60"/>
      <c r="C1035" s="60"/>
      <c r="D1035" s="44" t="s">
        <v>1426</v>
      </c>
      <c r="E1035" s="44" t="s">
        <v>1425</v>
      </c>
      <c r="F1035" s="110">
        <v>1</v>
      </c>
      <c r="G1035" s="83">
        <f t="shared" ref="G1035:Z1035" si="529">IF(VLOOKUP($E1035,$D$6:$AN$1150,3,)=0,0,(VLOOKUP($E1035,$D$6:$AN$1150,G$2,)/VLOOKUP($E1035,$D$6:$AN$1150,3,))*$F1035)</f>
        <v>0.4370922994170735</v>
      </c>
      <c r="H1035" s="83">
        <f t="shared" si="529"/>
        <v>8.1948113990958679E-4</v>
      </c>
      <c r="I1035" s="83">
        <f t="shared" si="529"/>
        <v>0.12230226343039512</v>
      </c>
      <c r="J1035" s="83">
        <f t="shared" si="529"/>
        <v>8.2877194425716397E-3</v>
      </c>
      <c r="K1035" s="83">
        <f t="shared" si="529"/>
        <v>0.13635002523798478</v>
      </c>
      <c r="L1035" s="83">
        <f t="shared" si="529"/>
        <v>0.12307902266133502</v>
      </c>
      <c r="M1035" s="83">
        <f t="shared" si="529"/>
        <v>0.1047139756336358</v>
      </c>
      <c r="N1035" s="83">
        <f t="shared" si="529"/>
        <v>5.9493575377992637E-2</v>
      </c>
      <c r="O1035" s="83">
        <f t="shared" si="529"/>
        <v>3.5316043701964506E-3</v>
      </c>
      <c r="P1035" s="83">
        <f t="shared" si="529"/>
        <v>3.6195282447630535E-3</v>
      </c>
      <c r="Q1035" s="83">
        <f t="shared" si="529"/>
        <v>1.2606824260665361E-4</v>
      </c>
      <c r="R1035" s="83">
        <f t="shared" si="529"/>
        <v>1.7361356799266436E-4</v>
      </c>
      <c r="S1035" s="83">
        <f t="shared" si="529"/>
        <v>1.7103279514442896E-7</v>
      </c>
      <c r="T1035" s="83">
        <f t="shared" si="529"/>
        <v>1.5764827848087812E-6</v>
      </c>
      <c r="U1035" s="83">
        <f t="shared" si="529"/>
        <v>3.9424774613579336E-4</v>
      </c>
      <c r="V1035" s="83">
        <f t="shared" si="529"/>
        <v>1.4827971827309619E-5</v>
      </c>
      <c r="W1035" s="83">
        <f t="shared" si="529"/>
        <v>0</v>
      </c>
      <c r="X1035" s="161">
        <f t="shared" si="529"/>
        <v>0</v>
      </c>
      <c r="Y1035" s="161">
        <f t="shared" si="529"/>
        <v>0</v>
      </c>
      <c r="Z1035" s="161">
        <f t="shared" si="529"/>
        <v>0</v>
      </c>
      <c r="AA1035" s="167">
        <f>SUM(G1035:Z1035)</f>
        <v>0.99999999999999978</v>
      </c>
      <c r="AB1035" s="163" t="str">
        <f t="shared" si="526"/>
        <v>ok</v>
      </c>
    </row>
    <row r="1036" spans="1:28" s="170" customFormat="1">
      <c r="A1036" s="60"/>
      <c r="B1036" s="60"/>
      <c r="C1036" s="60"/>
      <c r="D1036" s="44"/>
      <c r="E1036" s="44"/>
      <c r="F1036" s="110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176"/>
      <c r="X1036" s="176"/>
      <c r="Y1036" s="176"/>
      <c r="Z1036" s="176"/>
      <c r="AA1036" s="176"/>
      <c r="AB1036" s="172"/>
    </row>
    <row r="1037" spans="1:28" s="164" customFormat="1">
      <c r="A1037" s="60" t="s">
        <v>1263</v>
      </c>
      <c r="B1037" s="60"/>
      <c r="C1037" s="60"/>
      <c r="D1037" s="44" t="s">
        <v>1427</v>
      </c>
      <c r="E1037" s="44"/>
      <c r="F1037" s="79">
        <f>F1030</f>
        <v>13356557.409255272</v>
      </c>
      <c r="G1037" s="79">
        <f t="shared" ref="G1037:U1037" si="530">G1030</f>
        <v>5840437.5715003172</v>
      </c>
      <c r="H1037" s="79">
        <f t="shared" si="530"/>
        <v>10949.926239942595</v>
      </c>
      <c r="I1037" s="79">
        <f t="shared" si="530"/>
        <v>1634205.716666779</v>
      </c>
      <c r="J1037" s="79">
        <f t="shared" si="530"/>
        <v>110740.70185862978</v>
      </c>
      <c r="K1037" s="79">
        <f t="shared" si="530"/>
        <v>1821912.2399021527</v>
      </c>
      <c r="L1037" s="79">
        <f t="shared" si="530"/>
        <v>1644584.7917555904</v>
      </c>
      <c r="M1037" s="79">
        <f t="shared" si="530"/>
        <v>1399190.6020020954</v>
      </c>
      <c r="N1037" s="79">
        <f t="shared" si="530"/>
        <v>794954.55162196734</v>
      </c>
      <c r="O1037" s="79">
        <f t="shared" si="530"/>
        <v>47189.380547033208</v>
      </c>
      <c r="P1037" s="79">
        <f t="shared" si="530"/>
        <v>48364.221424201525</v>
      </c>
      <c r="Q1037" s="79">
        <f t="shared" si="530"/>
        <v>1684.5268188775508</v>
      </c>
      <c r="R1037" s="79">
        <f t="shared" si="530"/>
        <v>2319.828573458904</v>
      </c>
      <c r="S1037" s="79">
        <f t="shared" si="530"/>
        <v>2.2853442260420227</v>
      </c>
      <c r="T1037" s="79">
        <f t="shared" si="530"/>
        <v>21.065000000000001</v>
      </c>
      <c r="U1037" s="79">
        <f t="shared" si="530"/>
        <v>0</v>
      </c>
      <c r="V1037" s="79">
        <v>0</v>
      </c>
      <c r="W1037" s="79">
        <f>W1011</f>
        <v>0</v>
      </c>
      <c r="X1037" s="160">
        <f>X1011</f>
        <v>0</v>
      </c>
      <c r="Y1037" s="160">
        <f>Y1011</f>
        <v>0</v>
      </c>
      <c r="Z1037" s="160">
        <f>Z1011</f>
        <v>0</v>
      </c>
      <c r="AA1037" s="160">
        <f>SUM(G1037:Z1037)</f>
        <v>13356557.409255272</v>
      </c>
      <c r="AB1037" s="163" t="str">
        <f t="shared" ref="AB1037:AB1042" si="531">IF(ABS(F1037-AA1037)&lt;0.01,"ok","err")</f>
        <v>ok</v>
      </c>
    </row>
    <row r="1038" spans="1:28" s="164" customFormat="1">
      <c r="A1038" s="60" t="s">
        <v>1264</v>
      </c>
      <c r="B1038" s="60"/>
      <c r="C1038" s="60"/>
      <c r="D1038" s="44"/>
      <c r="E1038" s="44"/>
      <c r="F1038" s="80">
        <f>F468</f>
        <v>25721710.883164674</v>
      </c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AA1038" s="166">
        <f>F1038</f>
        <v>25721710.883164674</v>
      </c>
      <c r="AB1038" s="163" t="str">
        <f t="shared" si="531"/>
        <v>ok</v>
      </c>
    </row>
    <row r="1039" spans="1:28" s="164" customFormat="1">
      <c r="A1039" s="60" t="s">
        <v>152</v>
      </c>
      <c r="B1039" s="60"/>
      <c r="C1039" s="60"/>
      <c r="D1039" s="44"/>
      <c r="E1039" s="44"/>
      <c r="F1039" s="80">
        <v>3301.3913727228128</v>
      </c>
      <c r="G1039" s="60"/>
      <c r="H1039" s="79">
        <v>0</v>
      </c>
      <c r="I1039" s="76">
        <v>0</v>
      </c>
      <c r="J1039" s="79">
        <v>0</v>
      </c>
      <c r="K1039" s="79">
        <v>0</v>
      </c>
      <c r="L1039" s="112">
        <v>0</v>
      </c>
      <c r="M1039" s="79">
        <v>0</v>
      </c>
      <c r="N1039" s="79">
        <v>0</v>
      </c>
      <c r="O1039" s="79">
        <v>0</v>
      </c>
      <c r="P1039" s="79">
        <v>0</v>
      </c>
      <c r="Q1039" s="60"/>
      <c r="R1039" s="60"/>
      <c r="S1039" s="60"/>
      <c r="T1039" s="79">
        <v>0</v>
      </c>
      <c r="U1039" s="79">
        <v>3190.2719496980626</v>
      </c>
      <c r="V1039" s="79">
        <v>111.11942302474998</v>
      </c>
      <c r="W1039" s="79">
        <v>0</v>
      </c>
      <c r="AA1039" s="166">
        <f>SUM(G1039:Z1039)</f>
        <v>3301.3913727228128</v>
      </c>
      <c r="AB1039" s="163" t="str">
        <f t="shared" si="531"/>
        <v>ok</v>
      </c>
    </row>
    <row r="1040" spans="1:28" s="164" customFormat="1">
      <c r="A1040" s="60" t="s">
        <v>1265</v>
      </c>
      <c r="B1040" s="60"/>
      <c r="C1040" s="60"/>
      <c r="D1040" s="44"/>
      <c r="E1040" s="44" t="s">
        <v>1427</v>
      </c>
      <c r="F1040" s="80">
        <f>F1038-F1039</f>
        <v>25718409.491791952</v>
      </c>
      <c r="G1040" s="76">
        <f t="shared" ref="G1040:Z1040" si="532">IF(VLOOKUP($E1040,$D$6:$AN$1150,3,)=0,0,(VLOOKUP($E1040,$D$6:$AN$1150,G$2,)/VLOOKUP($E1040,$D$6:$AN$1150,3,))*$F1040)</f>
        <v>11245919.17457773</v>
      </c>
      <c r="H1040" s="76">
        <f t="shared" si="532"/>
        <v>21084.376633504362</v>
      </c>
      <c r="I1040" s="76">
        <f t="shared" si="532"/>
        <v>3146706.9340741895</v>
      </c>
      <c r="J1040" s="76">
        <f t="shared" si="532"/>
        <v>213234.19130704639</v>
      </c>
      <c r="K1040" s="76">
        <f t="shared" si="532"/>
        <v>3508140.8785352628</v>
      </c>
      <c r="L1040" s="76">
        <f t="shared" si="532"/>
        <v>3166692.1215069289</v>
      </c>
      <c r="M1040" s="76">
        <f t="shared" si="532"/>
        <v>2694179.0280796029</v>
      </c>
      <c r="N1040" s="76">
        <f t="shared" si="532"/>
        <v>1530706.3084841396</v>
      </c>
      <c r="O1040" s="76">
        <f t="shared" si="532"/>
        <v>90864.417782656077</v>
      </c>
      <c r="P1040" s="76">
        <f t="shared" si="532"/>
        <v>93126.605398888205</v>
      </c>
      <c r="Q1040" s="76">
        <f t="shared" si="532"/>
        <v>3243.6015659078507</v>
      </c>
      <c r="R1040" s="76">
        <f t="shared" si="532"/>
        <v>4466.8921320723975</v>
      </c>
      <c r="S1040" s="76">
        <f t="shared" si="532"/>
        <v>4.4004915963093412</v>
      </c>
      <c r="T1040" s="76">
        <f t="shared" si="532"/>
        <v>40.561222427658819</v>
      </c>
      <c r="U1040" s="76">
        <f t="shared" si="532"/>
        <v>0</v>
      </c>
      <c r="V1040" s="76">
        <f t="shared" si="532"/>
        <v>0</v>
      </c>
      <c r="W1040" s="76">
        <f t="shared" si="532"/>
        <v>0</v>
      </c>
      <c r="X1040" s="161">
        <f t="shared" si="532"/>
        <v>0</v>
      </c>
      <c r="Y1040" s="161">
        <f t="shared" si="532"/>
        <v>0</v>
      </c>
      <c r="Z1040" s="161">
        <f t="shared" si="532"/>
        <v>0</v>
      </c>
      <c r="AA1040" s="166">
        <f>SUM(G1040:Z1040)</f>
        <v>25718409.491791956</v>
      </c>
      <c r="AB1040" s="163" t="str">
        <f t="shared" si="531"/>
        <v>ok</v>
      </c>
    </row>
    <row r="1041" spans="1:28" s="164" customFormat="1">
      <c r="A1041" s="60" t="s">
        <v>1266</v>
      </c>
      <c r="B1041" s="60"/>
      <c r="C1041" s="60"/>
      <c r="D1041" s="44" t="s">
        <v>1428</v>
      </c>
      <c r="E1041" s="44"/>
      <c r="F1041" s="80">
        <f t="shared" ref="F1041:N1041" si="533">F1039+F1040</f>
        <v>25721710.883164674</v>
      </c>
      <c r="G1041" s="80">
        <f t="shared" si="533"/>
        <v>11245919.17457773</v>
      </c>
      <c r="H1041" s="80">
        <f t="shared" si="533"/>
        <v>21084.376633504362</v>
      </c>
      <c r="I1041" s="80">
        <f t="shared" si="533"/>
        <v>3146706.9340741895</v>
      </c>
      <c r="J1041" s="80">
        <f t="shared" si="533"/>
        <v>213234.19130704639</v>
      </c>
      <c r="K1041" s="80">
        <f t="shared" si="533"/>
        <v>3508140.8785352628</v>
      </c>
      <c r="L1041" s="80">
        <f t="shared" si="533"/>
        <v>3166692.1215069289</v>
      </c>
      <c r="M1041" s="80">
        <f t="shared" si="533"/>
        <v>2694179.0280796029</v>
      </c>
      <c r="N1041" s="80">
        <f t="shared" si="533"/>
        <v>1530706.3084841396</v>
      </c>
      <c r="O1041" s="80">
        <f>O1039+O1040</f>
        <v>90864.417782656077</v>
      </c>
      <c r="P1041" s="80">
        <f t="shared" ref="P1041:Z1041" si="534">P1039+P1040</f>
        <v>93126.605398888205</v>
      </c>
      <c r="Q1041" s="80">
        <f t="shared" si="534"/>
        <v>3243.6015659078507</v>
      </c>
      <c r="R1041" s="80">
        <f t="shared" si="534"/>
        <v>4466.8921320723975</v>
      </c>
      <c r="S1041" s="80">
        <f t="shared" si="534"/>
        <v>4.4004915963093412</v>
      </c>
      <c r="T1041" s="80">
        <f t="shared" si="534"/>
        <v>40.561222427658819</v>
      </c>
      <c r="U1041" s="80">
        <f t="shared" si="534"/>
        <v>3190.2719496980626</v>
      </c>
      <c r="V1041" s="80">
        <f t="shared" si="534"/>
        <v>111.11942302474998</v>
      </c>
      <c r="W1041" s="80">
        <f t="shared" si="534"/>
        <v>0</v>
      </c>
      <c r="X1041" s="166">
        <f t="shared" si="534"/>
        <v>0</v>
      </c>
      <c r="Y1041" s="166">
        <f t="shared" si="534"/>
        <v>0</v>
      </c>
      <c r="Z1041" s="166">
        <f t="shared" si="534"/>
        <v>0</v>
      </c>
      <c r="AA1041" s="166">
        <f>SUM(G1041:Z1041)</f>
        <v>25721710.883164678</v>
      </c>
      <c r="AB1041" s="163" t="str">
        <f t="shared" si="531"/>
        <v>ok</v>
      </c>
    </row>
    <row r="1042" spans="1:28" s="164" customFormat="1">
      <c r="A1042" s="60" t="s">
        <v>1267</v>
      </c>
      <c r="B1042" s="60"/>
      <c r="C1042" s="60"/>
      <c r="D1042" s="44" t="s">
        <v>1429</v>
      </c>
      <c r="E1042" s="44" t="s">
        <v>1428</v>
      </c>
      <c r="F1042" s="110">
        <v>1</v>
      </c>
      <c r="G1042" s="83">
        <f t="shared" ref="G1042:Z1042" si="535">IF(VLOOKUP($E1042,$D$6:$AN$1150,3,)=0,0,(VLOOKUP($E1042,$D$6:$AN$1150,G$2,)/VLOOKUP($E1042,$D$6:$AN$1150,3,))*$F1042)</f>
        <v>0.43721505251574799</v>
      </c>
      <c r="H1042" s="83">
        <f t="shared" si="535"/>
        <v>8.1971128317535316E-4</v>
      </c>
      <c r="I1042" s="83">
        <f t="shared" si="535"/>
        <v>0.12233661082528403</v>
      </c>
      <c r="J1042" s="83">
        <f t="shared" si="535"/>
        <v>8.2900469675449163E-3</v>
      </c>
      <c r="K1042" s="83">
        <f t="shared" si="535"/>
        <v>0.13638831780942709</v>
      </c>
      <c r="L1042" s="83">
        <f t="shared" si="535"/>
        <v>0.12311358820145928</v>
      </c>
      <c r="M1042" s="83">
        <f t="shared" si="535"/>
        <v>0.10474338352986433</v>
      </c>
      <c r="N1042" s="83">
        <f t="shared" si="535"/>
        <v>5.9510283566946341E-2</v>
      </c>
      <c r="O1042" s="83">
        <f t="shared" si="535"/>
        <v>3.532596186753988E-3</v>
      </c>
      <c r="P1042" s="83">
        <f t="shared" si="535"/>
        <v>3.620544753881098E-3</v>
      </c>
      <c r="Q1042" s="83">
        <f t="shared" si="535"/>
        <v>1.2610364763997276E-4</v>
      </c>
      <c r="R1042" s="83">
        <f t="shared" si="535"/>
        <v>1.7366232566574954E-4</v>
      </c>
      <c r="S1042" s="83">
        <f t="shared" si="535"/>
        <v>1.7108082803269291E-7</v>
      </c>
      <c r="T1042" s="83">
        <f t="shared" si="535"/>
        <v>1.5769255245850257E-6</v>
      </c>
      <c r="U1042" s="83">
        <f t="shared" si="535"/>
        <v>1.2403031680859741E-4</v>
      </c>
      <c r="V1042" s="83">
        <f t="shared" si="535"/>
        <v>4.3200634487140453E-6</v>
      </c>
      <c r="W1042" s="83">
        <f t="shared" si="535"/>
        <v>0</v>
      </c>
      <c r="X1042" s="161">
        <f t="shared" si="535"/>
        <v>0</v>
      </c>
      <c r="Y1042" s="161">
        <f t="shared" si="535"/>
        <v>0</v>
      </c>
      <c r="Z1042" s="161">
        <f t="shared" si="535"/>
        <v>0</v>
      </c>
      <c r="AA1042" s="167">
        <f>SUM(G1042:Z1042)</f>
        <v>1</v>
      </c>
      <c r="AB1042" s="163" t="str">
        <f t="shared" si="531"/>
        <v>ok</v>
      </c>
    </row>
    <row r="1043" spans="1:28" s="164" customFormat="1">
      <c r="A1043" s="60"/>
      <c r="B1043" s="60"/>
      <c r="C1043" s="60"/>
      <c r="D1043" s="44"/>
      <c r="E1043" s="44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61"/>
      <c r="Y1043" s="161"/>
      <c r="Z1043" s="161"/>
      <c r="AA1043" s="167"/>
      <c r="AB1043" s="163"/>
    </row>
    <row r="1044" spans="1:28" s="164" customFormat="1">
      <c r="A1044" s="60" t="s">
        <v>1325</v>
      </c>
      <c r="B1044" s="60"/>
      <c r="C1044" s="60"/>
      <c r="D1044" s="44" t="s">
        <v>1430</v>
      </c>
      <c r="E1044" s="44"/>
      <c r="F1044" s="79">
        <f>F1037</f>
        <v>13356557.409255272</v>
      </c>
      <c r="G1044" s="79">
        <f t="shared" ref="G1044:U1044" si="536">G1037</f>
        <v>5840437.5715003172</v>
      </c>
      <c r="H1044" s="79">
        <f t="shared" si="536"/>
        <v>10949.926239942595</v>
      </c>
      <c r="I1044" s="79">
        <f t="shared" si="536"/>
        <v>1634205.716666779</v>
      </c>
      <c r="J1044" s="79">
        <f t="shared" si="536"/>
        <v>110740.70185862978</v>
      </c>
      <c r="K1044" s="79">
        <f t="shared" si="536"/>
        <v>1821912.2399021527</v>
      </c>
      <c r="L1044" s="79">
        <f t="shared" si="536"/>
        <v>1644584.7917555904</v>
      </c>
      <c r="M1044" s="79">
        <f t="shared" si="536"/>
        <v>1399190.6020020954</v>
      </c>
      <c r="N1044" s="79">
        <f t="shared" si="536"/>
        <v>794954.55162196734</v>
      </c>
      <c r="O1044" s="79">
        <f t="shared" si="536"/>
        <v>47189.380547033208</v>
      </c>
      <c r="P1044" s="79">
        <f t="shared" si="536"/>
        <v>48364.221424201525</v>
      </c>
      <c r="Q1044" s="79">
        <f t="shared" si="536"/>
        <v>1684.5268188775508</v>
      </c>
      <c r="R1044" s="79">
        <f t="shared" si="536"/>
        <v>2319.828573458904</v>
      </c>
      <c r="S1044" s="79">
        <f t="shared" si="536"/>
        <v>2.2853442260420227</v>
      </c>
      <c r="T1044" s="79">
        <f t="shared" si="536"/>
        <v>21.065000000000001</v>
      </c>
      <c r="U1044" s="79">
        <f t="shared" si="536"/>
        <v>0</v>
      </c>
      <c r="V1044" s="79">
        <f>V1025</f>
        <v>0</v>
      </c>
      <c r="W1044" s="79">
        <f>W1025</f>
        <v>0</v>
      </c>
      <c r="X1044" s="160">
        <f>X1025</f>
        <v>0</v>
      </c>
      <c r="Y1044" s="160">
        <f>Y1025</f>
        <v>0</v>
      </c>
      <c r="Z1044" s="160">
        <f>Z1025</f>
        <v>0</v>
      </c>
      <c r="AA1044" s="160">
        <f>SUM(G1044:Z1044)</f>
        <v>13356557.409255272</v>
      </c>
      <c r="AB1044" s="163" t="str">
        <f t="shared" ref="AB1044:AB1049" si="537">IF(ABS(F1044-AA1044)&lt;0.01,"ok","err")</f>
        <v>ok</v>
      </c>
    </row>
    <row r="1045" spans="1:28" s="164" customFormat="1">
      <c r="A1045" s="60" t="s">
        <v>1326</v>
      </c>
      <c r="B1045" s="60"/>
      <c r="C1045" s="60"/>
      <c r="D1045" s="44"/>
      <c r="E1045" s="44"/>
      <c r="F1045" s="80">
        <f>'Functional Assignment'!H600</f>
        <v>-557121.68574702344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66">
        <f>F1045</f>
        <v>-557121.68574702344</v>
      </c>
      <c r="AB1045" s="163" t="str">
        <f t="shared" si="537"/>
        <v>ok</v>
      </c>
    </row>
    <row r="1046" spans="1:28" s="164" customFormat="1">
      <c r="A1046" s="60" t="s">
        <v>152</v>
      </c>
      <c r="B1046" s="60"/>
      <c r="C1046" s="60"/>
      <c r="D1046" s="44"/>
      <c r="E1046" s="44"/>
      <c r="F1046" s="80">
        <v>-14127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f>T1011/($T$1011+$U$1011)*(-16140+2013)</f>
        <v>0</v>
      </c>
      <c r="U1046" s="79">
        <f>U1011/($U$1011+$V$1011)*(-16140+2013)</f>
        <v>-13727.717595343111</v>
      </c>
      <c r="V1046" s="79">
        <f>V1011/($U$1011+$V$1011)*(-16140+2013)</f>
        <v>-399.28240465688896</v>
      </c>
      <c r="W1046" s="79">
        <v>0</v>
      </c>
      <c r="AA1046" s="166">
        <f>SUM(G1046:Z1046)</f>
        <v>-14127</v>
      </c>
      <c r="AB1046" s="163" t="str">
        <f t="shared" si="537"/>
        <v>ok</v>
      </c>
    </row>
    <row r="1047" spans="1:28" s="164" customFormat="1">
      <c r="A1047" s="60" t="s">
        <v>1327</v>
      </c>
      <c r="B1047" s="60"/>
      <c r="C1047" s="60"/>
      <c r="D1047" s="44"/>
      <c r="E1047" s="44" t="s">
        <v>1430</v>
      </c>
      <c r="F1047" s="80">
        <f>F1045-F1046</f>
        <v>-542994.68574702344</v>
      </c>
      <c r="G1047" s="76">
        <f t="shared" ref="G1047:Z1047" si="538">IF(VLOOKUP($E1047,$D$6:$AN$1150,3,)=0,0,(VLOOKUP($E1047,$D$6:$AN$1150,G$2,)/VLOOKUP($E1047,$D$6:$AN$1150,3,))*$F1047)</f>
        <v>-237435.92503592203</v>
      </c>
      <c r="H1047" s="76">
        <f t="shared" si="538"/>
        <v>-445.15600655380524</v>
      </c>
      <c r="I1047" s="76">
        <f t="shared" si="538"/>
        <v>-66436.656720584113</v>
      </c>
      <c r="J1047" s="76">
        <f t="shared" si="538"/>
        <v>-4502.0292851407939</v>
      </c>
      <c r="K1047" s="76">
        <f t="shared" si="538"/>
        <v>-74067.638378045594</v>
      </c>
      <c r="L1047" s="76">
        <f t="shared" si="538"/>
        <v>-66858.605464074615</v>
      </c>
      <c r="M1047" s="76">
        <f t="shared" si="538"/>
        <v>-56882.401501741326</v>
      </c>
      <c r="N1047" s="76">
        <f t="shared" si="538"/>
        <v>-32317.915740924753</v>
      </c>
      <c r="O1047" s="76">
        <f t="shared" si="538"/>
        <v>-1918.4271871565822</v>
      </c>
      <c r="P1047" s="76">
        <f t="shared" si="538"/>
        <v>-1966.1889219624925</v>
      </c>
      <c r="Q1047" s="76">
        <f t="shared" si="538"/>
        <v>-68.48240026393519</v>
      </c>
      <c r="R1047" s="76">
        <f t="shared" si="538"/>
        <v>-94.309824652827089</v>
      </c>
      <c r="S1047" s="76">
        <f t="shared" si="538"/>
        <v>-9.2907905219916528E-2</v>
      </c>
      <c r="T1047" s="76">
        <f t="shared" si="538"/>
        <v>-0.8563720953525864</v>
      </c>
      <c r="U1047" s="76">
        <f t="shared" si="538"/>
        <v>0</v>
      </c>
      <c r="V1047" s="76">
        <f t="shared" si="538"/>
        <v>0</v>
      </c>
      <c r="W1047" s="76">
        <f t="shared" si="538"/>
        <v>0</v>
      </c>
      <c r="X1047" s="161">
        <f t="shared" si="538"/>
        <v>0</v>
      </c>
      <c r="Y1047" s="161">
        <f t="shared" si="538"/>
        <v>0</v>
      </c>
      <c r="Z1047" s="161">
        <f t="shared" si="538"/>
        <v>0</v>
      </c>
      <c r="AA1047" s="166">
        <f>SUM(G1047:Z1047)</f>
        <v>-542994.68574702332</v>
      </c>
      <c r="AB1047" s="163" t="str">
        <f t="shared" si="537"/>
        <v>ok</v>
      </c>
    </row>
    <row r="1048" spans="1:28" s="164" customFormat="1">
      <c r="A1048" s="60" t="s">
        <v>1328</v>
      </c>
      <c r="B1048" s="60"/>
      <c r="C1048" s="60"/>
      <c r="D1048" s="44" t="s">
        <v>1431</v>
      </c>
      <c r="E1048" s="44"/>
      <c r="F1048" s="80">
        <f t="shared" ref="F1048:N1048" si="539">F1046+F1047</f>
        <v>-557121.68574702344</v>
      </c>
      <c r="G1048" s="80">
        <f t="shared" si="539"/>
        <v>-237435.92503592203</v>
      </c>
      <c r="H1048" s="80">
        <f t="shared" si="539"/>
        <v>-445.15600655380524</v>
      </c>
      <c r="I1048" s="80">
        <f t="shared" si="539"/>
        <v>-66436.656720584113</v>
      </c>
      <c r="J1048" s="80">
        <f t="shared" si="539"/>
        <v>-4502.0292851407939</v>
      </c>
      <c r="K1048" s="80">
        <f t="shared" si="539"/>
        <v>-74067.638378045594</v>
      </c>
      <c r="L1048" s="80">
        <f t="shared" si="539"/>
        <v>-66858.605464074615</v>
      </c>
      <c r="M1048" s="80">
        <f t="shared" si="539"/>
        <v>-56882.401501741326</v>
      </c>
      <c r="N1048" s="80">
        <f t="shared" si="539"/>
        <v>-32317.915740924753</v>
      </c>
      <c r="O1048" s="80">
        <f>O1046+O1047</f>
        <v>-1918.4271871565822</v>
      </c>
      <c r="P1048" s="80">
        <f t="shared" ref="P1048:Z1048" si="540">P1046+P1047</f>
        <v>-1966.1889219624925</v>
      </c>
      <c r="Q1048" s="80">
        <f t="shared" si="540"/>
        <v>-68.48240026393519</v>
      </c>
      <c r="R1048" s="80">
        <f t="shared" si="540"/>
        <v>-94.309824652827089</v>
      </c>
      <c r="S1048" s="80">
        <f t="shared" si="540"/>
        <v>-9.2907905219916528E-2</v>
      </c>
      <c r="T1048" s="80">
        <f t="shared" si="540"/>
        <v>-0.8563720953525864</v>
      </c>
      <c r="U1048" s="80">
        <f t="shared" si="540"/>
        <v>-13727.717595343111</v>
      </c>
      <c r="V1048" s="80">
        <f t="shared" si="540"/>
        <v>-399.28240465688896</v>
      </c>
      <c r="W1048" s="80">
        <f t="shared" si="540"/>
        <v>0</v>
      </c>
      <c r="X1048" s="166">
        <f t="shared" si="540"/>
        <v>0</v>
      </c>
      <c r="Y1048" s="166">
        <f t="shared" si="540"/>
        <v>0</v>
      </c>
      <c r="Z1048" s="166">
        <f t="shared" si="540"/>
        <v>0</v>
      </c>
      <c r="AA1048" s="166">
        <f>SUM(G1048:Z1048)</f>
        <v>-557121.68574702332</v>
      </c>
      <c r="AB1048" s="163" t="str">
        <f t="shared" si="537"/>
        <v>ok</v>
      </c>
    </row>
    <row r="1049" spans="1:28" s="164" customFormat="1">
      <c r="A1049" s="60" t="s">
        <v>1329</v>
      </c>
      <c r="B1049" s="60"/>
      <c r="C1049" s="60"/>
      <c r="D1049" s="44" t="s">
        <v>1432</v>
      </c>
      <c r="E1049" s="44" t="s">
        <v>1431</v>
      </c>
      <c r="F1049" s="110">
        <v>1</v>
      </c>
      <c r="G1049" s="83">
        <f t="shared" ref="G1049:Z1049" si="541">IF(VLOOKUP($E1049,$D$6:$AN$1150,3,)=0,0,(VLOOKUP($E1049,$D$6:$AN$1150,G$2,)/VLOOKUP($E1049,$D$6:$AN$1150,3,))*$F1049)</f>
        <v>0.42618323987434298</v>
      </c>
      <c r="H1049" s="83">
        <f t="shared" si="541"/>
        <v>7.9902832351053143E-4</v>
      </c>
      <c r="I1049" s="83">
        <f t="shared" si="541"/>
        <v>0.11924981277923459</v>
      </c>
      <c r="J1049" s="83">
        <f t="shared" si="541"/>
        <v>8.0808724562645463E-3</v>
      </c>
      <c r="K1049" s="83">
        <f t="shared" si="541"/>
        <v>0.13294696701445233</v>
      </c>
      <c r="L1049" s="83">
        <f t="shared" si="541"/>
        <v>0.12000718545792458</v>
      </c>
      <c r="M1049" s="83">
        <f t="shared" si="541"/>
        <v>0.10210049789296904</v>
      </c>
      <c r="N1049" s="83">
        <f t="shared" si="541"/>
        <v>5.8008719760371343E-2</v>
      </c>
      <c r="O1049" s="83">
        <f t="shared" si="541"/>
        <v>3.4434617000848487E-3</v>
      </c>
      <c r="P1049" s="83">
        <f t="shared" si="541"/>
        <v>3.5291911484761252E-3</v>
      </c>
      <c r="Q1049" s="83">
        <f t="shared" si="541"/>
        <v>1.2292179970002374E-4</v>
      </c>
      <c r="R1049" s="83">
        <f t="shared" si="541"/>
        <v>1.6928047689683916E-4</v>
      </c>
      <c r="S1049" s="83">
        <f t="shared" si="541"/>
        <v>1.6676411562644491E-7</v>
      </c>
      <c r="T1049" s="83">
        <f t="shared" si="541"/>
        <v>1.5371365309614709E-6</v>
      </c>
      <c r="U1049" s="83">
        <f t="shared" si="541"/>
        <v>2.4640429454718015E-2</v>
      </c>
      <c r="V1049" s="83">
        <f t="shared" si="541"/>
        <v>7.1668796040761946E-4</v>
      </c>
      <c r="W1049" s="83">
        <f t="shared" si="541"/>
        <v>0</v>
      </c>
      <c r="X1049" s="161">
        <f t="shared" si="541"/>
        <v>0</v>
      </c>
      <c r="Y1049" s="161">
        <f t="shared" si="541"/>
        <v>0</v>
      </c>
      <c r="Z1049" s="161">
        <f t="shared" si="541"/>
        <v>0</v>
      </c>
      <c r="AA1049" s="167">
        <f>SUM(G1049:Z1049)</f>
        <v>0.99999999999999978</v>
      </c>
      <c r="AB1049" s="163" t="str">
        <f t="shared" si="537"/>
        <v>ok</v>
      </c>
    </row>
    <row r="1050" spans="1:28" s="164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61"/>
      <c r="Y1050" s="161"/>
      <c r="Z1050" s="161"/>
      <c r="AA1050" s="167"/>
      <c r="AB1050" s="163"/>
    </row>
    <row r="1051" spans="1:28" s="164" customFormat="1" ht="14.1">
      <c r="A1051" s="218" t="s">
        <v>1356</v>
      </c>
      <c r="B1051" s="60"/>
      <c r="C1051" s="60"/>
      <c r="D1051" s="60"/>
      <c r="E1051" s="60"/>
      <c r="F1051" s="110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161"/>
      <c r="Y1051" s="161"/>
      <c r="Z1051" s="161"/>
      <c r="AA1051" s="167"/>
      <c r="AB1051" s="163"/>
    </row>
    <row r="1052" spans="1:28" s="164" customFormat="1">
      <c r="A1052" s="60" t="s">
        <v>1274</v>
      </c>
      <c r="B1052" s="60"/>
      <c r="C1052" s="60"/>
      <c r="D1052" s="60" t="s">
        <v>1279</v>
      </c>
      <c r="E1052" s="60"/>
      <c r="F1052" s="79">
        <f>Meters!G42</f>
        <v>38550020.395773493</v>
      </c>
      <c r="G1052" s="79">
        <f>Meters!$G10</f>
        <v>26285839.22337449</v>
      </c>
      <c r="H1052" s="79">
        <f>Meters!$G12</f>
        <v>64882.577531049996</v>
      </c>
      <c r="I1052" s="79">
        <f>Meters!$G14</f>
        <v>8187269.3747446639</v>
      </c>
      <c r="J1052" s="79">
        <f>Meters!$G16</f>
        <v>267611.02627090533</v>
      </c>
      <c r="K1052" s="79">
        <f>Meters!$G18</f>
        <v>2289549.7684639604</v>
      </c>
      <c r="L1052" s="79">
        <f>Meters!$G20</f>
        <v>534525.43351125007</v>
      </c>
      <c r="M1052" s="79">
        <f>Meters!$G22</f>
        <v>452629.81202564127</v>
      </c>
      <c r="N1052" s="79">
        <f>Meters!$G24</f>
        <v>377746.13303369086</v>
      </c>
      <c r="O1052" s="79">
        <f>Meters!$G26</f>
        <v>8123.8250845938655</v>
      </c>
      <c r="P1052" s="79">
        <f>Meters!$G28</f>
        <v>0</v>
      </c>
      <c r="Q1052" s="79">
        <f>Meters!$G30</f>
        <v>11235.380459799999</v>
      </c>
      <c r="R1052" s="79">
        <f>Meters!$G32</f>
        <v>69784.971799999999</v>
      </c>
      <c r="S1052" s="79">
        <f>Meters!$G34</f>
        <v>822.86947344050952</v>
      </c>
      <c r="T1052" s="79">
        <f>Meters!$G36</f>
        <v>0</v>
      </c>
      <c r="U1052" s="79">
        <f>Meters!$G38</f>
        <v>0</v>
      </c>
      <c r="V1052" s="79">
        <f>Meters!$G40</f>
        <v>0</v>
      </c>
      <c r="W1052" s="79">
        <f>W1038</f>
        <v>0</v>
      </c>
      <c r="X1052" s="160">
        <f>X1038</f>
        <v>0</v>
      </c>
      <c r="Y1052" s="160">
        <f>Y1038</f>
        <v>0</v>
      </c>
      <c r="Z1052" s="160">
        <f>Z1038</f>
        <v>0</v>
      </c>
      <c r="AA1052" s="160">
        <f>SUM(G1052:Z1052)</f>
        <v>38550020.395773493</v>
      </c>
      <c r="AB1052" s="163" t="str">
        <f t="shared" ref="AB1052:AB1057" si="542">IF(ABS(F1052-AA1052)&lt;0.01,"ok","err")</f>
        <v>ok</v>
      </c>
    </row>
    <row r="1053" spans="1:28" s="164" customFormat="1">
      <c r="A1053" s="60" t="s">
        <v>1275</v>
      </c>
      <c r="B1053" s="60"/>
      <c r="C1053" s="60"/>
      <c r="D1053" s="60"/>
      <c r="E1053" s="60"/>
      <c r="F1053" s="80">
        <f>F46</f>
        <v>44815612.309450604</v>
      </c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AA1053" s="166">
        <f>F1053</f>
        <v>44815612.309450604</v>
      </c>
      <c r="AB1053" s="163" t="str">
        <f t="shared" si="542"/>
        <v>ok</v>
      </c>
    </row>
    <row r="1054" spans="1:28" s="164" customFormat="1">
      <c r="A1054" s="60" t="s">
        <v>152</v>
      </c>
      <c r="B1054" s="60"/>
      <c r="C1054" s="60"/>
      <c r="D1054" s="60"/>
      <c r="E1054" s="60"/>
      <c r="F1054" s="80">
        <v>183387.58000000005</v>
      </c>
      <c r="G1054" s="60"/>
      <c r="H1054" s="79">
        <v>0</v>
      </c>
      <c r="I1054" s="76">
        <v>0</v>
      </c>
      <c r="J1054" s="79">
        <v>0</v>
      </c>
      <c r="K1054" s="79">
        <v>0</v>
      </c>
      <c r="L1054" s="112">
        <v>0</v>
      </c>
      <c r="M1054" s="79">
        <v>0</v>
      </c>
      <c r="N1054" s="79">
        <v>0</v>
      </c>
      <c r="O1054" s="79">
        <v>0</v>
      </c>
      <c r="P1054" s="79">
        <v>0</v>
      </c>
      <c r="Q1054" s="60"/>
      <c r="R1054" s="60"/>
      <c r="S1054" s="395"/>
      <c r="T1054" s="395">
        <v>183387.58000000005</v>
      </c>
      <c r="U1054" s="375"/>
      <c r="V1054" s="79">
        <v>0</v>
      </c>
      <c r="W1054" s="79">
        <v>0</v>
      </c>
      <c r="AA1054" s="166">
        <f>SUM(G1054:Z1054)</f>
        <v>183387.58000000005</v>
      </c>
      <c r="AB1054" s="163" t="str">
        <f t="shared" si="542"/>
        <v>ok</v>
      </c>
    </row>
    <row r="1055" spans="1:28" s="164" customFormat="1">
      <c r="A1055" s="60" t="s">
        <v>1276</v>
      </c>
      <c r="B1055" s="60"/>
      <c r="C1055" s="60"/>
      <c r="D1055" s="60"/>
      <c r="E1055" s="60" t="s">
        <v>1279</v>
      </c>
      <c r="F1055" s="80">
        <f>F1053-F1054</f>
        <v>44632224.729450606</v>
      </c>
      <c r="G1055" s="76">
        <f t="shared" ref="G1055:Z1055" si="543">IF(VLOOKUP($E1055,$D$6:$AN$1150,3,)=0,0,(VLOOKUP($E1055,$D$6:$AN$1150,G$2,)/VLOOKUP($E1055,$D$6:$AN$1150,3,))*$F1055)</f>
        <v>30433070.368712001</v>
      </c>
      <c r="H1055" s="76">
        <f t="shared" si="543"/>
        <v>75119.383898155313</v>
      </c>
      <c r="I1055" s="76">
        <f t="shared" si="543"/>
        <v>9479010.4623191208</v>
      </c>
      <c r="J1055" s="76">
        <f t="shared" si="543"/>
        <v>309833.18146081886</v>
      </c>
      <c r="K1055" s="76">
        <f t="shared" si="543"/>
        <v>2650781.9904175363</v>
      </c>
      <c r="L1055" s="76">
        <f t="shared" si="543"/>
        <v>618859.83527771977</v>
      </c>
      <c r="M1055" s="76">
        <f t="shared" si="543"/>
        <v>524043.18550742656</v>
      </c>
      <c r="N1055" s="76">
        <f t="shared" si="543"/>
        <v>437344.78288600536</v>
      </c>
      <c r="O1055" s="76">
        <f t="shared" si="543"/>
        <v>9405.5562906548857</v>
      </c>
      <c r="P1055" s="76">
        <f t="shared" si="543"/>
        <v>0</v>
      </c>
      <c r="Q1055" s="76">
        <f t="shared" si="543"/>
        <v>13008.035286478089</v>
      </c>
      <c r="R1055" s="76">
        <f t="shared" si="543"/>
        <v>80795.250226571981</v>
      </c>
      <c r="S1055" s="76">
        <f t="shared" si="543"/>
        <v>952.69716810910143</v>
      </c>
      <c r="T1055" s="76">
        <f t="shared" si="543"/>
        <v>0</v>
      </c>
      <c r="U1055" s="76">
        <f t="shared" si="543"/>
        <v>0</v>
      </c>
      <c r="V1055" s="76">
        <f t="shared" si="543"/>
        <v>0</v>
      </c>
      <c r="W1055" s="76">
        <f t="shared" si="543"/>
        <v>0</v>
      </c>
      <c r="X1055" s="161">
        <f t="shared" si="543"/>
        <v>0</v>
      </c>
      <c r="Y1055" s="161">
        <f t="shared" si="543"/>
        <v>0</v>
      </c>
      <c r="Z1055" s="161">
        <f t="shared" si="543"/>
        <v>0</v>
      </c>
      <c r="AA1055" s="166">
        <f>SUM(G1055:Z1055)</f>
        <v>44632224.729450606</v>
      </c>
      <c r="AB1055" s="163" t="str">
        <f t="shared" si="542"/>
        <v>ok</v>
      </c>
    </row>
    <row r="1056" spans="1:28" s="164" customFormat="1">
      <c r="A1056" s="60" t="s">
        <v>1277</v>
      </c>
      <c r="B1056" s="60"/>
      <c r="C1056" s="60"/>
      <c r="D1056" s="60" t="s">
        <v>1280</v>
      </c>
      <c r="E1056" s="60"/>
      <c r="F1056" s="80">
        <f t="shared" ref="F1056:N1056" si="544">F1054+F1055</f>
        <v>44815612.309450604</v>
      </c>
      <c r="G1056" s="80">
        <f t="shared" si="544"/>
        <v>30433070.368712001</v>
      </c>
      <c r="H1056" s="80">
        <f t="shared" si="544"/>
        <v>75119.383898155313</v>
      </c>
      <c r="I1056" s="80">
        <f t="shared" si="544"/>
        <v>9479010.4623191208</v>
      </c>
      <c r="J1056" s="80">
        <f t="shared" si="544"/>
        <v>309833.18146081886</v>
      </c>
      <c r="K1056" s="80">
        <f t="shared" si="544"/>
        <v>2650781.9904175363</v>
      </c>
      <c r="L1056" s="80">
        <f t="shared" si="544"/>
        <v>618859.83527771977</v>
      </c>
      <c r="M1056" s="80">
        <f t="shared" si="544"/>
        <v>524043.18550742656</v>
      </c>
      <c r="N1056" s="80">
        <f t="shared" si="544"/>
        <v>437344.78288600536</v>
      </c>
      <c r="O1056" s="80">
        <f>O1054+O1055</f>
        <v>9405.5562906548857</v>
      </c>
      <c r="P1056" s="80">
        <f t="shared" ref="P1056:W1056" si="545">P1054+P1055</f>
        <v>0</v>
      </c>
      <c r="Q1056" s="80">
        <f t="shared" si="545"/>
        <v>13008.035286478089</v>
      </c>
      <c r="R1056" s="80">
        <f t="shared" si="545"/>
        <v>80795.250226571981</v>
      </c>
      <c r="S1056" s="80">
        <f t="shared" si="545"/>
        <v>952.69716810910143</v>
      </c>
      <c r="T1056" s="80">
        <f t="shared" si="545"/>
        <v>183387.58000000005</v>
      </c>
      <c r="U1056" s="80">
        <f t="shared" si="545"/>
        <v>0</v>
      </c>
      <c r="V1056" s="80">
        <f t="shared" si="545"/>
        <v>0</v>
      </c>
      <c r="W1056" s="80">
        <f t="shared" si="545"/>
        <v>0</v>
      </c>
      <c r="X1056" s="166">
        <f>X1054+X1055</f>
        <v>0</v>
      </c>
      <c r="Y1056" s="166">
        <f>Y1054+Y1055</f>
        <v>0</v>
      </c>
      <c r="Z1056" s="166">
        <f>Z1054+Z1055</f>
        <v>0</v>
      </c>
      <c r="AA1056" s="166">
        <f>SUM(G1056:Z1056)</f>
        <v>44815612.309450604</v>
      </c>
      <c r="AB1056" s="163" t="str">
        <f t="shared" si="542"/>
        <v>ok</v>
      </c>
    </row>
    <row r="1057" spans="1:28" s="164" customFormat="1">
      <c r="A1057" s="60" t="s">
        <v>1278</v>
      </c>
      <c r="B1057" s="60"/>
      <c r="C1057" s="60"/>
      <c r="D1057" s="60" t="s">
        <v>1281</v>
      </c>
      <c r="E1057" s="60" t="s">
        <v>1280</v>
      </c>
      <c r="F1057" s="110">
        <v>1</v>
      </c>
      <c r="G1057" s="83">
        <f t="shared" ref="G1057:Z1057" si="546">IF(VLOOKUP($E1057,$D$6:$AN$1150,3,)=0,0,(VLOOKUP($E1057,$D$6:$AN$1150,G$2,)/VLOOKUP($E1057,$D$6:$AN$1150,3,))*$F1057)</f>
        <v>0.67907295695465375</v>
      </c>
      <c r="H1057" s="83">
        <f t="shared" si="546"/>
        <v>1.6761878289078809E-3</v>
      </c>
      <c r="I1057" s="83">
        <f t="shared" si="546"/>
        <v>0.21151134557454682</v>
      </c>
      <c r="J1057" s="83">
        <f t="shared" si="546"/>
        <v>6.9135099465210698E-3</v>
      </c>
      <c r="K1057" s="83">
        <f t="shared" si="546"/>
        <v>5.914862820826719E-2</v>
      </c>
      <c r="L1057" s="83">
        <f t="shared" si="546"/>
        <v>1.3809023315457773E-2</v>
      </c>
      <c r="M1057" s="83">
        <f t="shared" si="546"/>
        <v>1.1693317540524101E-2</v>
      </c>
      <c r="N1057" s="83">
        <f t="shared" si="546"/>
        <v>9.7587595114432737E-3</v>
      </c>
      <c r="O1057" s="83">
        <f t="shared" si="546"/>
        <v>2.0987231471277846E-4</v>
      </c>
      <c r="P1057" s="83">
        <f t="shared" si="546"/>
        <v>0</v>
      </c>
      <c r="Q1057" s="83">
        <f t="shared" si="546"/>
        <v>2.9025677919243754E-4</v>
      </c>
      <c r="R1057" s="83">
        <f t="shared" si="546"/>
        <v>1.8028371378412268E-3</v>
      </c>
      <c r="S1057" s="83">
        <f t="shared" si="546"/>
        <v>2.1258153554407625E-5</v>
      </c>
      <c r="T1057" s="83">
        <f t="shared" si="546"/>
        <v>4.0920467343771565E-3</v>
      </c>
      <c r="U1057" s="83">
        <f t="shared" si="546"/>
        <v>0</v>
      </c>
      <c r="V1057" s="83">
        <f t="shared" si="546"/>
        <v>0</v>
      </c>
      <c r="W1057" s="83">
        <f t="shared" si="546"/>
        <v>0</v>
      </c>
      <c r="X1057" s="167">
        <f t="shared" si="546"/>
        <v>0</v>
      </c>
      <c r="Y1057" s="167">
        <f t="shared" si="546"/>
        <v>0</v>
      </c>
      <c r="Z1057" s="167">
        <f t="shared" si="546"/>
        <v>0</v>
      </c>
      <c r="AA1057" s="167">
        <f>SUM(G1057:Z1057)</f>
        <v>0.99999999999999967</v>
      </c>
      <c r="AB1057" s="163" t="str">
        <f t="shared" si="542"/>
        <v>ok</v>
      </c>
    </row>
    <row r="1058" spans="1:28" s="164" customFormat="1">
      <c r="A1058" s="60"/>
      <c r="B1058" s="60"/>
      <c r="C1058" s="60"/>
      <c r="D1058" s="60"/>
      <c r="E1058" s="60"/>
      <c r="F1058" s="110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167"/>
      <c r="Y1058" s="167"/>
      <c r="Z1058" s="167"/>
      <c r="AA1058" s="167"/>
      <c r="AB1058" s="163"/>
    </row>
    <row r="1059" spans="1:28" s="164" customFormat="1">
      <c r="A1059" s="60" t="s">
        <v>1282</v>
      </c>
      <c r="B1059" s="60"/>
      <c r="C1059" s="60"/>
      <c r="D1059" s="60" t="s">
        <v>1287</v>
      </c>
      <c r="E1059" s="60"/>
      <c r="F1059" s="79">
        <f>F$1052</f>
        <v>38550020.395773493</v>
      </c>
      <c r="G1059" s="79">
        <f t="shared" ref="G1059:U1059" si="547">G$1052</f>
        <v>26285839.22337449</v>
      </c>
      <c r="H1059" s="79">
        <f t="shared" si="547"/>
        <v>64882.577531049996</v>
      </c>
      <c r="I1059" s="79">
        <f t="shared" si="547"/>
        <v>8187269.3747446639</v>
      </c>
      <c r="J1059" s="79">
        <f t="shared" si="547"/>
        <v>267611.02627090533</v>
      </c>
      <c r="K1059" s="79">
        <f t="shared" si="547"/>
        <v>2289549.7684639604</v>
      </c>
      <c r="L1059" s="79">
        <f t="shared" si="547"/>
        <v>534525.43351125007</v>
      </c>
      <c r="M1059" s="79">
        <f t="shared" si="547"/>
        <v>452629.81202564127</v>
      </c>
      <c r="N1059" s="79">
        <f t="shared" si="547"/>
        <v>377746.13303369086</v>
      </c>
      <c r="O1059" s="79">
        <f t="shared" si="547"/>
        <v>8123.8250845938655</v>
      </c>
      <c r="P1059" s="79">
        <f t="shared" si="547"/>
        <v>0</v>
      </c>
      <c r="Q1059" s="79">
        <f t="shared" si="547"/>
        <v>11235.380459799999</v>
      </c>
      <c r="R1059" s="79">
        <f t="shared" si="547"/>
        <v>69784.971799999999</v>
      </c>
      <c r="S1059" s="79">
        <f t="shared" si="547"/>
        <v>822.86947344050952</v>
      </c>
      <c r="T1059" s="79">
        <f t="shared" si="547"/>
        <v>0</v>
      </c>
      <c r="U1059" s="79">
        <f t="shared" si="547"/>
        <v>0</v>
      </c>
      <c r="V1059" s="79">
        <f t="shared" ref="V1059:Z1059" si="548">V1053</f>
        <v>0</v>
      </c>
      <c r="W1059" s="79">
        <f t="shared" si="548"/>
        <v>0</v>
      </c>
      <c r="X1059" s="160">
        <f t="shared" si="548"/>
        <v>0</v>
      </c>
      <c r="Y1059" s="160">
        <f t="shared" si="548"/>
        <v>0</v>
      </c>
      <c r="Z1059" s="160">
        <f t="shared" si="548"/>
        <v>0</v>
      </c>
      <c r="AA1059" s="160">
        <f>SUM(G1059:Z1059)</f>
        <v>38550020.395773493</v>
      </c>
      <c r="AB1059" s="163" t="str">
        <f t="shared" ref="AB1059:AB1064" si="549">IF(ABS(F1059-AA1059)&lt;0.01,"ok","err")</f>
        <v>ok</v>
      </c>
    </row>
    <row r="1060" spans="1:28" s="164" customFormat="1">
      <c r="A1060" s="60" t="s">
        <v>1283</v>
      </c>
      <c r="B1060" s="60"/>
      <c r="C1060" s="60"/>
      <c r="D1060" s="60"/>
      <c r="E1060" s="60"/>
      <c r="F1060" s="80">
        <f>F105</f>
        <v>30149961.984803911</v>
      </c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AA1060" s="166">
        <f>F1060</f>
        <v>30149961.984803911</v>
      </c>
      <c r="AB1060" s="163" t="str">
        <f t="shared" si="549"/>
        <v>ok</v>
      </c>
    </row>
    <row r="1061" spans="1:28" s="164" customFormat="1">
      <c r="A1061" s="60" t="s">
        <v>152</v>
      </c>
      <c r="B1061" s="60"/>
      <c r="C1061" s="60"/>
      <c r="D1061" s="60"/>
      <c r="E1061" s="60"/>
      <c r="F1061" s="80">
        <v>139193.68000000005</v>
      </c>
      <c r="G1061" s="60"/>
      <c r="H1061" s="79">
        <v>0</v>
      </c>
      <c r="I1061" s="76">
        <v>0</v>
      </c>
      <c r="J1061" s="79">
        <v>0</v>
      </c>
      <c r="K1061" s="79">
        <v>0</v>
      </c>
      <c r="L1061" s="112">
        <v>0</v>
      </c>
      <c r="M1061" s="79">
        <v>0</v>
      </c>
      <c r="N1061" s="79">
        <v>0</v>
      </c>
      <c r="O1061" s="79">
        <v>0</v>
      </c>
      <c r="P1061" s="79">
        <v>0</v>
      </c>
      <c r="Q1061" s="60"/>
      <c r="R1061" s="60"/>
      <c r="S1061" s="395"/>
      <c r="T1061" s="395">
        <f>T1054-44193.9</f>
        <v>139193.68000000005</v>
      </c>
      <c r="U1061" s="375"/>
      <c r="V1061" s="79">
        <v>0</v>
      </c>
      <c r="W1061" s="79">
        <v>0</v>
      </c>
      <c r="AA1061" s="166">
        <f>SUM(G1061:Z1061)</f>
        <v>139193.68000000005</v>
      </c>
      <c r="AB1061" s="163" t="str">
        <f t="shared" si="549"/>
        <v>ok</v>
      </c>
    </row>
    <row r="1062" spans="1:28" s="164" customFormat="1">
      <c r="A1062" s="60" t="s">
        <v>1284</v>
      </c>
      <c r="B1062" s="60"/>
      <c r="C1062" s="60"/>
      <c r="D1062" s="60"/>
      <c r="E1062" s="60" t="s">
        <v>1287</v>
      </c>
      <c r="F1062" s="80">
        <f>F1060-F1061</f>
        <v>30010768.304803912</v>
      </c>
      <c r="G1062" s="76">
        <f t="shared" ref="G1062:Z1062" si="550">IF(VLOOKUP($E1062,$D$6:$AN$1150,3,)=0,0,(VLOOKUP($E1062,$D$6:$AN$1150,G$2,)/VLOOKUP($E1062,$D$6:$AN$1150,3,))*$F1062)</f>
        <v>20463237.698221985</v>
      </c>
      <c r="H1062" s="76">
        <f t="shared" si="550"/>
        <v>50510.375385334431</v>
      </c>
      <c r="I1062" s="76">
        <f t="shared" si="550"/>
        <v>6373699.4619441861</v>
      </c>
      <c r="J1062" s="76">
        <f t="shared" si="550"/>
        <v>208332.25048325656</v>
      </c>
      <c r="K1062" s="76">
        <f t="shared" si="550"/>
        <v>1782389.3974183898</v>
      </c>
      <c r="L1062" s="76">
        <f t="shared" si="550"/>
        <v>416122.19068734231</v>
      </c>
      <c r="M1062" s="76">
        <f t="shared" si="550"/>
        <v>352367.34707506798</v>
      </c>
      <c r="N1062" s="76">
        <f t="shared" si="550"/>
        <v>294071.22383137897</v>
      </c>
      <c r="O1062" s="76">
        <f t="shared" si="550"/>
        <v>6324.3087775183194</v>
      </c>
      <c r="P1062" s="76">
        <f t="shared" si="550"/>
        <v>0</v>
      </c>
      <c r="Q1062" s="76">
        <f t="shared" si="550"/>
        <v>8746.6205292162867</v>
      </c>
      <c r="R1062" s="76">
        <f t="shared" si="550"/>
        <v>54326.835585194334</v>
      </c>
      <c r="S1062" s="76">
        <f t="shared" si="550"/>
        <v>640.59486503479536</v>
      </c>
      <c r="T1062" s="76">
        <f t="shared" si="550"/>
        <v>0</v>
      </c>
      <c r="U1062" s="76">
        <f t="shared" si="550"/>
        <v>0</v>
      </c>
      <c r="V1062" s="76">
        <f t="shared" si="550"/>
        <v>0</v>
      </c>
      <c r="W1062" s="76">
        <f t="shared" si="550"/>
        <v>0</v>
      </c>
      <c r="X1062" s="161">
        <f t="shared" si="550"/>
        <v>0</v>
      </c>
      <c r="Y1062" s="161">
        <f t="shared" si="550"/>
        <v>0</v>
      </c>
      <c r="Z1062" s="161">
        <f t="shared" si="550"/>
        <v>0</v>
      </c>
      <c r="AA1062" s="166">
        <f>SUM(G1062:Z1062)</f>
        <v>30010768.304803904</v>
      </c>
      <c r="AB1062" s="163" t="str">
        <f t="shared" si="549"/>
        <v>ok</v>
      </c>
    </row>
    <row r="1063" spans="1:28" s="164" customFormat="1">
      <c r="A1063" s="60" t="s">
        <v>1285</v>
      </c>
      <c r="B1063" s="60"/>
      <c r="C1063" s="60"/>
      <c r="D1063" s="60" t="s">
        <v>1288</v>
      </c>
      <c r="E1063" s="60"/>
      <c r="F1063" s="80">
        <f t="shared" ref="F1063:N1063" si="551">F1061+F1062</f>
        <v>30149961.984803911</v>
      </c>
      <c r="G1063" s="80">
        <f t="shared" si="551"/>
        <v>20463237.698221985</v>
      </c>
      <c r="H1063" s="80">
        <f t="shared" si="551"/>
        <v>50510.375385334431</v>
      </c>
      <c r="I1063" s="80">
        <f t="shared" si="551"/>
        <v>6373699.4619441861</v>
      </c>
      <c r="J1063" s="80">
        <f t="shared" si="551"/>
        <v>208332.25048325656</v>
      </c>
      <c r="K1063" s="80">
        <f t="shared" si="551"/>
        <v>1782389.3974183898</v>
      </c>
      <c r="L1063" s="80">
        <f t="shared" si="551"/>
        <v>416122.19068734231</v>
      </c>
      <c r="M1063" s="80">
        <f t="shared" si="551"/>
        <v>352367.34707506798</v>
      </c>
      <c r="N1063" s="80">
        <f t="shared" si="551"/>
        <v>294071.22383137897</v>
      </c>
      <c r="O1063" s="80">
        <f>O1061+O1062</f>
        <v>6324.3087775183194</v>
      </c>
      <c r="P1063" s="80">
        <f t="shared" ref="P1063:W1063" si="552">P1061+P1062</f>
        <v>0</v>
      </c>
      <c r="Q1063" s="80">
        <f t="shared" si="552"/>
        <v>8746.6205292162867</v>
      </c>
      <c r="R1063" s="80">
        <f t="shared" si="552"/>
        <v>54326.835585194334</v>
      </c>
      <c r="S1063" s="80">
        <f t="shared" si="552"/>
        <v>640.59486503479536</v>
      </c>
      <c r="T1063" s="80">
        <f t="shared" si="552"/>
        <v>139193.68000000005</v>
      </c>
      <c r="U1063" s="80">
        <f t="shared" si="552"/>
        <v>0</v>
      </c>
      <c r="V1063" s="80">
        <f t="shared" si="552"/>
        <v>0</v>
      </c>
      <c r="W1063" s="80">
        <f t="shared" si="552"/>
        <v>0</v>
      </c>
      <c r="X1063" s="166">
        <f>X1061+X1062</f>
        <v>0</v>
      </c>
      <c r="Y1063" s="166">
        <f>Y1061+Y1062</f>
        <v>0</v>
      </c>
      <c r="Z1063" s="166">
        <f>Z1061+Z1062</f>
        <v>0</v>
      </c>
      <c r="AA1063" s="166">
        <f>SUM(G1063:Z1063)</f>
        <v>30149961.984803904</v>
      </c>
      <c r="AB1063" s="163" t="str">
        <f t="shared" si="549"/>
        <v>ok</v>
      </c>
    </row>
    <row r="1064" spans="1:28" s="164" customFormat="1">
      <c r="A1064" s="60" t="s">
        <v>1286</v>
      </c>
      <c r="B1064" s="60"/>
      <c r="C1064" s="60"/>
      <c r="D1064" s="60" t="s">
        <v>1289</v>
      </c>
      <c r="E1064" s="60" t="s">
        <v>1288</v>
      </c>
      <c r="F1064" s="110">
        <v>1</v>
      </c>
      <c r="G1064" s="83">
        <f t="shared" ref="G1064:Z1064" si="553">IF(VLOOKUP($E1064,$D$6:$AN$1150,3,)=0,0,(VLOOKUP($E1064,$D$6:$AN$1150,G$2,)/VLOOKUP($E1064,$D$6:$AN$1150,3,))*$F1064)</f>
        <v>0.67871520728735257</v>
      </c>
      <c r="H1064" s="83">
        <f t="shared" si="553"/>
        <v>1.6753047785198704E-3</v>
      </c>
      <c r="I1064" s="83">
        <f t="shared" si="553"/>
        <v>0.21139991702664959</v>
      </c>
      <c r="J1064" s="83">
        <f t="shared" si="553"/>
        <v>6.9098677666081148E-3</v>
      </c>
      <c r="K1064" s="83">
        <f t="shared" si="553"/>
        <v>5.9117467488574084E-2</v>
      </c>
      <c r="L1064" s="83">
        <f t="shared" si="553"/>
        <v>1.3801748436600845E-2</v>
      </c>
      <c r="M1064" s="83">
        <f t="shared" si="553"/>
        <v>1.1687157259192137E-2</v>
      </c>
      <c r="N1064" s="83">
        <f t="shared" si="553"/>
        <v>9.753618395260193E-3</v>
      </c>
      <c r="O1064" s="83">
        <f t="shared" si="553"/>
        <v>2.0976174964021108E-4</v>
      </c>
      <c r="P1064" s="83">
        <f t="shared" si="553"/>
        <v>0</v>
      </c>
      <c r="Q1064" s="83">
        <f t="shared" si="553"/>
        <v>2.9010386592277397E-4</v>
      </c>
      <c r="R1064" s="83">
        <f t="shared" si="553"/>
        <v>1.801887365979963E-3</v>
      </c>
      <c r="S1064" s="83">
        <f t="shared" si="553"/>
        <v>2.1246954319798678E-5</v>
      </c>
      <c r="T1064" s="83">
        <f t="shared" si="553"/>
        <v>4.6167116253796941E-3</v>
      </c>
      <c r="U1064" s="83">
        <f t="shared" si="553"/>
        <v>0</v>
      </c>
      <c r="V1064" s="83">
        <f t="shared" si="553"/>
        <v>0</v>
      </c>
      <c r="W1064" s="83">
        <f t="shared" si="553"/>
        <v>0</v>
      </c>
      <c r="X1064" s="167">
        <f t="shared" si="553"/>
        <v>0</v>
      </c>
      <c r="Y1064" s="167">
        <f t="shared" si="553"/>
        <v>0</v>
      </c>
      <c r="Z1064" s="167">
        <f t="shared" si="553"/>
        <v>0</v>
      </c>
      <c r="AA1064" s="167">
        <f>SUM(G1064:Z1064)</f>
        <v>0.99999999999999978</v>
      </c>
      <c r="AB1064" s="163" t="str">
        <f t="shared" si="549"/>
        <v>ok</v>
      </c>
    </row>
    <row r="1065" spans="1:28" s="164" customFormat="1">
      <c r="A1065" s="60"/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167"/>
      <c r="Y1065" s="167"/>
      <c r="Z1065" s="167"/>
      <c r="AA1065" s="167"/>
      <c r="AB1065" s="163"/>
    </row>
    <row r="1066" spans="1:28" s="164" customFormat="1">
      <c r="A1066" s="60" t="s">
        <v>1358</v>
      </c>
      <c r="B1066" s="60"/>
      <c r="C1066" s="60"/>
      <c r="D1066" s="60" t="s">
        <v>1346</v>
      </c>
      <c r="E1066" s="60"/>
      <c r="F1066" s="79">
        <f>F1059</f>
        <v>38550020.395773493</v>
      </c>
      <c r="G1066" s="79">
        <f t="shared" ref="G1066:U1066" si="554">G1059</f>
        <v>26285839.22337449</v>
      </c>
      <c r="H1066" s="79">
        <f t="shared" si="554"/>
        <v>64882.577531049996</v>
      </c>
      <c r="I1066" s="79">
        <f t="shared" si="554"/>
        <v>8187269.3747446639</v>
      </c>
      <c r="J1066" s="79">
        <f t="shared" si="554"/>
        <v>267611.02627090533</v>
      </c>
      <c r="K1066" s="79">
        <f t="shared" si="554"/>
        <v>2289549.7684639604</v>
      </c>
      <c r="L1066" s="79">
        <f t="shared" si="554"/>
        <v>534525.43351125007</v>
      </c>
      <c r="M1066" s="79">
        <f t="shared" si="554"/>
        <v>452629.81202564127</v>
      </c>
      <c r="N1066" s="79">
        <f t="shared" si="554"/>
        <v>377746.13303369086</v>
      </c>
      <c r="O1066" s="79">
        <f t="shared" si="554"/>
        <v>8123.8250845938655</v>
      </c>
      <c r="P1066" s="79">
        <f t="shared" si="554"/>
        <v>0</v>
      </c>
      <c r="Q1066" s="79">
        <f t="shared" si="554"/>
        <v>11235.380459799999</v>
      </c>
      <c r="R1066" s="79">
        <f t="shared" si="554"/>
        <v>69784.971799999999</v>
      </c>
      <c r="S1066" s="79">
        <f t="shared" si="554"/>
        <v>822.86947344050952</v>
      </c>
      <c r="T1066" s="79">
        <f t="shared" si="554"/>
        <v>0</v>
      </c>
      <c r="U1066" s="79">
        <f t="shared" si="554"/>
        <v>0</v>
      </c>
      <c r="V1066" s="79">
        <f t="shared" ref="V1066:Z1066" si="555">V1052</f>
        <v>0</v>
      </c>
      <c r="W1066" s="79">
        <f t="shared" si="555"/>
        <v>0</v>
      </c>
      <c r="X1066" s="160">
        <f t="shared" si="555"/>
        <v>0</v>
      </c>
      <c r="Y1066" s="160">
        <f t="shared" si="555"/>
        <v>0</v>
      </c>
      <c r="Z1066" s="160">
        <f t="shared" si="555"/>
        <v>0</v>
      </c>
      <c r="AA1066" s="160">
        <f>SUM(G1066:Z1066)</f>
        <v>38550020.395773493</v>
      </c>
      <c r="AB1066" s="163" t="str">
        <f t="shared" ref="AB1066:AB1071" si="556">IF(ABS(F1066-AA1066)&lt;0.01,"ok","err")</f>
        <v>ok</v>
      </c>
    </row>
    <row r="1067" spans="1:28" s="164" customFormat="1">
      <c r="A1067" s="60" t="s">
        <v>1359</v>
      </c>
      <c r="B1067" s="60"/>
      <c r="C1067" s="60"/>
      <c r="D1067" s="60"/>
      <c r="E1067" s="60"/>
      <c r="F1067" s="80">
        <f>F162</f>
        <v>26834744.844464965</v>
      </c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AA1067" s="166">
        <f>F1067</f>
        <v>26834744.844464965</v>
      </c>
      <c r="AB1067" s="163" t="str">
        <f t="shared" si="556"/>
        <v>ok</v>
      </c>
    </row>
    <row r="1068" spans="1:28" s="164" customFormat="1">
      <c r="A1068" s="60" t="s">
        <v>152</v>
      </c>
      <c r="B1068" s="60"/>
      <c r="C1068" s="60"/>
      <c r="D1068" s="60"/>
      <c r="E1068" s="60"/>
      <c r="F1068" s="80">
        <v>105258.68000000005</v>
      </c>
      <c r="G1068" s="60"/>
      <c r="H1068" s="79">
        <v>0</v>
      </c>
      <c r="I1068" s="76">
        <v>0</v>
      </c>
      <c r="J1068" s="79">
        <v>0</v>
      </c>
      <c r="K1068" s="79">
        <v>0</v>
      </c>
      <c r="L1068" s="112">
        <v>0</v>
      </c>
      <c r="M1068" s="79">
        <v>0</v>
      </c>
      <c r="N1068" s="79">
        <v>0</v>
      </c>
      <c r="O1068" s="79">
        <v>0</v>
      </c>
      <c r="P1068" s="79">
        <v>0</v>
      </c>
      <c r="Q1068" s="60"/>
      <c r="R1068" s="60"/>
      <c r="S1068" s="395"/>
      <c r="T1068" s="395">
        <f>T1061-33935</f>
        <v>105258.68000000005</v>
      </c>
      <c r="U1068" s="375"/>
      <c r="V1068" s="79">
        <v>0</v>
      </c>
      <c r="W1068" s="79">
        <v>0</v>
      </c>
      <c r="AA1068" s="166">
        <f>SUM(G1068:Z1068)</f>
        <v>105258.68000000005</v>
      </c>
      <c r="AB1068" s="163" t="str">
        <f t="shared" si="556"/>
        <v>ok</v>
      </c>
    </row>
    <row r="1069" spans="1:28" s="164" customFormat="1">
      <c r="A1069" s="60" t="s">
        <v>1360</v>
      </c>
      <c r="B1069" s="60"/>
      <c r="C1069" s="60"/>
      <c r="D1069" s="60"/>
      <c r="E1069" s="60" t="s">
        <v>1346</v>
      </c>
      <c r="F1069" s="80">
        <f>F1067-F1068</f>
        <v>26729486.164464965</v>
      </c>
      <c r="G1069" s="76">
        <f t="shared" ref="G1069:Z1069" si="557">IF(VLOOKUP($E1069,$D$6:$AN$1150,3,)=0,0,(VLOOKUP($E1069,$D$6:$AN$1150,G$2,)/VLOOKUP($E1069,$D$6:$AN$1150,3,))*$F1069)</f>
        <v>18225852.246749282</v>
      </c>
      <c r="H1069" s="76">
        <f t="shared" si="557"/>
        <v>44987.73128071204</v>
      </c>
      <c r="I1069" s="76">
        <f t="shared" si="557"/>
        <v>5676819.3954309383</v>
      </c>
      <c r="J1069" s="76">
        <f t="shared" si="557"/>
        <v>185553.8635447954</v>
      </c>
      <c r="K1069" s="76">
        <f t="shared" si="557"/>
        <v>1587508.5987171361</v>
      </c>
      <c r="L1069" s="76">
        <f t="shared" si="557"/>
        <v>370624.71129483613</v>
      </c>
      <c r="M1069" s="76">
        <f t="shared" si="557"/>
        <v>313840.61989991076</v>
      </c>
      <c r="N1069" s="76">
        <f t="shared" si="557"/>
        <v>261918.40971661801</v>
      </c>
      <c r="O1069" s="76">
        <f t="shared" si="557"/>
        <v>5632.8289316545306</v>
      </c>
      <c r="P1069" s="76">
        <f t="shared" si="557"/>
        <v>0</v>
      </c>
      <c r="Q1069" s="76">
        <f t="shared" si="557"/>
        <v>7790.2928058022462</v>
      </c>
      <c r="R1069" s="76">
        <f t="shared" si="557"/>
        <v>48386.911837281034</v>
      </c>
      <c r="S1069" s="76">
        <f t="shared" si="557"/>
        <v>570.55425599463808</v>
      </c>
      <c r="T1069" s="76">
        <f t="shared" si="557"/>
        <v>0</v>
      </c>
      <c r="U1069" s="76">
        <f t="shared" si="557"/>
        <v>0</v>
      </c>
      <c r="V1069" s="76">
        <f t="shared" si="557"/>
        <v>0</v>
      </c>
      <c r="W1069" s="76">
        <f t="shared" si="557"/>
        <v>0</v>
      </c>
      <c r="X1069" s="161">
        <f t="shared" si="557"/>
        <v>0</v>
      </c>
      <c r="Y1069" s="161">
        <f t="shared" si="557"/>
        <v>0</v>
      </c>
      <c r="Z1069" s="161">
        <f t="shared" si="557"/>
        <v>0</v>
      </c>
      <c r="AA1069" s="166">
        <f>SUM(G1069:Z1069)</f>
        <v>26729486.164464958</v>
      </c>
      <c r="AB1069" s="163" t="str">
        <f t="shared" si="556"/>
        <v>ok</v>
      </c>
    </row>
    <row r="1070" spans="1:28" s="164" customFormat="1">
      <c r="A1070" s="60" t="s">
        <v>1361</v>
      </c>
      <c r="B1070" s="60"/>
      <c r="C1070" s="60"/>
      <c r="D1070" s="60" t="s">
        <v>1347</v>
      </c>
      <c r="E1070" s="60"/>
      <c r="F1070" s="80">
        <f t="shared" ref="F1070:N1070" si="558">F1068+F1069</f>
        <v>26834744.844464965</v>
      </c>
      <c r="G1070" s="80">
        <f t="shared" si="558"/>
        <v>18225852.246749282</v>
      </c>
      <c r="H1070" s="80">
        <f t="shared" si="558"/>
        <v>44987.73128071204</v>
      </c>
      <c r="I1070" s="80">
        <f t="shared" si="558"/>
        <v>5676819.3954309383</v>
      </c>
      <c r="J1070" s="80">
        <f t="shared" si="558"/>
        <v>185553.8635447954</v>
      </c>
      <c r="K1070" s="80">
        <f t="shared" si="558"/>
        <v>1587508.5987171361</v>
      </c>
      <c r="L1070" s="80">
        <f t="shared" si="558"/>
        <v>370624.71129483613</v>
      </c>
      <c r="M1070" s="80">
        <f t="shared" si="558"/>
        <v>313840.61989991076</v>
      </c>
      <c r="N1070" s="80">
        <f t="shared" si="558"/>
        <v>261918.40971661801</v>
      </c>
      <c r="O1070" s="80">
        <f>O1068+O1069</f>
        <v>5632.8289316545306</v>
      </c>
      <c r="P1070" s="80">
        <f t="shared" ref="P1070:Z1070" si="559">P1068+P1069</f>
        <v>0</v>
      </c>
      <c r="Q1070" s="80">
        <f t="shared" si="559"/>
        <v>7790.2928058022462</v>
      </c>
      <c r="R1070" s="80">
        <f t="shared" si="559"/>
        <v>48386.911837281034</v>
      </c>
      <c r="S1070" s="80">
        <f t="shared" si="559"/>
        <v>570.55425599463808</v>
      </c>
      <c r="T1070" s="80">
        <f t="shared" si="559"/>
        <v>105258.68000000005</v>
      </c>
      <c r="U1070" s="80">
        <f t="shared" si="559"/>
        <v>0</v>
      </c>
      <c r="V1070" s="80">
        <f t="shared" si="559"/>
        <v>0</v>
      </c>
      <c r="W1070" s="80">
        <f t="shared" si="559"/>
        <v>0</v>
      </c>
      <c r="X1070" s="166">
        <f t="shared" si="559"/>
        <v>0</v>
      </c>
      <c r="Y1070" s="166">
        <f t="shared" si="559"/>
        <v>0</v>
      </c>
      <c r="Z1070" s="166">
        <f t="shared" si="559"/>
        <v>0</v>
      </c>
      <c r="AA1070" s="166">
        <f>SUM(G1070:Z1070)</f>
        <v>26834744.844464958</v>
      </c>
      <c r="AB1070" s="163" t="str">
        <f t="shared" si="556"/>
        <v>ok</v>
      </c>
    </row>
    <row r="1071" spans="1:28" s="164" customFormat="1">
      <c r="A1071" s="60" t="s">
        <v>1362</v>
      </c>
      <c r="B1071" s="60"/>
      <c r="C1071" s="60"/>
      <c r="D1071" s="60" t="s">
        <v>1348</v>
      </c>
      <c r="E1071" s="60" t="s">
        <v>1347</v>
      </c>
      <c r="F1071" s="110">
        <v>1</v>
      </c>
      <c r="G1071" s="83">
        <f t="shared" ref="G1071:Z1071" si="560">IF(VLOOKUP($E1071,$D$6:$AN$1150,3,)=0,0,(VLOOKUP($E1071,$D$6:$AN$1150,G$2,)/VLOOKUP($E1071,$D$6:$AN$1150,3,))*$F1071)</f>
        <v>0.67918858004377913</v>
      </c>
      <c r="H1071" s="83">
        <f t="shared" si="560"/>
        <v>1.67647322683567E-3</v>
      </c>
      <c r="I1071" s="83">
        <f t="shared" si="560"/>
        <v>0.2115473587818317</v>
      </c>
      <c r="J1071" s="83">
        <f t="shared" si="560"/>
        <v>6.9146870827455787E-3</v>
      </c>
      <c r="K1071" s="83">
        <f t="shared" si="560"/>
        <v>5.9158699213217286E-2</v>
      </c>
      <c r="L1071" s="83">
        <f t="shared" si="560"/>
        <v>1.3811374523700104E-2</v>
      </c>
      <c r="M1071" s="83">
        <f t="shared" si="560"/>
        <v>1.1695308515841718E-2</v>
      </c>
      <c r="N1071" s="83">
        <f t="shared" si="560"/>
        <v>9.7604210971524216E-3</v>
      </c>
      <c r="O1071" s="83">
        <f t="shared" si="560"/>
        <v>2.0990804884870665E-4</v>
      </c>
      <c r="P1071" s="83">
        <f t="shared" si="560"/>
        <v>0</v>
      </c>
      <c r="Q1071" s="83">
        <f t="shared" si="560"/>
        <v>2.9030620007587296E-4</v>
      </c>
      <c r="R1071" s="83">
        <f t="shared" si="560"/>
        <v>1.8031440998501425E-3</v>
      </c>
      <c r="S1071" s="83">
        <f t="shared" si="560"/>
        <v>2.1261773096841006E-5</v>
      </c>
      <c r="T1071" s="83">
        <f t="shared" si="560"/>
        <v>3.9224773930247037E-3</v>
      </c>
      <c r="U1071" s="83">
        <f t="shared" si="560"/>
        <v>0</v>
      </c>
      <c r="V1071" s="83">
        <f t="shared" si="560"/>
        <v>0</v>
      </c>
      <c r="W1071" s="83">
        <f t="shared" si="560"/>
        <v>0</v>
      </c>
      <c r="X1071" s="167">
        <f t="shared" si="560"/>
        <v>0</v>
      </c>
      <c r="Y1071" s="167">
        <f t="shared" si="560"/>
        <v>0</v>
      </c>
      <c r="Z1071" s="167">
        <f t="shared" si="560"/>
        <v>0</v>
      </c>
      <c r="AA1071" s="167">
        <f>SUM(G1071:Z1071)</f>
        <v>0.99999999999999978</v>
      </c>
      <c r="AB1071" s="163" t="str">
        <f t="shared" si="556"/>
        <v>ok</v>
      </c>
    </row>
    <row r="1072" spans="1:28" s="170" customFormat="1">
      <c r="A1072" s="60"/>
      <c r="B1072" s="60"/>
      <c r="C1072" s="60"/>
      <c r="D1072" s="60"/>
      <c r="E1072" s="60"/>
      <c r="F1072" s="110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176"/>
      <c r="X1072" s="176"/>
      <c r="Y1072" s="176"/>
      <c r="Z1072" s="176"/>
      <c r="AA1072" s="176"/>
      <c r="AB1072" s="172"/>
    </row>
    <row r="1073" spans="1:28" s="164" customFormat="1">
      <c r="A1073" s="60" t="s">
        <v>1290</v>
      </c>
      <c r="B1073" s="60"/>
      <c r="C1073" s="60"/>
      <c r="D1073" s="60" t="s">
        <v>1309</v>
      </c>
      <c r="E1073" s="60"/>
      <c r="F1073" s="79">
        <f>F$1052</f>
        <v>38550020.395773493</v>
      </c>
      <c r="G1073" s="79">
        <f t="shared" ref="G1073:U1073" si="561">G$1052</f>
        <v>26285839.22337449</v>
      </c>
      <c r="H1073" s="79">
        <f t="shared" si="561"/>
        <v>64882.577531049996</v>
      </c>
      <c r="I1073" s="79">
        <f t="shared" si="561"/>
        <v>8187269.3747446639</v>
      </c>
      <c r="J1073" s="79">
        <f t="shared" si="561"/>
        <v>267611.02627090533</v>
      </c>
      <c r="K1073" s="79">
        <f t="shared" si="561"/>
        <v>2289549.7684639604</v>
      </c>
      <c r="L1073" s="79">
        <f t="shared" si="561"/>
        <v>534525.43351125007</v>
      </c>
      <c r="M1073" s="79">
        <f t="shared" si="561"/>
        <v>452629.81202564127</v>
      </c>
      <c r="N1073" s="79">
        <f t="shared" si="561"/>
        <v>377746.13303369086</v>
      </c>
      <c r="O1073" s="79">
        <f t="shared" si="561"/>
        <v>8123.8250845938655</v>
      </c>
      <c r="P1073" s="79">
        <f t="shared" si="561"/>
        <v>0</v>
      </c>
      <c r="Q1073" s="79">
        <f t="shared" si="561"/>
        <v>11235.380459799999</v>
      </c>
      <c r="R1073" s="79">
        <f t="shared" si="561"/>
        <v>69784.971799999999</v>
      </c>
      <c r="S1073" s="79">
        <f t="shared" si="561"/>
        <v>822.86947344050952</v>
      </c>
      <c r="T1073" s="79">
        <f t="shared" si="561"/>
        <v>0</v>
      </c>
      <c r="U1073" s="79">
        <f t="shared" si="561"/>
        <v>0</v>
      </c>
      <c r="V1073" s="79">
        <f t="shared" ref="V1073:Z1073" si="562">V1060</f>
        <v>0</v>
      </c>
      <c r="W1073" s="79">
        <f t="shared" si="562"/>
        <v>0</v>
      </c>
      <c r="X1073" s="160">
        <f t="shared" si="562"/>
        <v>0</v>
      </c>
      <c r="Y1073" s="160">
        <f t="shared" si="562"/>
        <v>0</v>
      </c>
      <c r="Z1073" s="160">
        <f t="shared" si="562"/>
        <v>0</v>
      </c>
      <c r="AA1073" s="160">
        <f>SUM(G1073:Z1073)</f>
        <v>38550020.395773493</v>
      </c>
      <c r="AB1073" s="163" t="str">
        <f t="shared" ref="AB1073:AB1078" si="563">IF(ABS(F1073-AA1073)&lt;0.01,"ok","err")</f>
        <v>ok</v>
      </c>
    </row>
    <row r="1074" spans="1:28" s="164" customFormat="1">
      <c r="A1074" s="60" t="s">
        <v>1291</v>
      </c>
      <c r="B1074" s="60"/>
      <c r="C1074" s="60"/>
      <c r="D1074" s="60"/>
      <c r="E1074" s="60"/>
      <c r="F1074" s="80">
        <f>F219</f>
        <v>13918315.257724669</v>
      </c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AA1074" s="166">
        <f>F1074</f>
        <v>13918315.257724669</v>
      </c>
      <c r="AB1074" s="163" t="str">
        <f t="shared" si="563"/>
        <v>ok</v>
      </c>
    </row>
    <row r="1075" spans="1:28" s="164" customFormat="1">
      <c r="A1075" s="60" t="s">
        <v>152</v>
      </c>
      <c r="B1075" s="60"/>
      <c r="C1075" s="60"/>
      <c r="D1075" s="60"/>
      <c r="E1075" s="60"/>
      <c r="F1075" s="80">
        <v>0</v>
      </c>
      <c r="G1075" s="60"/>
      <c r="H1075" s="79">
        <v>0</v>
      </c>
      <c r="I1075" s="76">
        <v>0</v>
      </c>
      <c r="J1075" s="79">
        <v>0</v>
      </c>
      <c r="K1075" s="79">
        <v>0</v>
      </c>
      <c r="L1075" s="112">
        <v>0</v>
      </c>
      <c r="M1075" s="79">
        <v>0</v>
      </c>
      <c r="N1075" s="79">
        <v>0</v>
      </c>
      <c r="O1075" s="79">
        <v>0</v>
      </c>
      <c r="P1075" s="79">
        <v>0</v>
      </c>
      <c r="Q1075" s="60"/>
      <c r="R1075" s="60"/>
      <c r="S1075" s="395">
        <v>0</v>
      </c>
      <c r="T1075" s="79"/>
      <c r="U1075" s="375"/>
      <c r="V1075" s="79">
        <v>0</v>
      </c>
      <c r="W1075" s="79">
        <v>0</v>
      </c>
      <c r="AA1075" s="166">
        <f>SUM(G1075:Z1075)</f>
        <v>0</v>
      </c>
      <c r="AB1075" s="163" t="str">
        <f t="shared" si="563"/>
        <v>ok</v>
      </c>
    </row>
    <row r="1076" spans="1:28" s="164" customFormat="1">
      <c r="A1076" s="60" t="s">
        <v>1292</v>
      </c>
      <c r="B1076" s="60"/>
      <c r="C1076" s="60"/>
      <c r="D1076" s="60"/>
      <c r="E1076" s="60" t="s">
        <v>1309</v>
      </c>
      <c r="F1076" s="80">
        <f>F1074-F1075</f>
        <v>13918315.257724669</v>
      </c>
      <c r="G1076" s="76">
        <f t="shared" ref="G1076:Z1076" si="564">IF(VLOOKUP($E1076,$D$6:$AN$1150,3,)=0,0,(VLOOKUP($E1076,$D$6:$AN$1150,G$2,)/VLOOKUP($E1076,$D$6:$AN$1150,3,))*$F1076)</f>
        <v>9490386.6033985782</v>
      </c>
      <c r="H1076" s="76">
        <f t="shared" si="564"/>
        <v>23425.569157673526</v>
      </c>
      <c r="I1076" s="76">
        <f t="shared" si="564"/>
        <v>2955977.5867227307</v>
      </c>
      <c r="J1076" s="76">
        <f t="shared" si="564"/>
        <v>96619.783643228962</v>
      </c>
      <c r="K1076" s="76">
        <f t="shared" si="564"/>
        <v>826631.87071168679</v>
      </c>
      <c r="L1076" s="76">
        <f t="shared" si="564"/>
        <v>192988.0560503462</v>
      </c>
      <c r="M1076" s="76">
        <f t="shared" si="564"/>
        <v>163420.00222412925</v>
      </c>
      <c r="N1076" s="76">
        <f t="shared" si="564"/>
        <v>136383.57938523268</v>
      </c>
      <c r="O1076" s="76">
        <f t="shared" si="564"/>
        <v>2933.0713048957518</v>
      </c>
      <c r="P1076" s="76">
        <f t="shared" si="564"/>
        <v>0</v>
      </c>
      <c r="Q1076" s="76">
        <f t="shared" si="564"/>
        <v>4056.4846833938559</v>
      </c>
      <c r="R1076" s="76">
        <f t="shared" si="564"/>
        <v>25195.557039713392</v>
      </c>
      <c r="S1076" s="76">
        <f t="shared" si="564"/>
        <v>297.09340305715051</v>
      </c>
      <c r="T1076" s="76">
        <f t="shared" si="564"/>
        <v>0</v>
      </c>
      <c r="U1076" s="76">
        <f t="shared" si="564"/>
        <v>0</v>
      </c>
      <c r="V1076" s="76">
        <f t="shared" si="564"/>
        <v>0</v>
      </c>
      <c r="W1076" s="76">
        <f t="shared" si="564"/>
        <v>0</v>
      </c>
      <c r="X1076" s="161">
        <f t="shared" si="564"/>
        <v>0</v>
      </c>
      <c r="Y1076" s="161">
        <f t="shared" si="564"/>
        <v>0</v>
      </c>
      <c r="Z1076" s="161">
        <f t="shared" si="564"/>
        <v>0</v>
      </c>
      <c r="AA1076" s="166">
        <f>SUM(G1076:Z1076)</f>
        <v>13918315.257724663</v>
      </c>
      <c r="AB1076" s="163" t="str">
        <f t="shared" si="563"/>
        <v>ok</v>
      </c>
    </row>
    <row r="1077" spans="1:28" s="164" customFormat="1">
      <c r="A1077" s="60" t="s">
        <v>1293</v>
      </c>
      <c r="B1077" s="60"/>
      <c r="C1077" s="60"/>
      <c r="D1077" s="60" t="s">
        <v>1310</v>
      </c>
      <c r="E1077" s="60"/>
      <c r="F1077" s="80">
        <f t="shared" ref="F1077:N1077" si="565">F1075+F1076</f>
        <v>13918315.257724669</v>
      </c>
      <c r="G1077" s="80">
        <f t="shared" si="565"/>
        <v>9490386.6033985782</v>
      </c>
      <c r="H1077" s="80">
        <f t="shared" si="565"/>
        <v>23425.569157673526</v>
      </c>
      <c r="I1077" s="80">
        <f t="shared" si="565"/>
        <v>2955977.5867227307</v>
      </c>
      <c r="J1077" s="80">
        <f t="shared" si="565"/>
        <v>96619.783643228962</v>
      </c>
      <c r="K1077" s="80">
        <f t="shared" si="565"/>
        <v>826631.87071168679</v>
      </c>
      <c r="L1077" s="80">
        <f t="shared" si="565"/>
        <v>192988.0560503462</v>
      </c>
      <c r="M1077" s="80">
        <f t="shared" si="565"/>
        <v>163420.00222412925</v>
      </c>
      <c r="N1077" s="80">
        <f t="shared" si="565"/>
        <v>136383.57938523268</v>
      </c>
      <c r="O1077" s="80">
        <f>O1075+O1076</f>
        <v>2933.0713048957518</v>
      </c>
      <c r="P1077" s="80">
        <f t="shared" ref="P1077:W1077" si="566">P1075+P1076</f>
        <v>0</v>
      </c>
      <c r="Q1077" s="80">
        <f t="shared" si="566"/>
        <v>4056.4846833938559</v>
      </c>
      <c r="R1077" s="80">
        <f t="shared" si="566"/>
        <v>25195.557039713392</v>
      </c>
      <c r="S1077" s="80">
        <f t="shared" si="566"/>
        <v>297.09340305715051</v>
      </c>
      <c r="T1077" s="80">
        <f t="shared" si="566"/>
        <v>0</v>
      </c>
      <c r="U1077" s="80">
        <f t="shared" si="566"/>
        <v>0</v>
      </c>
      <c r="V1077" s="80">
        <f t="shared" si="566"/>
        <v>0</v>
      </c>
      <c r="W1077" s="80">
        <f t="shared" si="566"/>
        <v>0</v>
      </c>
      <c r="X1077" s="166">
        <f>X1075+X1076</f>
        <v>0</v>
      </c>
      <c r="Y1077" s="166">
        <f>Y1075+Y1076</f>
        <v>0</v>
      </c>
      <c r="Z1077" s="166">
        <f>Z1075+Z1076</f>
        <v>0</v>
      </c>
      <c r="AA1077" s="166">
        <f>SUM(G1077:Z1077)</f>
        <v>13918315.257724663</v>
      </c>
      <c r="AB1077" s="163" t="str">
        <f t="shared" si="563"/>
        <v>ok</v>
      </c>
    </row>
    <row r="1078" spans="1:28" s="164" customFormat="1">
      <c r="A1078" s="60" t="s">
        <v>1294</v>
      </c>
      <c r="B1078" s="60"/>
      <c r="C1078" s="60"/>
      <c r="D1078" s="60" t="s">
        <v>1311</v>
      </c>
      <c r="E1078" s="60" t="s">
        <v>1310</v>
      </c>
      <c r="F1078" s="110">
        <v>1</v>
      </c>
      <c r="G1078" s="83">
        <f t="shared" ref="G1078:Z1078" si="567">IF(VLOOKUP($E1078,$D$6:$AN$1150,3,)=0,0,(VLOOKUP($E1078,$D$6:$AN$1150,G$2,)/VLOOKUP($E1078,$D$6:$AN$1150,3,))*$F1078)</f>
        <v>0.68186317292471232</v>
      </c>
      <c r="H1078" s="83">
        <f t="shared" si="567"/>
        <v>1.6830750506726976E-3</v>
      </c>
      <c r="I1078" s="83">
        <f t="shared" si="567"/>
        <v>0.21238041616295206</v>
      </c>
      <c r="J1078" s="83">
        <f t="shared" si="567"/>
        <v>6.9419165936484267E-3</v>
      </c>
      <c r="K1078" s="83">
        <f t="shared" si="567"/>
        <v>5.9391661663426243E-2</v>
      </c>
      <c r="L1078" s="83">
        <f t="shared" si="567"/>
        <v>1.3865762664287819E-2</v>
      </c>
      <c r="M1078" s="83">
        <f t="shared" si="567"/>
        <v>1.1741363749713249E-2</v>
      </c>
      <c r="N1078" s="83">
        <f t="shared" si="567"/>
        <v>9.7988568917879455E-3</v>
      </c>
      <c r="O1078" s="83">
        <f t="shared" si="567"/>
        <v>2.1073465075220914E-4</v>
      </c>
      <c r="P1078" s="83">
        <f t="shared" si="567"/>
        <v>0</v>
      </c>
      <c r="Q1078" s="83">
        <f t="shared" si="567"/>
        <v>2.9144940377338457E-4</v>
      </c>
      <c r="R1078" s="83">
        <f t="shared" si="567"/>
        <v>1.8102447439340657E-3</v>
      </c>
      <c r="S1078" s="83">
        <f t="shared" si="567"/>
        <v>2.1345500339364968E-5</v>
      </c>
      <c r="T1078" s="83">
        <f t="shared" si="567"/>
        <v>0</v>
      </c>
      <c r="U1078" s="83">
        <f t="shared" si="567"/>
        <v>0</v>
      </c>
      <c r="V1078" s="83">
        <f t="shared" si="567"/>
        <v>0</v>
      </c>
      <c r="W1078" s="83">
        <f t="shared" si="567"/>
        <v>0</v>
      </c>
      <c r="X1078" s="167">
        <f t="shared" si="567"/>
        <v>0</v>
      </c>
      <c r="Y1078" s="167">
        <f t="shared" si="567"/>
        <v>0</v>
      </c>
      <c r="Z1078" s="167">
        <f t="shared" si="567"/>
        <v>0</v>
      </c>
      <c r="AA1078" s="167">
        <f>SUM(G1078:Z1078)</f>
        <v>0.99999999999999967</v>
      </c>
      <c r="AB1078" s="163" t="str">
        <f t="shared" si="563"/>
        <v>ok</v>
      </c>
    </row>
    <row r="1079" spans="1:28" s="164" customFormat="1">
      <c r="A1079" s="60"/>
      <c r="B1079" s="60"/>
      <c r="C1079" s="60"/>
      <c r="D1079" s="60"/>
      <c r="E1079" s="60"/>
      <c r="F1079" s="110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167"/>
      <c r="Y1079" s="167"/>
      <c r="Z1079" s="167"/>
      <c r="AA1079" s="167"/>
      <c r="AB1079" s="163"/>
    </row>
    <row r="1080" spans="1:28" s="164" customFormat="1">
      <c r="A1080" s="60" t="s">
        <v>1295</v>
      </c>
      <c r="B1080" s="60"/>
      <c r="C1080" s="60"/>
      <c r="D1080" s="60" t="s">
        <v>1312</v>
      </c>
      <c r="E1080" s="60"/>
      <c r="F1080" s="79">
        <f>F$1052</f>
        <v>38550020.395773493</v>
      </c>
      <c r="G1080" s="79">
        <f t="shared" ref="G1080:U1080" si="568">G$1052</f>
        <v>26285839.22337449</v>
      </c>
      <c r="H1080" s="79">
        <f t="shared" si="568"/>
        <v>64882.577531049996</v>
      </c>
      <c r="I1080" s="79">
        <f t="shared" si="568"/>
        <v>8187269.3747446639</v>
      </c>
      <c r="J1080" s="79">
        <f t="shared" si="568"/>
        <v>267611.02627090533</v>
      </c>
      <c r="K1080" s="79">
        <f t="shared" si="568"/>
        <v>2289549.7684639604</v>
      </c>
      <c r="L1080" s="79">
        <f t="shared" si="568"/>
        <v>534525.43351125007</v>
      </c>
      <c r="M1080" s="79">
        <f t="shared" si="568"/>
        <v>452629.81202564127</v>
      </c>
      <c r="N1080" s="79">
        <f t="shared" si="568"/>
        <v>377746.13303369086</v>
      </c>
      <c r="O1080" s="79">
        <f t="shared" si="568"/>
        <v>8123.8250845938655</v>
      </c>
      <c r="P1080" s="79">
        <f t="shared" si="568"/>
        <v>0</v>
      </c>
      <c r="Q1080" s="79">
        <f t="shared" si="568"/>
        <v>11235.380459799999</v>
      </c>
      <c r="R1080" s="79">
        <f t="shared" si="568"/>
        <v>69784.971799999999</v>
      </c>
      <c r="S1080" s="79">
        <f t="shared" si="568"/>
        <v>822.86947344050952</v>
      </c>
      <c r="T1080" s="79">
        <f t="shared" si="568"/>
        <v>0</v>
      </c>
      <c r="U1080" s="79">
        <f t="shared" si="568"/>
        <v>0</v>
      </c>
      <c r="V1080" s="79">
        <f t="shared" ref="V1080:Z1080" si="569">V1074</f>
        <v>0</v>
      </c>
      <c r="W1080" s="79">
        <f t="shared" si="569"/>
        <v>0</v>
      </c>
      <c r="X1080" s="160">
        <f t="shared" si="569"/>
        <v>0</v>
      </c>
      <c r="Y1080" s="160">
        <f t="shared" si="569"/>
        <v>0</v>
      </c>
      <c r="Z1080" s="160">
        <f t="shared" si="569"/>
        <v>0</v>
      </c>
      <c r="AA1080" s="160">
        <f>SUM(G1080:Z1080)</f>
        <v>38550020.395773493</v>
      </c>
      <c r="AB1080" s="163" t="str">
        <f t="shared" ref="AB1080:AB1085" si="570">IF(ABS(F1080-AA1080)&lt;0.01,"ok","err")</f>
        <v>ok</v>
      </c>
    </row>
    <row r="1081" spans="1:28" s="164" customFormat="1">
      <c r="A1081" s="60" t="s">
        <v>1296</v>
      </c>
      <c r="B1081" s="60"/>
      <c r="C1081" s="60"/>
      <c r="D1081" s="60"/>
      <c r="E1081" s="60"/>
      <c r="F1081" s="80">
        <f>F333</f>
        <v>1184750.9707206148</v>
      </c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AA1081" s="166">
        <f>F1081</f>
        <v>1184750.9707206148</v>
      </c>
      <c r="AB1081" s="163" t="str">
        <f t="shared" si="570"/>
        <v>ok</v>
      </c>
    </row>
    <row r="1082" spans="1:28" s="164" customFormat="1">
      <c r="A1082" s="60" t="s">
        <v>152</v>
      </c>
      <c r="B1082" s="60"/>
      <c r="C1082" s="60"/>
      <c r="D1082" s="60"/>
      <c r="E1082" s="60"/>
      <c r="F1082" s="80">
        <v>18338.759999999998</v>
      </c>
      <c r="G1082" s="60"/>
      <c r="H1082" s="79">
        <v>0</v>
      </c>
      <c r="I1082" s="76">
        <v>0</v>
      </c>
      <c r="J1082" s="79">
        <v>0</v>
      </c>
      <c r="K1082" s="79">
        <v>0</v>
      </c>
      <c r="L1082" s="112">
        <v>0</v>
      </c>
      <c r="M1082" s="79">
        <v>0</v>
      </c>
      <c r="N1082" s="79">
        <v>0</v>
      </c>
      <c r="O1082" s="79">
        <v>0</v>
      </c>
      <c r="P1082" s="79">
        <v>0</v>
      </c>
      <c r="Q1082" s="60"/>
      <c r="R1082" s="60"/>
      <c r="S1082" s="395">
        <v>0</v>
      </c>
      <c r="T1082" s="395">
        <f>18338.76</f>
        <v>18338.759999999998</v>
      </c>
      <c r="U1082" s="375"/>
      <c r="V1082" s="79">
        <v>0</v>
      </c>
      <c r="W1082" s="79">
        <v>0</v>
      </c>
      <c r="AA1082" s="166">
        <f>SUM(G1082:Z1082)</f>
        <v>18338.759999999998</v>
      </c>
      <c r="AB1082" s="163" t="str">
        <f t="shared" si="570"/>
        <v>ok</v>
      </c>
    </row>
    <row r="1083" spans="1:28" s="164" customFormat="1">
      <c r="A1083" s="60" t="s">
        <v>1297</v>
      </c>
      <c r="B1083" s="60"/>
      <c r="C1083" s="60"/>
      <c r="D1083" s="60"/>
      <c r="E1083" s="60" t="s">
        <v>1312</v>
      </c>
      <c r="F1083" s="80">
        <f>F1081-F1082</f>
        <v>1166412.2107206148</v>
      </c>
      <c r="G1083" s="76">
        <f t="shared" ref="G1083:Z1083" si="571">IF(VLOOKUP($E1083,$D$6:$AN$1150,3,)=0,0,(VLOOKUP($E1083,$D$6:$AN$1150,G$2,)/VLOOKUP($E1083,$D$6:$AN$1150,3,))*$F1083)</f>
        <v>795333.53094008658</v>
      </c>
      <c r="H1083" s="76">
        <f t="shared" si="571"/>
        <v>1963.1592906638518</v>
      </c>
      <c r="I1083" s="76">
        <f t="shared" si="571"/>
        <v>247723.11073039309</v>
      </c>
      <c r="J1083" s="76">
        <f t="shared" si="571"/>
        <v>8097.1362806355819</v>
      </c>
      <c r="K1083" s="76">
        <f t="shared" si="571"/>
        <v>69275.159379207791</v>
      </c>
      <c r="L1083" s="76">
        <f t="shared" si="571"/>
        <v>16173.194882579317</v>
      </c>
      <c r="M1083" s="76">
        <f t="shared" si="571"/>
        <v>13695.270048177917</v>
      </c>
      <c r="N1083" s="76">
        <f t="shared" si="571"/>
        <v>11429.506329685308</v>
      </c>
      <c r="O1083" s="76">
        <f t="shared" si="571"/>
        <v>245.80346985932093</v>
      </c>
      <c r="P1083" s="76">
        <f t="shared" si="571"/>
        <v>0</v>
      </c>
      <c r="Q1083" s="76">
        <f t="shared" si="571"/>
        <v>339.95014336851858</v>
      </c>
      <c r="R1083" s="76">
        <f t="shared" si="571"/>
        <v>2111.491573717507</v>
      </c>
      <c r="S1083" s="76">
        <f t="shared" si="571"/>
        <v>24.897652239776324</v>
      </c>
      <c r="T1083" s="76">
        <f t="shared" si="571"/>
        <v>0</v>
      </c>
      <c r="U1083" s="76">
        <f t="shared" si="571"/>
        <v>0</v>
      </c>
      <c r="V1083" s="76">
        <f t="shared" si="571"/>
        <v>0</v>
      </c>
      <c r="W1083" s="76">
        <f t="shared" si="571"/>
        <v>0</v>
      </c>
      <c r="X1083" s="161">
        <f t="shared" si="571"/>
        <v>0</v>
      </c>
      <c r="Y1083" s="161">
        <f t="shared" si="571"/>
        <v>0</v>
      </c>
      <c r="Z1083" s="161">
        <f t="shared" si="571"/>
        <v>0</v>
      </c>
      <c r="AA1083" s="166">
        <f>SUM(G1083:Z1083)</f>
        <v>1166412.2107206143</v>
      </c>
      <c r="AB1083" s="163" t="str">
        <f t="shared" si="570"/>
        <v>ok</v>
      </c>
    </row>
    <row r="1084" spans="1:28" s="164" customFormat="1">
      <c r="A1084" s="60" t="s">
        <v>1298</v>
      </c>
      <c r="B1084" s="60"/>
      <c r="C1084" s="60"/>
      <c r="D1084" s="60" t="s">
        <v>1313</v>
      </c>
      <c r="E1084" s="60"/>
      <c r="F1084" s="80">
        <f t="shared" ref="F1084:N1084" si="572">F1082+F1083</f>
        <v>1184750.9707206148</v>
      </c>
      <c r="G1084" s="80">
        <f t="shared" si="572"/>
        <v>795333.53094008658</v>
      </c>
      <c r="H1084" s="80">
        <f t="shared" si="572"/>
        <v>1963.1592906638518</v>
      </c>
      <c r="I1084" s="80">
        <f t="shared" si="572"/>
        <v>247723.11073039309</v>
      </c>
      <c r="J1084" s="80">
        <f t="shared" si="572"/>
        <v>8097.1362806355819</v>
      </c>
      <c r="K1084" s="80">
        <f t="shared" si="572"/>
        <v>69275.159379207791</v>
      </c>
      <c r="L1084" s="80">
        <f t="shared" si="572"/>
        <v>16173.194882579317</v>
      </c>
      <c r="M1084" s="80">
        <f t="shared" si="572"/>
        <v>13695.270048177917</v>
      </c>
      <c r="N1084" s="80">
        <f t="shared" si="572"/>
        <v>11429.506329685308</v>
      </c>
      <c r="O1084" s="80">
        <f>O1082+O1083</f>
        <v>245.80346985932093</v>
      </c>
      <c r="P1084" s="80">
        <f t="shared" ref="P1084:W1084" si="573">P1082+P1083</f>
        <v>0</v>
      </c>
      <c r="Q1084" s="80">
        <f t="shared" si="573"/>
        <v>339.95014336851858</v>
      </c>
      <c r="R1084" s="80">
        <f t="shared" si="573"/>
        <v>2111.491573717507</v>
      </c>
      <c r="S1084" s="80">
        <f t="shared" si="573"/>
        <v>24.897652239776324</v>
      </c>
      <c r="T1084" s="80">
        <f t="shared" si="573"/>
        <v>18338.759999999998</v>
      </c>
      <c r="U1084" s="80">
        <f t="shared" si="573"/>
        <v>0</v>
      </c>
      <c r="V1084" s="80">
        <f t="shared" si="573"/>
        <v>0</v>
      </c>
      <c r="W1084" s="80">
        <f t="shared" si="573"/>
        <v>0</v>
      </c>
      <c r="X1084" s="166">
        <f>X1082+X1083</f>
        <v>0</v>
      </c>
      <c r="Y1084" s="166">
        <f>Y1082+Y1083</f>
        <v>0</v>
      </c>
      <c r="Z1084" s="166">
        <f>Z1082+Z1083</f>
        <v>0</v>
      </c>
      <c r="AA1084" s="166">
        <f>SUM(G1084:Z1084)</f>
        <v>1184750.9707206143</v>
      </c>
      <c r="AB1084" s="163" t="str">
        <f t="shared" si="570"/>
        <v>ok</v>
      </c>
    </row>
    <row r="1085" spans="1:28" s="164" customFormat="1">
      <c r="A1085" s="60" t="s">
        <v>1299</v>
      </c>
      <c r="B1085" s="60"/>
      <c r="C1085" s="60"/>
      <c r="D1085" s="60" t="s">
        <v>1314</v>
      </c>
      <c r="E1085" s="60" t="s">
        <v>1313</v>
      </c>
      <c r="F1085" s="110">
        <v>1</v>
      </c>
      <c r="G1085" s="83">
        <f t="shared" ref="G1085:Z1085" si="574">IF(VLOOKUP($E1085,$D$6:$AN$1150,3,)=0,0,(VLOOKUP($E1085,$D$6:$AN$1150,G$2,)/VLOOKUP($E1085,$D$6:$AN$1150,3,))*$F1085)</f>
        <v>0.67130861302973377</v>
      </c>
      <c r="H1085" s="83">
        <f t="shared" si="574"/>
        <v>1.6570227323551184E-3</v>
      </c>
      <c r="I1085" s="83">
        <f t="shared" si="574"/>
        <v>0.20909297975060329</v>
      </c>
      <c r="J1085" s="83">
        <f t="shared" si="574"/>
        <v>6.8344626683112713E-3</v>
      </c>
      <c r="K1085" s="83">
        <f t="shared" si="574"/>
        <v>5.8472338146363163E-2</v>
      </c>
      <c r="L1085" s="83">
        <f t="shared" si="574"/>
        <v>1.3651134527234958E-2</v>
      </c>
      <c r="M1085" s="83">
        <f t="shared" si="574"/>
        <v>1.1559619182964572E-2</v>
      </c>
      <c r="N1085" s="83">
        <f t="shared" si="574"/>
        <v>9.6471803882409203E-3</v>
      </c>
      <c r="O1085" s="83">
        <f t="shared" si="574"/>
        <v>2.0747268914227015E-4</v>
      </c>
      <c r="P1085" s="83">
        <f t="shared" si="574"/>
        <v>0</v>
      </c>
      <c r="Q1085" s="83">
        <f t="shared" si="574"/>
        <v>2.8693805852021947E-4</v>
      </c>
      <c r="R1085" s="83">
        <f t="shared" si="574"/>
        <v>1.7822239659640964E-3</v>
      </c>
      <c r="S1085" s="83">
        <f t="shared" si="574"/>
        <v>2.1015093344580706E-5</v>
      </c>
      <c r="T1085" s="83">
        <f t="shared" si="574"/>
        <v>1.5478999767221632E-2</v>
      </c>
      <c r="U1085" s="83">
        <f t="shared" si="574"/>
        <v>0</v>
      </c>
      <c r="V1085" s="83">
        <f t="shared" si="574"/>
        <v>0</v>
      </c>
      <c r="W1085" s="83">
        <f t="shared" si="574"/>
        <v>0</v>
      </c>
      <c r="X1085" s="167">
        <f t="shared" si="574"/>
        <v>0</v>
      </c>
      <c r="Y1085" s="167">
        <f t="shared" si="574"/>
        <v>0</v>
      </c>
      <c r="Z1085" s="167">
        <f t="shared" si="574"/>
        <v>0</v>
      </c>
      <c r="AA1085" s="167">
        <f>SUM(G1085:Z1085)</f>
        <v>0.99999999999999989</v>
      </c>
      <c r="AB1085" s="163" t="str">
        <f t="shared" si="570"/>
        <v>ok</v>
      </c>
    </row>
    <row r="1086" spans="1:28" s="164" customFormat="1">
      <c r="A1086" s="60"/>
      <c r="B1086" s="60"/>
      <c r="C1086" s="60"/>
      <c r="D1086" s="60"/>
      <c r="E1086" s="60"/>
      <c r="F1086" s="11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167"/>
      <c r="Y1086" s="167"/>
      <c r="Z1086" s="167"/>
      <c r="AA1086" s="167"/>
      <c r="AB1086" s="163"/>
    </row>
    <row r="1087" spans="1:28" s="164" customFormat="1">
      <c r="A1087" s="60" t="s">
        <v>1300</v>
      </c>
      <c r="B1087" s="60"/>
      <c r="C1087" s="60"/>
      <c r="D1087" s="60" t="s">
        <v>1315</v>
      </c>
      <c r="E1087" s="60"/>
      <c r="F1087" s="79">
        <f>F$1052</f>
        <v>38550020.395773493</v>
      </c>
      <c r="G1087" s="79">
        <f t="shared" ref="G1087:U1087" si="575">G$1052</f>
        <v>26285839.22337449</v>
      </c>
      <c r="H1087" s="79">
        <f t="shared" si="575"/>
        <v>64882.577531049996</v>
      </c>
      <c r="I1087" s="79">
        <f t="shared" si="575"/>
        <v>8187269.3747446639</v>
      </c>
      <c r="J1087" s="79">
        <f t="shared" si="575"/>
        <v>267611.02627090533</v>
      </c>
      <c r="K1087" s="79">
        <f t="shared" si="575"/>
        <v>2289549.7684639604</v>
      </c>
      <c r="L1087" s="79">
        <f t="shared" si="575"/>
        <v>534525.43351125007</v>
      </c>
      <c r="M1087" s="79">
        <f t="shared" si="575"/>
        <v>452629.81202564127</v>
      </c>
      <c r="N1087" s="79">
        <f t="shared" si="575"/>
        <v>377746.13303369086</v>
      </c>
      <c r="O1087" s="79">
        <f t="shared" si="575"/>
        <v>8123.8250845938655</v>
      </c>
      <c r="P1087" s="79">
        <f t="shared" si="575"/>
        <v>0</v>
      </c>
      <c r="Q1087" s="79">
        <f t="shared" si="575"/>
        <v>11235.380459799999</v>
      </c>
      <c r="R1087" s="79">
        <f t="shared" si="575"/>
        <v>69784.971799999999</v>
      </c>
      <c r="S1087" s="79">
        <f t="shared" si="575"/>
        <v>822.86947344050952</v>
      </c>
      <c r="T1087" s="79">
        <f t="shared" si="575"/>
        <v>0</v>
      </c>
      <c r="U1087" s="79">
        <f t="shared" si="575"/>
        <v>0</v>
      </c>
      <c r="V1087" s="79">
        <f t="shared" ref="V1087:Z1087" si="576">V1081</f>
        <v>0</v>
      </c>
      <c r="W1087" s="79">
        <f t="shared" si="576"/>
        <v>0</v>
      </c>
      <c r="X1087" s="160">
        <f t="shared" si="576"/>
        <v>0</v>
      </c>
      <c r="Y1087" s="160">
        <f t="shared" si="576"/>
        <v>0</v>
      </c>
      <c r="Z1087" s="160">
        <f t="shared" si="576"/>
        <v>0</v>
      </c>
      <c r="AA1087" s="160">
        <f>SUM(G1087:Z1087)</f>
        <v>38550020.395773493</v>
      </c>
      <c r="AB1087" s="163" t="str">
        <f t="shared" ref="AB1087:AB1092" si="577">IF(ABS(F1087-AA1087)&lt;0.01,"ok","err")</f>
        <v>ok</v>
      </c>
    </row>
    <row r="1088" spans="1:28" s="164" customFormat="1">
      <c r="A1088" s="60" t="s">
        <v>1301</v>
      </c>
      <c r="B1088" s="60"/>
      <c r="C1088" s="60"/>
      <c r="D1088" s="60"/>
      <c r="E1088" s="60"/>
      <c r="F1088" s="80">
        <f>F505</f>
        <v>298205.21889810968</v>
      </c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AA1088" s="166">
        <f>F1088</f>
        <v>298205.21889810968</v>
      </c>
      <c r="AB1088" s="163" t="str">
        <f t="shared" si="577"/>
        <v>ok</v>
      </c>
    </row>
    <row r="1089" spans="1:28" s="164" customFormat="1">
      <c r="A1089" s="60" t="s">
        <v>152</v>
      </c>
      <c r="B1089" s="60"/>
      <c r="C1089" s="60"/>
      <c r="D1089" s="60"/>
      <c r="E1089" s="60"/>
      <c r="F1089" s="80">
        <v>2689.4624638430369</v>
      </c>
      <c r="G1089" s="60"/>
      <c r="H1089" s="79">
        <v>0</v>
      </c>
      <c r="I1089" s="76">
        <v>0</v>
      </c>
      <c r="J1089" s="79">
        <v>0</v>
      </c>
      <c r="K1089" s="79">
        <v>0</v>
      </c>
      <c r="L1089" s="112">
        <v>0</v>
      </c>
      <c r="M1089" s="79">
        <v>0</v>
      </c>
      <c r="N1089" s="79">
        <v>0</v>
      </c>
      <c r="O1089" s="79">
        <v>0</v>
      </c>
      <c r="P1089" s="79">
        <v>0</v>
      </c>
      <c r="Q1089" s="60"/>
      <c r="R1089" s="60"/>
      <c r="S1089" s="395">
        <v>0</v>
      </c>
      <c r="T1089" s="395">
        <v>2689.4624638430369</v>
      </c>
      <c r="U1089" s="375"/>
      <c r="V1089" s="79">
        <v>0</v>
      </c>
      <c r="W1089" s="79">
        <v>0</v>
      </c>
      <c r="AA1089" s="166">
        <f>SUM(G1089:Z1089)</f>
        <v>2689.4624638430369</v>
      </c>
      <c r="AB1089" s="163" t="str">
        <f t="shared" si="577"/>
        <v>ok</v>
      </c>
    </row>
    <row r="1090" spans="1:28" s="164" customFormat="1">
      <c r="A1090" s="60" t="s">
        <v>1302</v>
      </c>
      <c r="B1090" s="60"/>
      <c r="C1090" s="60"/>
      <c r="D1090" s="60"/>
      <c r="E1090" s="60" t="s">
        <v>1315</v>
      </c>
      <c r="F1090" s="80">
        <f>F1088-F1089</f>
        <v>295515.75643426663</v>
      </c>
      <c r="G1090" s="76">
        <f t="shared" ref="G1090:Z1090" si="578">IF(VLOOKUP($E1090,$D$6:$AN$1150,3,)=0,0,(VLOOKUP($E1090,$D$6:$AN$1150,G$2,)/VLOOKUP($E1090,$D$6:$AN$1150,3,))*$F1090)</f>
        <v>201501.31133151552</v>
      </c>
      <c r="H1090" s="76">
        <f t="shared" si="578"/>
        <v>497.37519673518386</v>
      </c>
      <c r="I1090" s="76">
        <f t="shared" si="578"/>
        <v>62761.759334219125</v>
      </c>
      <c r="J1090" s="76">
        <f t="shared" si="578"/>
        <v>2051.4457332756024</v>
      </c>
      <c r="K1090" s="76">
        <f t="shared" si="578"/>
        <v>17551.171822355442</v>
      </c>
      <c r="L1090" s="76">
        <f t="shared" si="578"/>
        <v>4097.5513422750273</v>
      </c>
      <c r="M1090" s="76">
        <f t="shared" si="578"/>
        <v>3469.7579900663882</v>
      </c>
      <c r="N1090" s="76">
        <f t="shared" si="578"/>
        <v>2895.7166065678412</v>
      </c>
      <c r="O1090" s="76">
        <f t="shared" si="578"/>
        <v>62.275409723950077</v>
      </c>
      <c r="P1090" s="76">
        <f t="shared" si="578"/>
        <v>0</v>
      </c>
      <c r="Q1090" s="76">
        <f t="shared" si="578"/>
        <v>86.127891018407738</v>
      </c>
      <c r="R1090" s="76">
        <f t="shared" si="578"/>
        <v>534.95584483483071</v>
      </c>
      <c r="S1090" s="76">
        <f t="shared" si="578"/>
        <v>6.3079316792553337</v>
      </c>
      <c r="T1090" s="76">
        <f t="shared" si="578"/>
        <v>0</v>
      </c>
      <c r="U1090" s="76">
        <f t="shared" si="578"/>
        <v>0</v>
      </c>
      <c r="V1090" s="76">
        <f t="shared" si="578"/>
        <v>0</v>
      </c>
      <c r="W1090" s="76">
        <f t="shared" si="578"/>
        <v>0</v>
      </c>
      <c r="X1090" s="161">
        <f t="shared" si="578"/>
        <v>0</v>
      </c>
      <c r="Y1090" s="161">
        <f t="shared" si="578"/>
        <v>0</v>
      </c>
      <c r="Z1090" s="161">
        <f t="shared" si="578"/>
        <v>0</v>
      </c>
      <c r="AA1090" s="166">
        <f>SUM(G1090:Z1090)</f>
        <v>295515.75643426657</v>
      </c>
      <c r="AB1090" s="163" t="str">
        <f t="shared" si="577"/>
        <v>ok</v>
      </c>
    </row>
    <row r="1091" spans="1:28" s="164" customFormat="1">
      <c r="A1091" s="60" t="s">
        <v>1303</v>
      </c>
      <c r="B1091" s="60"/>
      <c r="C1091" s="60"/>
      <c r="D1091" s="60" t="s">
        <v>1316</v>
      </c>
      <c r="E1091" s="60"/>
      <c r="F1091" s="80">
        <f t="shared" ref="F1091:N1091" si="579">F1089+F1090</f>
        <v>298205.21889810968</v>
      </c>
      <c r="G1091" s="80">
        <f t="shared" si="579"/>
        <v>201501.31133151552</v>
      </c>
      <c r="H1091" s="80">
        <f t="shared" si="579"/>
        <v>497.37519673518386</v>
      </c>
      <c r="I1091" s="80">
        <f t="shared" si="579"/>
        <v>62761.759334219125</v>
      </c>
      <c r="J1091" s="80">
        <f t="shared" si="579"/>
        <v>2051.4457332756024</v>
      </c>
      <c r="K1091" s="80">
        <f t="shared" si="579"/>
        <v>17551.171822355442</v>
      </c>
      <c r="L1091" s="80">
        <f t="shared" si="579"/>
        <v>4097.5513422750273</v>
      </c>
      <c r="M1091" s="80">
        <f t="shared" si="579"/>
        <v>3469.7579900663882</v>
      </c>
      <c r="N1091" s="80">
        <f t="shared" si="579"/>
        <v>2895.7166065678412</v>
      </c>
      <c r="O1091" s="80">
        <f>O1089+O1090</f>
        <v>62.275409723950077</v>
      </c>
      <c r="P1091" s="80">
        <f t="shared" ref="P1091:W1091" si="580">P1089+P1090</f>
        <v>0</v>
      </c>
      <c r="Q1091" s="80">
        <f t="shared" si="580"/>
        <v>86.127891018407738</v>
      </c>
      <c r="R1091" s="80">
        <f t="shared" si="580"/>
        <v>534.95584483483071</v>
      </c>
      <c r="S1091" s="80">
        <f t="shared" si="580"/>
        <v>6.3079316792553337</v>
      </c>
      <c r="T1091" s="80">
        <f t="shared" si="580"/>
        <v>2689.4624638430369</v>
      </c>
      <c r="U1091" s="80">
        <f t="shared" si="580"/>
        <v>0</v>
      </c>
      <c r="V1091" s="80">
        <f t="shared" si="580"/>
        <v>0</v>
      </c>
      <c r="W1091" s="80">
        <f t="shared" si="580"/>
        <v>0</v>
      </c>
      <c r="X1091" s="166">
        <f>X1089+X1090</f>
        <v>0</v>
      </c>
      <c r="Y1091" s="166">
        <f>Y1089+Y1090</f>
        <v>0</v>
      </c>
      <c r="Z1091" s="166">
        <f>Z1089+Z1090</f>
        <v>0</v>
      </c>
      <c r="AA1091" s="166">
        <f>SUM(G1091:Z1091)</f>
        <v>298205.21889810963</v>
      </c>
      <c r="AB1091" s="163" t="str">
        <f t="shared" si="577"/>
        <v>ok</v>
      </c>
    </row>
    <row r="1092" spans="1:28" s="164" customFormat="1">
      <c r="A1092" s="60" t="s">
        <v>1304</v>
      </c>
      <c r="B1092" s="60"/>
      <c r="C1092" s="60"/>
      <c r="D1092" s="60" t="s">
        <v>1317</v>
      </c>
      <c r="E1092" s="60" t="s">
        <v>1316</v>
      </c>
      <c r="F1092" s="110">
        <v>1</v>
      </c>
      <c r="G1092" s="83">
        <f t="shared" ref="G1092:Z1092" si="581">IF(VLOOKUP($E1092,$D$6:$AN$1150,3,)=0,0,(VLOOKUP($E1092,$D$6:$AN$1150,G$2,)/VLOOKUP($E1092,$D$6:$AN$1150,3,))*$F1092)</f>
        <v>0.67571356422291251</v>
      </c>
      <c r="H1092" s="83">
        <f t="shared" si="581"/>
        <v>1.6678956812795629E-3</v>
      </c>
      <c r="I1092" s="83">
        <f t="shared" si="581"/>
        <v>0.21046499308807692</v>
      </c>
      <c r="J1092" s="83">
        <f t="shared" si="581"/>
        <v>6.8793086212771389E-3</v>
      </c>
      <c r="K1092" s="83">
        <f t="shared" si="581"/>
        <v>5.8856018305810741E-2</v>
      </c>
      <c r="L1092" s="83">
        <f t="shared" si="581"/>
        <v>1.3740709694537816E-2</v>
      </c>
      <c r="M1092" s="83">
        <f t="shared" si="581"/>
        <v>1.1635470374688277E-2</v>
      </c>
      <c r="N1092" s="83">
        <f t="shared" si="581"/>
        <v>9.7104826577741592E-3</v>
      </c>
      <c r="O1092" s="83">
        <f t="shared" si="581"/>
        <v>2.0883407055739104E-4</v>
      </c>
      <c r="P1092" s="83">
        <f t="shared" si="581"/>
        <v>0</v>
      </c>
      <c r="Q1092" s="83">
        <f t="shared" si="581"/>
        <v>2.8882087086422114E-4</v>
      </c>
      <c r="R1092" s="83">
        <f t="shared" si="581"/>
        <v>1.7939184525728024E-3</v>
      </c>
      <c r="S1092" s="83">
        <f t="shared" si="581"/>
        <v>2.1152988879817757E-5</v>
      </c>
      <c r="T1092" s="83">
        <f t="shared" si="581"/>
        <v>9.0188309707683843E-3</v>
      </c>
      <c r="U1092" s="83">
        <f t="shared" si="581"/>
        <v>0</v>
      </c>
      <c r="V1092" s="83">
        <f t="shared" si="581"/>
        <v>0</v>
      </c>
      <c r="W1092" s="83">
        <f t="shared" si="581"/>
        <v>0</v>
      </c>
      <c r="X1092" s="167">
        <f t="shared" si="581"/>
        <v>0</v>
      </c>
      <c r="Y1092" s="167">
        <f t="shared" si="581"/>
        <v>0</v>
      </c>
      <c r="Z1092" s="167">
        <f t="shared" si="581"/>
        <v>0</v>
      </c>
      <c r="AA1092" s="167">
        <f>SUM(G1092:Z1092)</f>
        <v>0.99999999999999978</v>
      </c>
      <c r="AB1092" s="163" t="str">
        <f t="shared" si="577"/>
        <v>ok</v>
      </c>
    </row>
    <row r="1093" spans="1:28" s="16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167"/>
      <c r="Y1093" s="167"/>
      <c r="Z1093" s="167"/>
      <c r="AA1093" s="167"/>
      <c r="AB1093" s="163"/>
    </row>
    <row r="1094" spans="1:28" s="213" customFormat="1" ht="12" customHeight="1">
      <c r="A1094" s="450" t="s">
        <v>1394</v>
      </c>
      <c r="F1094" s="451"/>
      <c r="G1094" s="452"/>
      <c r="H1094" s="452"/>
      <c r="I1094" s="452"/>
      <c r="J1094" s="452"/>
      <c r="K1094" s="452"/>
      <c r="L1094" s="452"/>
      <c r="M1094" s="452"/>
      <c r="N1094" s="452"/>
      <c r="O1094" s="452"/>
      <c r="P1094" s="452"/>
      <c r="Q1094" s="452"/>
      <c r="R1094" s="452"/>
      <c r="S1094" s="452"/>
      <c r="T1094" s="452"/>
      <c r="U1094" s="452"/>
      <c r="V1094" s="452"/>
      <c r="W1094" s="415"/>
      <c r="X1094" s="453"/>
      <c r="Y1094" s="411"/>
    </row>
    <row r="1095" spans="1:28" s="213" customFormat="1" ht="12" customHeight="1">
      <c r="A1095" s="213" t="s">
        <v>1395</v>
      </c>
      <c r="D1095" s="213" t="s">
        <v>1396</v>
      </c>
      <c r="F1095" s="79">
        <v>436714.23439878249</v>
      </c>
      <c r="G1095" s="79">
        <f>G974</f>
        <v>376669.05273972609</v>
      </c>
      <c r="H1095" s="79">
        <f t="shared" ref="H1095:T1095" si="582">H974</f>
        <v>929.75</v>
      </c>
      <c r="I1095" s="79">
        <f t="shared" si="582"/>
        <v>45359.323287671228</v>
      </c>
      <c r="J1095" s="79">
        <f t="shared" si="582"/>
        <v>70</v>
      </c>
      <c r="K1095" s="79">
        <f t="shared" si="582"/>
        <v>2782.3972602739727</v>
      </c>
      <c r="L1095" s="79">
        <f t="shared" si="582"/>
        <v>131.59452054794519</v>
      </c>
      <c r="M1095" s="79">
        <f t="shared" si="582"/>
        <v>505.00547945205477</v>
      </c>
      <c r="N1095" s="79">
        <f t="shared" si="582"/>
        <v>13</v>
      </c>
      <c r="O1095" s="79">
        <f t="shared" si="582"/>
        <v>2</v>
      </c>
      <c r="P1095" s="79">
        <f t="shared" si="582"/>
        <v>10112.111111111111</v>
      </c>
      <c r="Q1095" s="79">
        <f t="shared" si="582"/>
        <v>17.888888888888889</v>
      </c>
      <c r="R1095" s="79">
        <f t="shared" si="582"/>
        <v>111.1111111111111</v>
      </c>
      <c r="S1095" s="79">
        <f t="shared" si="582"/>
        <v>1</v>
      </c>
      <c r="T1095" s="79">
        <f t="shared" si="582"/>
        <v>10</v>
      </c>
      <c r="U1095" s="79">
        <v>0</v>
      </c>
      <c r="V1095" s="452"/>
      <c r="W1095" s="417"/>
      <c r="X1095" s="453"/>
      <c r="Y1095" s="411"/>
      <c r="AA1095" s="160">
        <f>SUM(G1095:Z1095)</f>
        <v>436714.23439878249</v>
      </c>
      <c r="AB1095" s="163" t="str">
        <f t="shared" ref="AB1095:AB1100" si="583">IF(ABS(F1095-AA1095)&lt;0.01,"ok","err")</f>
        <v>ok</v>
      </c>
    </row>
    <row r="1096" spans="1:28" s="213" customFormat="1" ht="12" customHeight="1">
      <c r="A1096" s="213" t="s">
        <v>1397</v>
      </c>
      <c r="F1096" s="80">
        <f>F228</f>
        <v>4888693.2695076521</v>
      </c>
      <c r="G1096" s="380"/>
      <c r="H1096" s="380"/>
      <c r="I1096" s="380"/>
      <c r="J1096" s="380"/>
      <c r="K1096" s="380"/>
      <c r="L1096" s="380"/>
      <c r="M1096" s="380"/>
      <c r="N1096" s="380"/>
      <c r="O1096" s="380"/>
      <c r="P1096" s="380"/>
      <c r="Q1096" s="380"/>
      <c r="R1096" s="380"/>
      <c r="S1096" s="380"/>
      <c r="T1096" s="380"/>
      <c r="U1096" s="380"/>
      <c r="V1096" s="380"/>
      <c r="W1096" s="417"/>
      <c r="X1096" s="453"/>
      <c r="Y1096" s="411"/>
      <c r="AA1096" s="166">
        <f>F1096</f>
        <v>4888693.2695076521</v>
      </c>
      <c r="AB1096" s="163" t="str">
        <f t="shared" si="583"/>
        <v>ok</v>
      </c>
    </row>
    <row r="1097" spans="1:28" s="213" customFormat="1" ht="12" customHeight="1">
      <c r="A1097" s="213" t="s">
        <v>152</v>
      </c>
      <c r="F1097" s="80">
        <v>34000</v>
      </c>
      <c r="G1097" s="411"/>
      <c r="H1097" s="411"/>
      <c r="I1097" s="411"/>
      <c r="J1097" s="411"/>
      <c r="K1097" s="411"/>
      <c r="L1097" s="411"/>
      <c r="M1097" s="411"/>
      <c r="N1097" s="411"/>
      <c r="O1097" s="411"/>
      <c r="P1097" s="411"/>
      <c r="Q1097" s="411"/>
      <c r="R1097" s="411"/>
      <c r="S1097" s="395"/>
      <c r="T1097" s="395">
        <v>24000</v>
      </c>
      <c r="U1097" s="395"/>
      <c r="V1097" s="395">
        <v>10000</v>
      </c>
      <c r="W1097" s="417"/>
      <c r="X1097" s="453"/>
      <c r="Y1097" s="411"/>
      <c r="AA1097" s="166">
        <f>SUM(G1097:Z1097)</f>
        <v>34000</v>
      </c>
      <c r="AB1097" s="163" t="str">
        <f t="shared" si="583"/>
        <v>ok</v>
      </c>
    </row>
    <row r="1098" spans="1:28" s="213" customFormat="1" ht="12" customHeight="1">
      <c r="A1098" s="213" t="s">
        <v>1398</v>
      </c>
      <c r="E1098" s="213" t="s">
        <v>1396</v>
      </c>
      <c r="F1098" s="80">
        <f>F1096-F1097</f>
        <v>4854693.2695076521</v>
      </c>
      <c r="G1098" s="76">
        <f t="shared" ref="G1098:Z1098" si="584">IF(VLOOKUP($E1098,$D$6:$AN$1150,3,)=0,0,(VLOOKUP($E1098,$D$6:$AN$1150,G$2,)/VLOOKUP($E1098,$D$6:$AN$1150,3,))*$F1098)</f>
        <v>4187206.5784271793</v>
      </c>
      <c r="H1098" s="76">
        <f t="shared" si="584"/>
        <v>10335.479615265142</v>
      </c>
      <c r="I1098" s="76">
        <f t="shared" si="584"/>
        <v>504232.70900989237</v>
      </c>
      <c r="J1098" s="76">
        <f t="shared" si="584"/>
        <v>778.14850558597459</v>
      </c>
      <c r="K1098" s="76">
        <f t="shared" si="584"/>
        <v>30930.261000410032</v>
      </c>
      <c r="L1098" s="76">
        <f t="shared" si="584"/>
        <v>1462.858278681234</v>
      </c>
      <c r="M1098" s="76">
        <f t="shared" si="584"/>
        <v>5613.8465592620732</v>
      </c>
      <c r="N1098" s="76">
        <f t="shared" si="584"/>
        <v>144.51329389453815</v>
      </c>
      <c r="O1098" s="76">
        <f t="shared" si="584"/>
        <v>22.232814445313561</v>
      </c>
      <c r="P1098" s="76">
        <f t="shared" si="584"/>
        <v>112410.34499186346</v>
      </c>
      <c r="Q1098" s="76">
        <f t="shared" si="584"/>
        <v>198.86017364974907</v>
      </c>
      <c r="R1098" s="76">
        <f t="shared" si="584"/>
        <v>1235.1563580729755</v>
      </c>
      <c r="S1098" s="76">
        <f t="shared" si="584"/>
        <v>11.116407222656781</v>
      </c>
      <c r="T1098" s="76">
        <f t="shared" si="584"/>
        <v>111.16407222656782</v>
      </c>
      <c r="U1098" s="76">
        <f t="shared" si="584"/>
        <v>0</v>
      </c>
      <c r="V1098" s="76">
        <f t="shared" si="584"/>
        <v>0</v>
      </c>
      <c r="W1098" s="76">
        <f t="shared" si="584"/>
        <v>0</v>
      </c>
      <c r="X1098" s="161">
        <f t="shared" si="584"/>
        <v>0</v>
      </c>
      <c r="Y1098" s="161">
        <f t="shared" si="584"/>
        <v>0</v>
      </c>
      <c r="Z1098" s="161">
        <f t="shared" si="584"/>
        <v>0</v>
      </c>
      <c r="AA1098" s="166">
        <f>SUM(G1098:Z1098)</f>
        <v>4854693.2695076521</v>
      </c>
      <c r="AB1098" s="163" t="str">
        <f t="shared" si="583"/>
        <v>ok</v>
      </c>
    </row>
    <row r="1099" spans="1:28" s="213" customFormat="1" ht="12" customHeight="1">
      <c r="A1099" s="213" t="s">
        <v>1399</v>
      </c>
      <c r="D1099" s="213" t="s">
        <v>1400</v>
      </c>
      <c r="F1099" s="80">
        <f>F1097+F1098</f>
        <v>4888693.2695076521</v>
      </c>
      <c r="G1099" s="80">
        <f t="shared" ref="G1099:N1099" si="585">G1097+G1098</f>
        <v>4187206.5784271793</v>
      </c>
      <c r="H1099" s="80">
        <f t="shared" si="585"/>
        <v>10335.479615265142</v>
      </c>
      <c r="I1099" s="80">
        <f t="shared" si="585"/>
        <v>504232.70900989237</v>
      </c>
      <c r="J1099" s="80">
        <f t="shared" si="585"/>
        <v>778.14850558597459</v>
      </c>
      <c r="K1099" s="80">
        <f t="shared" si="585"/>
        <v>30930.261000410032</v>
      </c>
      <c r="L1099" s="80">
        <f t="shared" si="585"/>
        <v>1462.858278681234</v>
      </c>
      <c r="M1099" s="80">
        <f t="shared" si="585"/>
        <v>5613.8465592620732</v>
      </c>
      <c r="N1099" s="80">
        <f t="shared" si="585"/>
        <v>144.51329389453815</v>
      </c>
      <c r="O1099" s="80">
        <f>O1097+O1098</f>
        <v>22.232814445313561</v>
      </c>
      <c r="P1099" s="80">
        <f t="shared" ref="P1099:W1099" si="586">P1097+P1098</f>
        <v>112410.34499186346</v>
      </c>
      <c r="Q1099" s="80">
        <f t="shared" si="586"/>
        <v>198.86017364974907</v>
      </c>
      <c r="R1099" s="80">
        <f t="shared" si="586"/>
        <v>1235.1563580729755</v>
      </c>
      <c r="S1099" s="80">
        <f t="shared" si="586"/>
        <v>11.116407222656781</v>
      </c>
      <c r="T1099" s="80">
        <f t="shared" si="586"/>
        <v>24111.164072226569</v>
      </c>
      <c r="U1099" s="80">
        <f t="shared" si="586"/>
        <v>0</v>
      </c>
      <c r="V1099" s="80">
        <f t="shared" si="586"/>
        <v>10000</v>
      </c>
      <c r="W1099" s="80">
        <f t="shared" si="586"/>
        <v>0</v>
      </c>
      <c r="X1099" s="166">
        <f>X1097+X1098</f>
        <v>0</v>
      </c>
      <c r="Y1099" s="166">
        <f>Y1097+Y1098</f>
        <v>0</v>
      </c>
      <c r="Z1099" s="166">
        <f>Z1097+Z1098</f>
        <v>0</v>
      </c>
      <c r="AA1099" s="166">
        <f>SUM(G1099:Z1099)</f>
        <v>4888693.2695076521</v>
      </c>
      <c r="AB1099" s="163" t="str">
        <f t="shared" si="583"/>
        <v>ok</v>
      </c>
    </row>
    <row r="1100" spans="1:28" s="213" customFormat="1" ht="12" customHeight="1">
      <c r="A1100" s="213" t="s">
        <v>1401</v>
      </c>
      <c r="D1100" s="213" t="s">
        <v>1402</v>
      </c>
      <c r="E1100" s="213" t="s">
        <v>1400</v>
      </c>
      <c r="F1100" s="110">
        <v>1</v>
      </c>
      <c r="G1100" s="83">
        <f t="shared" ref="G1100:Z1100" si="587">IF(VLOOKUP($E1100,$D$6:$AN$1150,3,)=0,0,(VLOOKUP($E1100,$D$6:$AN$1150,G$2,)/VLOOKUP($E1100,$D$6:$AN$1150,3,))*$F1100)</f>
        <v>0.85650834437581302</v>
      </c>
      <c r="H1100" s="83">
        <f t="shared" si="587"/>
        <v>2.1141599698493753E-3</v>
      </c>
      <c r="I1100" s="83">
        <f t="shared" si="587"/>
        <v>0.10314263571309608</v>
      </c>
      <c r="J1100" s="83">
        <f t="shared" si="587"/>
        <v>1.591731087813458E-4</v>
      </c>
      <c r="K1100" s="83">
        <f t="shared" si="587"/>
        <v>6.3268974540358234E-3</v>
      </c>
      <c r="L1100" s="83">
        <f t="shared" si="587"/>
        <v>2.9923298477438749E-4</v>
      </c>
      <c r="M1100" s="83">
        <f t="shared" si="587"/>
        <v>1.1483327445142519E-3</v>
      </c>
      <c r="N1100" s="83">
        <f t="shared" si="587"/>
        <v>2.9560720202249937E-5</v>
      </c>
      <c r="O1100" s="83">
        <f t="shared" si="587"/>
        <v>4.5478031080384516E-6</v>
      </c>
      <c r="P1100" s="83">
        <f t="shared" si="587"/>
        <v>2.299394516997064E-2</v>
      </c>
      <c r="Q1100" s="83">
        <f t="shared" si="587"/>
        <v>4.0677572244121707E-5</v>
      </c>
      <c r="R1100" s="83">
        <f t="shared" si="587"/>
        <v>2.5265572822435843E-4</v>
      </c>
      <c r="S1100" s="83">
        <f t="shared" si="587"/>
        <v>2.2739015540192258E-6</v>
      </c>
      <c r="T1100" s="83">
        <f t="shared" si="587"/>
        <v>4.9320263602168771E-3</v>
      </c>
      <c r="U1100" s="83">
        <f t="shared" si="587"/>
        <v>0</v>
      </c>
      <c r="V1100" s="83">
        <f t="shared" si="587"/>
        <v>2.045536393615285E-3</v>
      </c>
      <c r="W1100" s="83">
        <f t="shared" si="587"/>
        <v>0</v>
      </c>
      <c r="X1100" s="167">
        <f t="shared" si="587"/>
        <v>0</v>
      </c>
      <c r="Y1100" s="167">
        <f t="shared" si="587"/>
        <v>0</v>
      </c>
      <c r="Z1100" s="167">
        <f t="shared" si="587"/>
        <v>0</v>
      </c>
      <c r="AA1100" s="167">
        <f>SUM(G1100:Z1100)</f>
        <v>0.99999999999999978</v>
      </c>
      <c r="AB1100" s="163" t="str">
        <f t="shared" si="583"/>
        <v>ok</v>
      </c>
    </row>
    <row r="1101" spans="1:28" s="170" customFormat="1">
      <c r="A1101" s="60"/>
      <c r="B1101" s="60"/>
      <c r="C1101" s="60"/>
      <c r="D1101" s="60"/>
      <c r="E1101" s="60"/>
      <c r="F1101" s="110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176"/>
      <c r="X1101" s="176"/>
      <c r="Y1101" s="176"/>
      <c r="Z1101" s="176"/>
      <c r="AA1101" s="176"/>
      <c r="AB1101" s="172"/>
    </row>
    <row r="1102" spans="1:28" s="164" customFormat="1" ht="14.1">
      <c r="A1102" s="65" t="s">
        <v>654</v>
      </c>
      <c r="B1102" s="60"/>
      <c r="C1102" s="60"/>
      <c r="D1102" s="60"/>
      <c r="E1102" s="60"/>
      <c r="F1102" s="110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167"/>
      <c r="Y1102" s="167"/>
      <c r="Z1102" s="167"/>
      <c r="AA1102" s="167"/>
      <c r="AB1102" s="163"/>
    </row>
    <row r="1103" spans="1:28" s="170" customFormat="1">
      <c r="A1103" s="60"/>
      <c r="B1103" s="60"/>
      <c r="C1103" s="60"/>
      <c r="D1103" s="60"/>
      <c r="E1103" s="60"/>
      <c r="F1103" s="79"/>
      <c r="G1103" s="79"/>
      <c r="H1103" s="79"/>
      <c r="I1103" s="79"/>
      <c r="J1103" s="79"/>
      <c r="K1103" s="79"/>
      <c r="L1103" s="79"/>
      <c r="M1103" s="79"/>
      <c r="N1103" s="79"/>
      <c r="O1103" s="83"/>
      <c r="P1103" s="83"/>
      <c r="Q1103" s="83"/>
      <c r="R1103" s="83"/>
      <c r="S1103" s="79"/>
      <c r="T1103" s="79"/>
      <c r="U1103" s="79"/>
      <c r="V1103" s="83"/>
      <c r="W1103" s="176"/>
      <c r="X1103" s="176"/>
      <c r="Y1103" s="176"/>
      <c r="Z1103" s="176"/>
      <c r="AA1103" s="177"/>
      <c r="AB1103" s="172"/>
    </row>
    <row r="1104" spans="1:28" s="170" customFormat="1">
      <c r="A1104" s="60" t="s">
        <v>683</v>
      </c>
      <c r="B1104" s="60"/>
      <c r="C1104" s="60"/>
      <c r="D1104" s="60" t="s">
        <v>684</v>
      </c>
      <c r="E1104" s="60"/>
      <c r="F1104" s="79">
        <v>2707235</v>
      </c>
      <c r="G1104" s="79">
        <f>(G969/($G$969+$H$969))*2147669.93</f>
        <v>2142381.7879218752</v>
      </c>
      <c r="H1104" s="79">
        <f>(H969/($G$969+$H$969))*2147669.93</f>
        <v>5288.1420781248235</v>
      </c>
      <c r="I1104" s="79">
        <v>209067.33</v>
      </c>
      <c r="J1104" s="79">
        <f>(J968/($J$968+$K$968+$L$968+$M$968+$N$968))*(69682.16+260842.5+19972.58)</f>
        <v>7005.9468858866458</v>
      </c>
      <c r="K1104" s="79">
        <f t="shared" ref="K1104:N1104" si="588">(K968/($J$968+$K$968+$L$968+$M$968+$N$968))*(69682.16+260842.5+19972.58)</f>
        <v>278476.10601308534</v>
      </c>
      <c r="L1104" s="79">
        <f t="shared" si="588"/>
        <v>13170.631734751754</v>
      </c>
      <c r="M1104" s="79">
        <f t="shared" si="588"/>
        <v>50543.45094461165</v>
      </c>
      <c r="N1104" s="79">
        <f t="shared" si="588"/>
        <v>1301.1044216646628</v>
      </c>
      <c r="O1104" s="79">
        <v>0</v>
      </c>
      <c r="P1104" s="79">
        <v>0.5</v>
      </c>
      <c r="Q1104" s="79">
        <v>0</v>
      </c>
      <c r="R1104" s="79">
        <v>0</v>
      </c>
      <c r="S1104" s="79">
        <v>0</v>
      </c>
      <c r="T1104" s="79">
        <v>0</v>
      </c>
      <c r="U1104" s="79">
        <v>0</v>
      </c>
      <c r="V1104" s="79"/>
      <c r="W1104" s="171"/>
      <c r="X1104" s="171"/>
      <c r="Y1104" s="171"/>
      <c r="Z1104" s="171"/>
      <c r="AA1104" s="174">
        <f t="shared" ref="AA1104:AA1108" si="589">SUM(G1104:Z1104)</f>
        <v>2707235</v>
      </c>
      <c r="AB1104" s="172" t="str">
        <f>IF(ABS(F1104-AA1104)&lt;0.01,"ok","err")</f>
        <v>ok</v>
      </c>
    </row>
    <row r="1105" spans="1:29" s="60" customFormat="1">
      <c r="A1105" s="60" t="s">
        <v>1182</v>
      </c>
      <c r="D1105" s="60" t="s">
        <v>179</v>
      </c>
      <c r="F1105" s="79">
        <v>1837729.84</v>
      </c>
      <c r="G1105" s="79">
        <f>(G969/($G$969+$H$969))*(235820+975+153.89+1516592)</f>
        <v>1749223.1998202426</v>
      </c>
      <c r="H1105" s="79">
        <f>(H969/($G$969+$H$969))*(235820+975+153.89+1516592)</f>
        <v>4317.6901797574883</v>
      </c>
      <c r="I1105" s="79">
        <f>7252+61516.95+880</f>
        <v>69648.95</v>
      </c>
      <c r="J1105" s="79">
        <f>(J968/($J$968+$K$968+$L$968+$M$968+$N$968))*(84+10612+644+150+3050)</f>
        <v>290.63415084464521</v>
      </c>
      <c r="K1105" s="79">
        <f t="shared" ref="K1105:N1105" si="590">(K968/($J$968+$K$968+$L$968+$M$968+$N$968))*(84+10612+644+150+3050)</f>
        <v>11552.280929317047</v>
      </c>
      <c r="L1105" s="79">
        <f t="shared" si="590"/>
        <v>546.36945336086092</v>
      </c>
      <c r="M1105" s="79">
        <f t="shared" si="590"/>
        <v>2096.7405527491551</v>
      </c>
      <c r="N1105" s="79">
        <f t="shared" si="590"/>
        <v>53.974913728291256</v>
      </c>
      <c r="O1105" s="79">
        <v>0</v>
      </c>
      <c r="P1105" s="79">
        <v>0</v>
      </c>
      <c r="Q1105" s="79">
        <v>0</v>
      </c>
      <c r="R1105" s="79">
        <v>0</v>
      </c>
      <c r="S1105" s="79">
        <v>0</v>
      </c>
      <c r="T1105" s="79">
        <v>0</v>
      </c>
      <c r="U1105" s="79">
        <v>0</v>
      </c>
      <c r="V1105" s="79">
        <v>0</v>
      </c>
      <c r="W1105" s="79"/>
      <c r="X1105" s="79"/>
      <c r="Y1105" s="79"/>
      <c r="Z1105" s="79"/>
      <c r="AA1105" s="112">
        <f t="shared" si="589"/>
        <v>1837729.8399999999</v>
      </c>
      <c r="AB1105" s="172" t="str">
        <f>IF(ABS(F1105-AA1105)&lt;0.01,"ok","err")</f>
        <v>ok</v>
      </c>
      <c r="AC1105" s="159"/>
    </row>
    <row r="1106" spans="1:29" s="170" customFormat="1" hidden="1">
      <c r="A1106" s="60" t="s">
        <v>1156</v>
      </c>
      <c r="B1106" s="60"/>
      <c r="C1106" s="60"/>
      <c r="D1106" s="60" t="s">
        <v>1157</v>
      </c>
      <c r="E1106" s="60"/>
      <c r="F1106" s="80">
        <f>SUM(F751:F752)-SUM(F774:F774)</f>
        <v>0</v>
      </c>
      <c r="G1106" s="80">
        <f>SUM(G751:G752)-SUM(G774:G774)</f>
        <v>0</v>
      </c>
      <c r="H1106" s="80">
        <f>SUM(H751:H752)-SUM(H774:H774)</f>
        <v>0</v>
      </c>
      <c r="I1106" s="80">
        <v>0</v>
      </c>
      <c r="J1106" s="80">
        <f>SUM(J751:J752)-SUM(J774:J774)</f>
        <v>0</v>
      </c>
      <c r="K1106" s="80">
        <f>SUM(K751:K752)-SUM(K774:K774)</f>
        <v>0</v>
      </c>
      <c r="L1106" s="80">
        <f>SUM(L751:L752)-SUM(L774:L774)</f>
        <v>0</v>
      </c>
      <c r="M1106" s="80">
        <v>0</v>
      </c>
      <c r="N1106" s="80">
        <f t="shared" ref="N1106:Z1106" si="591">SUM(N751:N752)-SUM(N774:N774)</f>
        <v>0</v>
      </c>
      <c r="O1106" s="80">
        <f t="shared" si="591"/>
        <v>0</v>
      </c>
      <c r="P1106" s="80">
        <f t="shared" si="591"/>
        <v>0</v>
      </c>
      <c r="Q1106" s="80">
        <f t="shared" si="591"/>
        <v>0</v>
      </c>
      <c r="R1106" s="80">
        <f t="shared" si="591"/>
        <v>0</v>
      </c>
      <c r="S1106" s="80">
        <f t="shared" si="591"/>
        <v>0</v>
      </c>
      <c r="T1106" s="80">
        <f t="shared" si="591"/>
        <v>0</v>
      </c>
      <c r="U1106" s="80">
        <f t="shared" si="591"/>
        <v>0</v>
      </c>
      <c r="V1106" s="80">
        <f t="shared" si="591"/>
        <v>0</v>
      </c>
      <c r="W1106" s="177">
        <f t="shared" si="591"/>
        <v>0</v>
      </c>
      <c r="X1106" s="177">
        <f t="shared" si="591"/>
        <v>0</v>
      </c>
      <c r="Y1106" s="177">
        <f t="shared" si="591"/>
        <v>0</v>
      </c>
      <c r="Z1106" s="177">
        <f t="shared" si="591"/>
        <v>0</v>
      </c>
      <c r="AA1106" s="173">
        <f t="shared" si="589"/>
        <v>0</v>
      </c>
      <c r="AB1106" s="172" t="str">
        <f>IF(ABS(F1106-AA1106)&lt;0.01,"ok","err")</f>
        <v>ok</v>
      </c>
    </row>
    <row r="1107" spans="1:29" s="170" customFormat="1">
      <c r="A1107" s="60" t="s">
        <v>1321</v>
      </c>
      <c r="B1107" s="60"/>
      <c r="C1107" s="60"/>
      <c r="D1107" s="60" t="s">
        <v>1323</v>
      </c>
      <c r="E1107" s="60"/>
      <c r="F1107" s="79">
        <v>3457582355.2080212</v>
      </c>
      <c r="G1107" s="79">
        <f t="shared" ref="G1107:S1107" si="592">G176</f>
        <v>1748092633.3997715</v>
      </c>
      <c r="H1107" s="79">
        <f t="shared" si="592"/>
        <v>4038872.4825251354</v>
      </c>
      <c r="I1107" s="79">
        <f t="shared" si="592"/>
        <v>403486900.96194375</v>
      </c>
      <c r="J1107" s="79">
        <f t="shared" si="592"/>
        <v>22814218.96311127</v>
      </c>
      <c r="K1107" s="79">
        <f t="shared" si="592"/>
        <v>390090310.94908422</v>
      </c>
      <c r="L1107" s="79">
        <f t="shared" si="592"/>
        <v>335323415.21704251</v>
      </c>
      <c r="M1107" s="79">
        <f t="shared" si="592"/>
        <v>296063156.00640303</v>
      </c>
      <c r="N1107" s="79">
        <f t="shared" si="592"/>
        <v>145224286.58182222</v>
      </c>
      <c r="O1107" s="79">
        <f t="shared" si="592"/>
        <v>9832808.5275934432</v>
      </c>
      <c r="P1107" s="79">
        <f t="shared" si="592"/>
        <v>101460556.34610823</v>
      </c>
      <c r="Q1107" s="79">
        <f t="shared" si="592"/>
        <v>518946.28609536134</v>
      </c>
      <c r="R1107" s="79">
        <f t="shared" si="592"/>
        <v>623432.36842078215</v>
      </c>
      <c r="S1107" s="79">
        <f t="shared" si="592"/>
        <v>12817.118099669618</v>
      </c>
      <c r="T1107" s="79">
        <v>0</v>
      </c>
      <c r="U1107" s="79">
        <v>0</v>
      </c>
      <c r="V1107" s="79"/>
      <c r="W1107" s="79"/>
      <c r="X1107" s="171"/>
      <c r="Y1107" s="171"/>
      <c r="Z1107" s="171"/>
      <c r="AA1107" s="171">
        <f t="shared" si="589"/>
        <v>3457582355.2080212</v>
      </c>
      <c r="AB1107" s="172" t="str">
        <f>IF(ABS(F1107-AA1107)&lt;0.01,"ok","err")</f>
        <v>ok</v>
      </c>
    </row>
    <row r="1108" spans="1:29" s="170" customFormat="1">
      <c r="A1108" s="60" t="s">
        <v>1322</v>
      </c>
      <c r="B1108" s="60"/>
      <c r="C1108" s="60"/>
      <c r="D1108" s="60" t="s">
        <v>1324</v>
      </c>
      <c r="E1108" s="60"/>
      <c r="F1108" s="79">
        <v>3457582355.2080212</v>
      </c>
      <c r="G1108" s="79">
        <f t="shared" ref="G1108:V1108" si="593">G1107</f>
        <v>1748092633.3997715</v>
      </c>
      <c r="H1108" s="79">
        <f t="shared" si="593"/>
        <v>4038872.4825251354</v>
      </c>
      <c r="I1108" s="79">
        <f t="shared" si="593"/>
        <v>403486900.96194375</v>
      </c>
      <c r="J1108" s="79">
        <f t="shared" si="593"/>
        <v>22814218.96311127</v>
      </c>
      <c r="K1108" s="79">
        <f t="shared" si="593"/>
        <v>390090310.94908422</v>
      </c>
      <c r="L1108" s="79">
        <f t="shared" si="593"/>
        <v>335323415.21704251</v>
      </c>
      <c r="M1108" s="79">
        <f t="shared" si="593"/>
        <v>296063156.00640303</v>
      </c>
      <c r="N1108" s="79">
        <f t="shared" si="593"/>
        <v>145224286.58182222</v>
      </c>
      <c r="O1108" s="79">
        <f t="shared" si="593"/>
        <v>9832808.5275934432</v>
      </c>
      <c r="P1108" s="79">
        <f t="shared" si="593"/>
        <v>101460556.34610823</v>
      </c>
      <c r="Q1108" s="79">
        <f t="shared" si="593"/>
        <v>518946.28609536134</v>
      </c>
      <c r="R1108" s="79">
        <f t="shared" si="593"/>
        <v>623432.36842078215</v>
      </c>
      <c r="S1108" s="79">
        <f t="shared" si="593"/>
        <v>12817.118099669618</v>
      </c>
      <c r="T1108" s="79">
        <f t="shared" si="593"/>
        <v>0</v>
      </c>
      <c r="U1108" s="79">
        <f t="shared" si="593"/>
        <v>0</v>
      </c>
      <c r="V1108" s="79">
        <f t="shared" si="593"/>
        <v>0</v>
      </c>
      <c r="W1108" s="79"/>
      <c r="X1108" s="171"/>
      <c r="Y1108" s="171"/>
      <c r="Z1108" s="171"/>
      <c r="AA1108" s="171">
        <f t="shared" si="589"/>
        <v>3457582355.2080212</v>
      </c>
      <c r="AB1108" s="172" t="str">
        <f t="shared" ref="AB1108:AB1110" si="594">IF(ABS(F1108-AA1108)&lt;0.01,"ok","err")</f>
        <v>ok</v>
      </c>
    </row>
    <row r="1109" spans="1:29" s="60" customFormat="1" hidden="1">
      <c r="A1109" s="60" t="s">
        <v>612</v>
      </c>
      <c r="D1109" s="60" t="s">
        <v>653</v>
      </c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>
        <v>0</v>
      </c>
      <c r="W1109" s="79">
        <v>0</v>
      </c>
      <c r="X1109" s="79"/>
      <c r="Y1109" s="79"/>
      <c r="Z1109" s="79"/>
      <c r="AA1109" s="79">
        <f t="shared" ref="AA1109" si="595">SUM(G1109:Z1109)</f>
        <v>0</v>
      </c>
      <c r="AB1109" s="93" t="str">
        <f t="shared" si="594"/>
        <v>ok</v>
      </c>
    </row>
    <row r="1110" spans="1:29" s="164" customFormat="1" hidden="1">
      <c r="A1110" s="60" t="s">
        <v>1154</v>
      </c>
      <c r="B1110" s="60"/>
      <c r="C1110" s="60"/>
      <c r="D1110" s="60" t="s">
        <v>1153</v>
      </c>
      <c r="E1110" s="60"/>
      <c r="F1110" s="79">
        <v>0</v>
      </c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160"/>
      <c r="Y1110" s="160"/>
      <c r="Z1110" s="160"/>
      <c r="AA1110" s="160">
        <f>SUM(G1110:Z1110)</f>
        <v>0</v>
      </c>
      <c r="AB1110" s="163" t="str">
        <f t="shared" si="594"/>
        <v>ok</v>
      </c>
    </row>
    <row r="1111" spans="1:29" s="170" customFormat="1">
      <c r="A1111" s="60"/>
      <c r="B1111" s="60"/>
      <c r="C1111" s="60"/>
      <c r="D1111" s="60"/>
      <c r="E1111" s="60"/>
      <c r="F1111" s="110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176"/>
      <c r="X1111" s="176"/>
      <c r="Y1111" s="176"/>
      <c r="Z1111" s="176"/>
      <c r="AA1111" s="176"/>
      <c r="AB1111" s="172"/>
    </row>
    <row r="1112" spans="1:29" s="170" customFormat="1">
      <c r="A1112" s="60"/>
      <c r="B1112" s="60"/>
      <c r="C1112" s="60"/>
      <c r="D1112" s="60"/>
      <c r="E1112" s="60"/>
      <c r="F1112" s="110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176"/>
      <c r="X1112" s="176"/>
      <c r="Y1112" s="176"/>
      <c r="Z1112" s="176"/>
      <c r="AA1112" s="176"/>
      <c r="AB1112" s="172"/>
    </row>
    <row r="1113" spans="1:29" s="164" customFormat="1" ht="14.1">
      <c r="A1113" s="65" t="s">
        <v>655</v>
      </c>
      <c r="B1113" s="60"/>
      <c r="C1113" s="60"/>
      <c r="D1113" s="60"/>
      <c r="E1113" s="60"/>
      <c r="F1113" s="110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167"/>
      <c r="Y1113" s="167"/>
      <c r="Z1113" s="167"/>
      <c r="AA1113" s="167"/>
      <c r="AB1113" s="163"/>
    </row>
    <row r="1114" spans="1:29" s="164" customFormat="1">
      <c r="A1114" s="60" t="s">
        <v>1330</v>
      </c>
      <c r="B1114" s="60"/>
      <c r="C1114" s="60"/>
      <c r="D1114" s="60" t="s">
        <v>661</v>
      </c>
      <c r="E1114" s="60"/>
      <c r="F1114" s="79">
        <v>3862851798.0984583</v>
      </c>
      <c r="G1114" s="79">
        <f t="shared" ref="G1114:S1114" si="596">G9</f>
        <v>1689116414.1110063</v>
      </c>
      <c r="H1114" s="79">
        <f t="shared" si="596"/>
        <v>3166834.6624310534</v>
      </c>
      <c r="I1114" s="79">
        <f t="shared" si="596"/>
        <v>472629604.59087694</v>
      </c>
      <c r="J1114" s="79">
        <f t="shared" si="596"/>
        <v>32027384.066624563</v>
      </c>
      <c r="K1114" s="79">
        <f t="shared" si="596"/>
        <v>526916319.50753546</v>
      </c>
      <c r="L1114" s="79">
        <f t="shared" si="596"/>
        <v>475631343.05330837</v>
      </c>
      <c r="M1114" s="79">
        <f t="shared" si="596"/>
        <v>404660743.88746178</v>
      </c>
      <c r="N1114" s="79">
        <f t="shared" si="596"/>
        <v>229909277.3749114</v>
      </c>
      <c r="O1114" s="79">
        <f t="shared" si="596"/>
        <v>13647668.736787571</v>
      </c>
      <c r="P1114" s="79">
        <f t="shared" si="596"/>
        <v>13987445.163690427</v>
      </c>
      <c r="Q1114" s="79">
        <f t="shared" si="596"/>
        <v>487183.00040750887</v>
      </c>
      <c r="R1114" s="79">
        <f t="shared" si="596"/>
        <v>670918.99765766412</v>
      </c>
      <c r="S1114" s="79">
        <f t="shared" si="596"/>
        <v>660.94575908800709</v>
      </c>
      <c r="T1114" s="79">
        <v>0</v>
      </c>
      <c r="U1114" s="79">
        <v>0</v>
      </c>
      <c r="V1114" s="79">
        <f>V10+V11</f>
        <v>0</v>
      </c>
      <c r="W1114" s="79">
        <f>W10+W11</f>
        <v>0</v>
      </c>
      <c r="X1114" s="160">
        <f>X10+X11</f>
        <v>0</v>
      </c>
      <c r="Y1114" s="160">
        <f>Y10+Y11</f>
        <v>0</v>
      </c>
      <c r="Z1114" s="160">
        <f>Z10+Z11</f>
        <v>0</v>
      </c>
      <c r="AA1114" s="166">
        <f>SUM(G1114:Z1114)</f>
        <v>3862851798.0984588</v>
      </c>
      <c r="AB1114" s="163" t="str">
        <f>IF(ABS(F1114-AA1114)&lt;0.01,"ok","err")</f>
        <v>ok</v>
      </c>
    </row>
    <row r="1115" spans="1:29" s="164" customFormat="1">
      <c r="A1115" s="60" t="s">
        <v>662</v>
      </c>
      <c r="B1115" s="60"/>
      <c r="C1115" s="60"/>
      <c r="D1115" s="60" t="s">
        <v>663</v>
      </c>
      <c r="E1115" s="60"/>
      <c r="F1115" s="79">
        <f t="shared" ref="F1115:Z1115" si="597">F233-F185</f>
        <v>245941142.69950116</v>
      </c>
      <c r="G1115" s="79">
        <f t="shared" si="597"/>
        <v>135970760.38748032</v>
      </c>
      <c r="H1115" s="79">
        <f t="shared" si="597"/>
        <v>324675.65564325865</v>
      </c>
      <c r="I1115" s="79">
        <f t="shared" si="597"/>
        <v>31470636.000397809</v>
      </c>
      <c r="J1115" s="79">
        <f t="shared" si="597"/>
        <v>1475746.7427292764</v>
      </c>
      <c r="K1115" s="79">
        <f t="shared" si="597"/>
        <v>24791085.740753643</v>
      </c>
      <c r="L1115" s="79">
        <f t="shared" si="597"/>
        <v>20260356.09098357</v>
      </c>
      <c r="M1115" s="79">
        <f t="shared" si="597"/>
        <v>18377761.287741102</v>
      </c>
      <c r="N1115" s="79">
        <f t="shared" si="597"/>
        <v>8644725.1258796304</v>
      </c>
      <c r="O1115" s="79">
        <f t="shared" si="597"/>
        <v>593567.26164076454</v>
      </c>
      <c r="P1115" s="79">
        <f t="shared" si="597"/>
        <v>3818833.1594652333</v>
      </c>
      <c r="Q1115" s="79">
        <f t="shared" si="597"/>
        <v>37501.608856837876</v>
      </c>
      <c r="R1115" s="79">
        <f t="shared" si="597"/>
        <v>66203.653596702017</v>
      </c>
      <c r="S1115" s="79">
        <f t="shared" si="597"/>
        <v>1454.5153280935031</v>
      </c>
      <c r="T1115" s="79">
        <f t="shared" si="597"/>
        <v>25932.469005102666</v>
      </c>
      <c r="U1115" s="82">
        <f t="shared" si="597"/>
        <v>71903</v>
      </c>
      <c r="V1115" s="82">
        <f t="shared" si="597"/>
        <v>10000</v>
      </c>
      <c r="W1115" s="82">
        <f t="shared" si="597"/>
        <v>0</v>
      </c>
      <c r="X1115" s="168">
        <f t="shared" si="597"/>
        <v>0</v>
      </c>
      <c r="Y1115" s="168">
        <f t="shared" si="597"/>
        <v>0</v>
      </c>
      <c r="Z1115" s="168">
        <f t="shared" si="597"/>
        <v>0</v>
      </c>
      <c r="AA1115" s="166">
        <f>SUM(G1115:Z1115)</f>
        <v>245941142.69950128</v>
      </c>
      <c r="AB1115" s="163" t="str">
        <f>IF(ABS(F1115-AA1115)&lt;0.01,"ok","err")</f>
        <v>ok</v>
      </c>
    </row>
    <row r="1116" spans="1:29" s="164" customFormat="1">
      <c r="A1116" s="60" t="s">
        <v>803</v>
      </c>
      <c r="B1116" s="60"/>
      <c r="C1116" s="60"/>
      <c r="D1116" s="60"/>
      <c r="E1116" s="60"/>
      <c r="F1116" s="79">
        <v>1065495232.8882996</v>
      </c>
      <c r="G1116" s="79">
        <f>'Billing Det'!$D$8</f>
        <v>430666956.89829952</v>
      </c>
      <c r="H1116" s="79">
        <f>'Billing Det'!$D$12</f>
        <v>148100588.18000001</v>
      </c>
      <c r="I1116" s="79">
        <f>'Billing Det'!$D$14</f>
        <v>10054861.74</v>
      </c>
      <c r="J1116" s="79">
        <f>'Billing Det'!$D$16</f>
        <v>147448878.13999999</v>
      </c>
      <c r="K1116" s="79">
        <f>'Billing Det'!$D$18</f>
        <v>136688084.54999998</v>
      </c>
      <c r="L1116" s="79">
        <f>'Billing Det'!$D$20</f>
        <v>101626163.23</v>
      </c>
      <c r="M1116" s="79">
        <f>'Billing Det'!$D$22</f>
        <v>64286866.589999996</v>
      </c>
      <c r="N1116" s="79">
        <f>'Billing Det'!$D$24</f>
        <v>3635159.88</v>
      </c>
      <c r="O1116" s="79">
        <f>'Billing Det'!$D$26</f>
        <v>22160939.829999998</v>
      </c>
      <c r="P1116" s="79">
        <f>'Billing Det'!$D$28</f>
        <v>243958.97</v>
      </c>
      <c r="Q1116" s="79">
        <f>'Billing Det'!$D$30</f>
        <v>318741.55000000005</v>
      </c>
      <c r="R1116" s="79">
        <f>'Billing Det'!$D$32</f>
        <v>15468.33</v>
      </c>
      <c r="S1116" s="79">
        <f>'Billing Det'!$D$34</f>
        <v>1533</v>
      </c>
      <c r="T1116" s="79">
        <f>'Billing Det'!$D$36</f>
        <v>237096</v>
      </c>
      <c r="U1116" s="79">
        <f>'Billing Det'!$D$38</f>
        <v>9936</v>
      </c>
      <c r="V1116" s="79">
        <v>0</v>
      </c>
      <c r="W1116" s="79">
        <v>0</v>
      </c>
      <c r="X1116" s="160">
        <v>0</v>
      </c>
      <c r="Y1116" s="160">
        <v>0</v>
      </c>
      <c r="Z1116" s="160">
        <v>0</v>
      </c>
      <c r="AA1116" s="160">
        <f>SUM(G1116:Z1116)</f>
        <v>1065495232.8882996</v>
      </c>
      <c r="AB1116" s="163" t="str">
        <f>IF(ABS(F1116-AA1116)&lt;0.01,"ok","err")</f>
        <v>ok</v>
      </c>
    </row>
    <row r="1117" spans="1:29" s="164" customFormat="1">
      <c r="A1117" s="60"/>
      <c r="B1117" s="60"/>
      <c r="C1117" s="60"/>
      <c r="D1117" s="60"/>
      <c r="E1117" s="60"/>
      <c r="F1117" s="110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167"/>
      <c r="Y1117" s="167"/>
      <c r="Z1117" s="167"/>
      <c r="AA1117" s="167"/>
      <c r="AB1117" s="163"/>
    </row>
    <row r="1118" spans="1:29" s="60" customFormat="1" ht="14.1">
      <c r="A1118" s="65" t="s">
        <v>812</v>
      </c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282"/>
      <c r="AB1118" s="93"/>
    </row>
    <row r="1119" spans="1:29" s="60" customFormat="1">
      <c r="A1119" s="60" t="s">
        <v>813</v>
      </c>
      <c r="F1119" s="79">
        <f>SUM(G1119:Z1119)</f>
        <v>433038.15254237287</v>
      </c>
      <c r="G1119" s="110"/>
      <c r="H1119" s="110"/>
      <c r="I1119" s="110"/>
      <c r="J1119" s="110"/>
      <c r="K1119" s="79"/>
      <c r="L1119" s="79">
        <v>38819</v>
      </c>
      <c r="M1119" s="79"/>
      <c r="N1119" s="79">
        <f>N1121/N1120</f>
        <v>394219.15254237287</v>
      </c>
      <c r="O1119" s="79"/>
      <c r="P1119" s="79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282"/>
      <c r="AB1119" s="93"/>
    </row>
    <row r="1120" spans="1:29" s="60" customFormat="1">
      <c r="A1120" s="60" t="s">
        <v>814</v>
      </c>
      <c r="F1120" s="79"/>
      <c r="G1120" s="110"/>
      <c r="H1120" s="110"/>
      <c r="I1120" s="110"/>
      <c r="J1120" s="110"/>
      <c r="K1120" s="290"/>
      <c r="L1120" s="290">
        <f>L1121/L1119</f>
        <v>3.6700327159380715</v>
      </c>
      <c r="M1120" s="290"/>
      <c r="N1120" s="290">
        <v>5.9</v>
      </c>
      <c r="O1120" s="290"/>
      <c r="P1120" s="29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282"/>
      <c r="AB1120" s="93"/>
    </row>
    <row r="1121" spans="1:29" s="60" customFormat="1">
      <c r="A1121" s="60" t="s">
        <v>815</v>
      </c>
      <c r="F1121" s="79">
        <f>SUM(G1121:Z1121)</f>
        <v>2468360</v>
      </c>
      <c r="G1121" s="110"/>
      <c r="H1121" s="110"/>
      <c r="I1121" s="110"/>
      <c r="J1121" s="110"/>
      <c r="K1121" s="79"/>
      <c r="L1121" s="79">
        <v>142467</v>
      </c>
      <c r="M1121" s="79"/>
      <c r="N1121" s="79">
        <v>2325893</v>
      </c>
      <c r="O1121" s="79"/>
      <c r="P1121" s="79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282"/>
      <c r="AB1121" s="93"/>
    </row>
    <row r="1122" spans="1:29">
      <c r="D1122" s="162"/>
      <c r="F1122" s="79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9"/>
      <c r="AB1122" s="93"/>
      <c r="AC1122" s="75"/>
    </row>
    <row r="1123" spans="1:29" ht="14.1">
      <c r="A1123" s="137"/>
      <c r="B1123" s="70"/>
      <c r="C1123" s="70"/>
      <c r="D1123" s="70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69"/>
      <c r="Y1123" s="69"/>
      <c r="Z1123" s="69"/>
      <c r="AA1123" s="69"/>
      <c r="AB1123" s="69"/>
    </row>
    <row r="1124" spans="1:29" ht="14.1">
      <c r="A1124" s="137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69"/>
      <c r="Y1124" s="69"/>
      <c r="Z1124" s="69"/>
      <c r="AA1124" s="69"/>
      <c r="AB1124" s="69"/>
    </row>
    <row r="1125" spans="1:29" ht="14.1">
      <c r="A1125" s="137"/>
      <c r="B1125" s="70"/>
      <c r="C1125" s="70"/>
      <c r="D1125" s="70"/>
      <c r="E1125" s="444"/>
      <c r="F1125" s="216"/>
      <c r="G1125" s="216"/>
      <c r="H1125" s="216"/>
      <c r="I1125" s="216"/>
      <c r="J1125" s="216"/>
      <c r="K1125" s="216"/>
      <c r="L1125" s="216"/>
      <c r="M1125" s="216"/>
      <c r="N1125" s="216"/>
      <c r="O1125" s="216"/>
      <c r="P1125" s="216"/>
      <c r="Q1125" s="216"/>
      <c r="R1125" s="216"/>
      <c r="S1125" s="216"/>
      <c r="T1125" s="70"/>
      <c r="U1125" s="70"/>
      <c r="V1125" s="70"/>
      <c r="W1125" s="70"/>
      <c r="X1125" s="69"/>
      <c r="Y1125" s="69"/>
      <c r="Z1125" s="69"/>
      <c r="AA1125" s="69"/>
      <c r="AB1125" s="69"/>
    </row>
    <row r="1126" spans="1:29">
      <c r="A1126" s="70"/>
      <c r="B1126" s="70"/>
      <c r="C1126" s="70"/>
      <c r="D1126" s="70"/>
      <c r="E1126" s="445"/>
      <c r="F1126" s="216"/>
      <c r="G1126" s="216"/>
      <c r="H1126" s="216"/>
      <c r="I1126" s="216"/>
      <c r="J1126" s="216"/>
      <c r="K1126" s="216"/>
      <c r="L1126" s="216"/>
      <c r="M1126" s="216"/>
      <c r="N1126" s="216"/>
      <c r="O1126" s="216"/>
      <c r="P1126" s="216"/>
      <c r="Q1126" s="216"/>
      <c r="R1126" s="216"/>
      <c r="S1126" s="216"/>
      <c r="T1126" s="149"/>
      <c r="U1126" s="149"/>
      <c r="V1126" s="149"/>
      <c r="W1126" s="149"/>
      <c r="X1126" s="292"/>
      <c r="Y1126" s="292"/>
      <c r="Z1126" s="292"/>
      <c r="AA1126" s="292"/>
      <c r="AB1126" s="268"/>
    </row>
    <row r="1127" spans="1:29">
      <c r="A1127" s="70"/>
      <c r="B1127" s="70"/>
      <c r="C1127" s="70"/>
      <c r="D1127" s="70"/>
      <c r="E1127" s="445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149"/>
      <c r="U1127" s="149"/>
      <c r="V1127" s="149"/>
      <c r="W1127" s="149"/>
      <c r="X1127" s="292"/>
      <c r="Y1127" s="292"/>
      <c r="Z1127" s="292"/>
      <c r="AA1127" s="292"/>
      <c r="AB1127" s="268"/>
    </row>
    <row r="1128" spans="1:29">
      <c r="A1128" s="70"/>
      <c r="B1128" s="70"/>
      <c r="C1128" s="70"/>
      <c r="D1128" s="70"/>
      <c r="E1128" s="445"/>
      <c r="T1128" s="149"/>
      <c r="U1128" s="149"/>
      <c r="V1128" s="149"/>
      <c r="W1128" s="149"/>
      <c r="X1128" s="292"/>
      <c r="Y1128" s="292"/>
      <c r="Z1128" s="292"/>
      <c r="AA1128" s="292"/>
      <c r="AB1128" s="268"/>
    </row>
    <row r="1129" spans="1:29">
      <c r="A1129" s="70"/>
      <c r="B1129" s="70"/>
      <c r="C1129" s="70"/>
      <c r="D1129" s="70"/>
      <c r="E1129" s="445"/>
      <c r="T1129" s="149"/>
      <c r="U1129" s="149"/>
      <c r="V1129" s="149"/>
      <c r="W1129" s="149"/>
      <c r="X1129" s="292"/>
      <c r="Y1129" s="292"/>
      <c r="Z1129" s="292"/>
      <c r="AA1129" s="292"/>
      <c r="AB1129" s="268"/>
    </row>
    <row r="1130" spans="1:29">
      <c r="A1130" s="70"/>
      <c r="B1130" s="70"/>
      <c r="C1130" s="70"/>
      <c r="D1130" s="70"/>
      <c r="E1130" s="445"/>
      <c r="F1130" s="446"/>
      <c r="G1130" s="446"/>
      <c r="H1130" s="446"/>
      <c r="I1130" s="446"/>
      <c r="J1130" s="446"/>
      <c r="K1130" s="446"/>
      <c r="L1130" s="446"/>
      <c r="M1130" s="446"/>
      <c r="N1130" s="446"/>
      <c r="O1130" s="446"/>
      <c r="P1130" s="446"/>
      <c r="Q1130" s="446"/>
      <c r="R1130" s="446"/>
      <c r="S1130" s="446"/>
      <c r="T1130" s="149"/>
      <c r="U1130" s="149"/>
      <c r="V1130" s="149"/>
      <c r="W1130" s="149"/>
      <c r="X1130" s="292"/>
      <c r="Y1130" s="292"/>
      <c r="Z1130" s="292"/>
      <c r="AA1130" s="292"/>
      <c r="AB1130" s="268"/>
    </row>
    <row r="1131" spans="1:29">
      <c r="A1131" s="70"/>
      <c r="B1131" s="70"/>
      <c r="C1131" s="70"/>
      <c r="D1131" s="70"/>
      <c r="E1131" s="445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9"/>
      <c r="U1131" s="149"/>
      <c r="V1131" s="149"/>
      <c r="W1131" s="149"/>
      <c r="X1131" s="292"/>
      <c r="Y1131" s="292"/>
      <c r="Z1131" s="292"/>
      <c r="AA1131" s="292"/>
      <c r="AB1131" s="268"/>
    </row>
    <row r="1132" spans="1:29">
      <c r="A1132" s="70"/>
      <c r="B1132" s="70"/>
      <c r="C1132" s="70"/>
      <c r="D1132" s="70"/>
      <c r="E1132" s="70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292"/>
      <c r="Y1132" s="292"/>
      <c r="Z1132" s="292"/>
      <c r="AA1132" s="292"/>
      <c r="AB1132" s="268"/>
    </row>
    <row r="1133" spans="1:29">
      <c r="A1133" s="70"/>
      <c r="B1133" s="70"/>
      <c r="C1133" s="70"/>
      <c r="D1133" s="70"/>
      <c r="E1133" s="70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49"/>
      <c r="Q1133" s="149"/>
      <c r="R1133" s="149"/>
      <c r="S1133" s="149"/>
      <c r="T1133" s="149"/>
      <c r="U1133" s="149"/>
      <c r="V1133" s="149"/>
      <c r="W1133" s="149"/>
      <c r="X1133" s="292"/>
      <c r="Y1133" s="292"/>
      <c r="Z1133" s="292"/>
      <c r="AA1133" s="292"/>
      <c r="AB1133" s="268"/>
    </row>
    <row r="1134" spans="1:29">
      <c r="A1134" s="70"/>
      <c r="B1134" s="70"/>
      <c r="C1134" s="70"/>
      <c r="D1134" s="70"/>
      <c r="E1134" s="70"/>
      <c r="F1134" s="293"/>
      <c r="G1134" s="293"/>
      <c r="H1134" s="293"/>
      <c r="I1134" s="293"/>
      <c r="J1134" s="293"/>
      <c r="K1134" s="293"/>
      <c r="L1134" s="293"/>
      <c r="M1134" s="293"/>
      <c r="N1134" s="293"/>
      <c r="O1134" s="293"/>
      <c r="P1134" s="293"/>
      <c r="Q1134" s="293"/>
      <c r="R1134" s="293"/>
      <c r="S1134" s="293"/>
      <c r="T1134" s="293"/>
      <c r="U1134" s="293"/>
      <c r="V1134" s="293"/>
      <c r="W1134" s="293"/>
      <c r="X1134" s="294"/>
      <c r="Y1134" s="294"/>
      <c r="Z1134" s="294"/>
      <c r="AA1134" s="292"/>
      <c r="AB1134" s="268"/>
    </row>
    <row r="1135" spans="1:29">
      <c r="A1135" s="70"/>
      <c r="B1135" s="70"/>
      <c r="C1135" s="70"/>
      <c r="D1135" s="70"/>
      <c r="E1135" s="295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49"/>
      <c r="Q1135" s="149"/>
      <c r="R1135" s="149"/>
      <c r="S1135" s="149"/>
      <c r="T1135" s="149"/>
      <c r="U1135" s="149"/>
      <c r="V1135" s="149"/>
      <c r="W1135" s="149"/>
      <c r="X1135" s="292"/>
      <c r="Y1135" s="292"/>
      <c r="Z1135" s="292"/>
      <c r="AA1135" s="292"/>
      <c r="AB1135" s="268"/>
    </row>
    <row r="1136" spans="1:29">
      <c r="A1136" s="70"/>
      <c r="B1136" s="70"/>
      <c r="C1136" s="70"/>
      <c r="D1136" s="70"/>
      <c r="E1136" s="70"/>
      <c r="F1136" s="149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69"/>
      <c r="Y1136" s="69"/>
      <c r="Z1136" s="69"/>
      <c r="AA1136" s="69"/>
      <c r="AB1136" s="69"/>
    </row>
    <row r="1137" spans="1:29" ht="14.1">
      <c r="A1137" s="137"/>
      <c r="B1137" s="70"/>
      <c r="C1137" s="70"/>
      <c r="D1137" s="70"/>
      <c r="E1137" s="296"/>
      <c r="F1137" s="149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69"/>
      <c r="Y1137" s="69"/>
      <c r="Z1137" s="69"/>
      <c r="AA1137" s="69"/>
      <c r="AB1137" s="69"/>
    </row>
    <row r="1138" spans="1:29">
      <c r="A1138" s="70"/>
      <c r="B1138" s="70"/>
      <c r="C1138" s="70"/>
      <c r="D1138" s="70"/>
      <c r="E1138" s="295"/>
      <c r="F1138" s="220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  <c r="R1138" s="149"/>
      <c r="S1138" s="149"/>
      <c r="T1138" s="149"/>
      <c r="U1138" s="149"/>
      <c r="V1138" s="149"/>
      <c r="W1138" s="149"/>
      <c r="X1138" s="292"/>
      <c r="Y1138" s="292"/>
      <c r="Z1138" s="292"/>
      <c r="AA1138" s="292"/>
      <c r="AB1138" s="268"/>
    </row>
    <row r="1139" spans="1:29">
      <c r="A1139" s="70"/>
      <c r="B1139" s="70"/>
      <c r="C1139" s="70"/>
      <c r="D1139" s="70"/>
      <c r="E1139" s="70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49"/>
      <c r="Q1139" s="149"/>
      <c r="R1139" s="149"/>
      <c r="S1139" s="149"/>
      <c r="T1139" s="149"/>
      <c r="U1139" s="149"/>
      <c r="V1139" s="149"/>
      <c r="W1139" s="149"/>
      <c r="X1139" s="292"/>
      <c r="Y1139" s="292"/>
      <c r="Z1139" s="292"/>
      <c r="AA1139" s="292"/>
      <c r="AB1139" s="268"/>
    </row>
    <row r="1140" spans="1:29">
      <c r="A1140" s="70"/>
      <c r="B1140" s="70"/>
      <c r="C1140" s="70"/>
      <c r="D1140" s="70"/>
      <c r="E1140" s="70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49"/>
      <c r="Q1140" s="149"/>
      <c r="R1140" s="149"/>
      <c r="S1140" s="149"/>
      <c r="T1140" s="149"/>
      <c r="U1140" s="149"/>
      <c r="V1140" s="149"/>
      <c r="W1140" s="149"/>
      <c r="X1140" s="292"/>
      <c r="Y1140" s="292"/>
      <c r="Z1140" s="292"/>
      <c r="AA1140" s="292"/>
      <c r="AB1140" s="268"/>
    </row>
    <row r="1141" spans="1:29">
      <c r="A1141" s="70"/>
      <c r="B1141" s="70"/>
      <c r="C1141" s="70"/>
      <c r="D1141" s="70"/>
      <c r="E1141" s="70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49"/>
      <c r="Q1141" s="149"/>
      <c r="R1141" s="149"/>
      <c r="S1141" s="149"/>
      <c r="T1141" s="149"/>
      <c r="U1141" s="149"/>
      <c r="V1141" s="149"/>
      <c r="W1141" s="149"/>
      <c r="X1141" s="292"/>
      <c r="Y1141" s="292"/>
      <c r="Z1141" s="292"/>
      <c r="AA1141" s="292"/>
      <c r="AB1141" s="268"/>
    </row>
    <row r="1142" spans="1:29">
      <c r="A1142" s="70"/>
      <c r="B1142" s="70"/>
      <c r="C1142" s="70"/>
      <c r="D1142" s="70"/>
      <c r="E1142" s="70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49"/>
      <c r="Q1142" s="149"/>
      <c r="R1142" s="149"/>
      <c r="S1142" s="149"/>
      <c r="T1142" s="149"/>
      <c r="U1142" s="149"/>
      <c r="V1142" s="149"/>
      <c r="W1142" s="149"/>
      <c r="X1142" s="292"/>
      <c r="Y1142" s="292"/>
      <c r="Z1142" s="292"/>
      <c r="AA1142" s="292"/>
      <c r="AB1142" s="268"/>
    </row>
    <row r="1143" spans="1:29">
      <c r="A1143" s="70"/>
      <c r="B1143" s="70"/>
      <c r="C1143" s="70"/>
      <c r="D1143" s="70"/>
      <c r="E1143" s="70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49"/>
      <c r="Q1143" s="149"/>
      <c r="R1143" s="149"/>
      <c r="S1143" s="149"/>
      <c r="T1143" s="149"/>
      <c r="U1143" s="149"/>
      <c r="V1143" s="149"/>
      <c r="W1143" s="149"/>
      <c r="X1143" s="292"/>
      <c r="Y1143" s="292"/>
      <c r="Z1143" s="292"/>
      <c r="AA1143" s="292"/>
      <c r="AB1143" s="268"/>
    </row>
    <row r="1144" spans="1:29">
      <c r="A1144" s="70"/>
      <c r="B1144" s="70"/>
      <c r="C1144" s="70"/>
      <c r="D1144" s="70"/>
      <c r="E1144" s="70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49"/>
      <c r="Q1144" s="149"/>
      <c r="R1144" s="149"/>
      <c r="S1144" s="149"/>
      <c r="T1144" s="149"/>
      <c r="U1144" s="149"/>
      <c r="V1144" s="149"/>
      <c r="W1144" s="149"/>
      <c r="X1144" s="292"/>
      <c r="Y1144" s="292"/>
      <c r="Z1144" s="292"/>
      <c r="AA1144" s="292"/>
      <c r="AB1144" s="268"/>
      <c r="AC1144" s="64"/>
    </row>
    <row r="1145" spans="1:29">
      <c r="A1145" s="70"/>
      <c r="B1145" s="70"/>
      <c r="C1145" s="70"/>
      <c r="D1145" s="70"/>
      <c r="E1145" s="70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49"/>
      <c r="Q1145" s="149"/>
      <c r="R1145" s="149"/>
      <c r="S1145" s="149"/>
      <c r="T1145" s="149"/>
      <c r="U1145" s="149"/>
      <c r="V1145" s="149"/>
      <c r="W1145" s="149"/>
      <c r="X1145" s="292"/>
      <c r="Y1145" s="292"/>
      <c r="Z1145" s="292"/>
      <c r="AA1145" s="292"/>
      <c r="AB1145" s="268"/>
    </row>
    <row r="1146" spans="1:29">
      <c r="A1146" s="70"/>
      <c r="B1146" s="70"/>
      <c r="C1146" s="70"/>
      <c r="D1146" s="70"/>
      <c r="E1146" s="70"/>
      <c r="F1146" s="293"/>
      <c r="G1146" s="293"/>
      <c r="H1146" s="293"/>
      <c r="I1146" s="293"/>
      <c r="J1146" s="293"/>
      <c r="K1146" s="293"/>
      <c r="L1146" s="293"/>
      <c r="M1146" s="293"/>
      <c r="N1146" s="293"/>
      <c r="O1146" s="293"/>
      <c r="P1146" s="293"/>
      <c r="Q1146" s="293"/>
      <c r="R1146" s="293"/>
      <c r="S1146" s="293"/>
      <c r="T1146" s="293"/>
      <c r="U1146" s="293"/>
      <c r="V1146" s="293"/>
      <c r="W1146" s="293"/>
      <c r="X1146" s="294"/>
      <c r="Y1146" s="294"/>
      <c r="Z1146" s="294"/>
      <c r="AA1146" s="292"/>
      <c r="AB1146" s="268"/>
    </row>
    <row r="1147" spans="1:29">
      <c r="A1147" s="70"/>
      <c r="B1147" s="70"/>
      <c r="C1147" s="70"/>
      <c r="D1147" s="70"/>
      <c r="E1147" s="70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  <c r="R1147" s="149"/>
      <c r="S1147" s="149"/>
      <c r="T1147" s="149"/>
      <c r="U1147" s="149"/>
      <c r="V1147" s="149"/>
      <c r="W1147" s="149"/>
      <c r="X1147" s="292"/>
      <c r="Y1147" s="292"/>
      <c r="Z1147" s="292"/>
      <c r="AA1147" s="292"/>
      <c r="AB1147" s="268"/>
    </row>
    <row r="1148" spans="1:29">
      <c r="A1148" s="70"/>
      <c r="B1148" s="70"/>
      <c r="C1148" s="70"/>
      <c r="D1148" s="70"/>
      <c r="E1148" s="70"/>
      <c r="F1148" s="149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69"/>
      <c r="Y1148" s="69"/>
      <c r="Z1148" s="69"/>
      <c r="AA1148" s="69"/>
      <c r="AB1148" s="69"/>
    </row>
    <row r="1149" spans="1:29">
      <c r="A1149" s="70"/>
      <c r="B1149" s="70"/>
      <c r="C1149" s="70"/>
      <c r="D1149" s="70"/>
      <c r="E1149" s="70"/>
      <c r="F1149" s="149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69"/>
      <c r="Y1149" s="69"/>
      <c r="Z1149" s="69"/>
      <c r="AA1149" s="69"/>
      <c r="AB1149" s="69"/>
    </row>
    <row r="1150" spans="1:29" ht="14.1">
      <c r="A1150" s="137"/>
      <c r="B1150" s="70"/>
      <c r="C1150" s="70"/>
      <c r="D1150" s="70"/>
      <c r="E1150" s="70"/>
      <c r="F1150" s="149"/>
      <c r="G1150" s="149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69"/>
      <c r="Y1150" s="69"/>
      <c r="Z1150" s="69"/>
      <c r="AA1150" s="69"/>
      <c r="AB1150" s="69"/>
    </row>
    <row r="1151" spans="1:29">
      <c r="A1151" s="70"/>
      <c r="B1151" s="70"/>
      <c r="C1151" s="70"/>
      <c r="D1151" s="70"/>
      <c r="E1151" s="70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  <c r="R1151" s="149"/>
      <c r="S1151" s="149"/>
      <c r="T1151" s="149"/>
      <c r="U1151" s="149"/>
      <c r="V1151" s="149"/>
      <c r="W1151" s="149"/>
      <c r="X1151" s="149"/>
      <c r="Y1151" s="149"/>
      <c r="Z1151" s="149"/>
      <c r="AA1151" s="292"/>
      <c r="AB1151" s="268"/>
    </row>
    <row r="1152" spans="1:29">
      <c r="A1152" s="70"/>
      <c r="B1152" s="70"/>
      <c r="C1152" s="70"/>
      <c r="D1152" s="70"/>
      <c r="E1152" s="70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49"/>
      <c r="Q1152" s="149"/>
      <c r="R1152" s="149"/>
      <c r="S1152" s="149"/>
      <c r="T1152" s="149"/>
      <c r="U1152" s="149"/>
      <c r="V1152" s="149"/>
      <c r="W1152" s="149"/>
      <c r="X1152" s="149"/>
      <c r="Y1152" s="149"/>
      <c r="Z1152" s="149"/>
      <c r="AA1152" s="292"/>
      <c r="AB1152" s="268"/>
    </row>
    <row r="1153" spans="1:28">
      <c r="A1153" s="70"/>
      <c r="B1153" s="70"/>
      <c r="C1153" s="70"/>
      <c r="D1153" s="70"/>
      <c r="E1153" s="70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292"/>
      <c r="AB1153" s="268"/>
    </row>
    <row r="1154" spans="1:28">
      <c r="A1154" s="70"/>
      <c r="B1154" s="70"/>
      <c r="C1154" s="70"/>
      <c r="D1154" s="70"/>
      <c r="E1154" s="70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292"/>
      <c r="AB1154" s="268"/>
    </row>
    <row r="1155" spans="1:28">
      <c r="A1155" s="70"/>
      <c r="B1155" s="70"/>
      <c r="C1155" s="70"/>
      <c r="D1155" s="70"/>
      <c r="E1155" s="70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292"/>
      <c r="AB1155" s="268"/>
    </row>
    <row r="1156" spans="1:28">
      <c r="A1156" s="70"/>
      <c r="B1156" s="70"/>
      <c r="C1156" s="70"/>
      <c r="D1156" s="70"/>
      <c r="E1156" s="70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49"/>
      <c r="Q1156" s="149"/>
      <c r="R1156" s="149"/>
      <c r="S1156" s="149"/>
      <c r="T1156" s="149"/>
      <c r="U1156" s="149"/>
      <c r="V1156" s="149"/>
      <c r="W1156" s="149"/>
      <c r="X1156" s="149"/>
      <c r="Y1156" s="149"/>
      <c r="Z1156" s="149"/>
      <c r="AA1156" s="292"/>
      <c r="AB1156" s="268"/>
    </row>
    <row r="1157" spans="1:28">
      <c r="A1157" s="70"/>
      <c r="B1157" s="70"/>
      <c r="C1157" s="70"/>
      <c r="D1157" s="70"/>
      <c r="E1157" s="70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49"/>
      <c r="Q1157" s="149"/>
      <c r="R1157" s="149"/>
      <c r="S1157" s="149"/>
      <c r="T1157" s="149"/>
      <c r="U1157" s="149"/>
      <c r="V1157" s="149"/>
      <c r="W1157" s="149"/>
      <c r="X1157" s="149"/>
      <c r="Y1157" s="149"/>
      <c r="Z1157" s="149"/>
      <c r="AA1157" s="292"/>
      <c r="AB1157" s="268"/>
    </row>
    <row r="1158" spans="1:28">
      <c r="A1158" s="70"/>
      <c r="B1158" s="70"/>
      <c r="C1158" s="70"/>
      <c r="D1158" s="70"/>
      <c r="E1158" s="70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49"/>
      <c r="Q1158" s="149"/>
      <c r="R1158" s="149"/>
      <c r="S1158" s="149"/>
      <c r="T1158" s="149"/>
      <c r="U1158" s="149"/>
      <c r="V1158" s="149"/>
      <c r="W1158" s="149"/>
      <c r="X1158" s="149"/>
      <c r="Y1158" s="149"/>
      <c r="Z1158" s="149"/>
      <c r="AA1158" s="292"/>
      <c r="AB1158" s="268"/>
    </row>
    <row r="1159" spans="1:28">
      <c r="A1159" s="70"/>
      <c r="B1159" s="70"/>
      <c r="C1159" s="70"/>
      <c r="D1159" s="70"/>
      <c r="E1159" s="70"/>
      <c r="F1159" s="293"/>
      <c r="G1159" s="293"/>
      <c r="H1159" s="293"/>
      <c r="I1159" s="293"/>
      <c r="J1159" s="293"/>
      <c r="K1159" s="293"/>
      <c r="L1159" s="293"/>
      <c r="M1159" s="293"/>
      <c r="N1159" s="293"/>
      <c r="O1159" s="293"/>
      <c r="P1159" s="293"/>
      <c r="Q1159" s="293"/>
      <c r="R1159" s="293"/>
      <c r="S1159" s="293"/>
      <c r="T1159" s="293"/>
      <c r="U1159" s="293"/>
      <c r="V1159" s="293"/>
      <c r="W1159" s="293"/>
      <c r="X1159" s="293"/>
      <c r="Y1159" s="293"/>
      <c r="Z1159" s="293"/>
      <c r="AA1159" s="292"/>
      <c r="AB1159" s="268"/>
    </row>
    <row r="1160" spans="1:28">
      <c r="A1160" s="70"/>
      <c r="B1160" s="70"/>
      <c r="C1160" s="70"/>
      <c r="D1160" s="70"/>
      <c r="E1160" s="70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49"/>
      <c r="Q1160" s="149"/>
      <c r="R1160" s="149"/>
      <c r="S1160" s="149"/>
      <c r="T1160" s="149"/>
      <c r="U1160" s="149"/>
      <c r="V1160" s="149"/>
      <c r="W1160" s="149"/>
      <c r="X1160" s="149"/>
      <c r="Y1160" s="149"/>
      <c r="Z1160" s="149"/>
      <c r="AA1160" s="292"/>
      <c r="AB1160" s="268"/>
    </row>
    <row r="1161" spans="1:28">
      <c r="A1161" s="70"/>
      <c r="B1161" s="70"/>
      <c r="C1161" s="70"/>
      <c r="D1161" s="70"/>
      <c r="E1161" s="70"/>
      <c r="F1161" s="149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69"/>
      <c r="Y1161" s="69"/>
      <c r="Z1161" s="69"/>
      <c r="AA1161" s="69"/>
      <c r="AB1161" s="69"/>
    </row>
    <row r="1162" spans="1:28">
      <c r="A1162" s="70"/>
      <c r="B1162" s="70"/>
      <c r="C1162" s="70"/>
      <c r="D1162" s="70"/>
      <c r="E1162" s="70"/>
      <c r="F1162" s="149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69"/>
      <c r="Y1162" s="69"/>
      <c r="Z1162" s="69"/>
      <c r="AA1162" s="69"/>
      <c r="AB1162" s="69"/>
    </row>
    <row r="1163" spans="1:28" ht="14.1">
      <c r="A1163" s="137"/>
      <c r="B1163" s="70"/>
      <c r="C1163" s="70"/>
      <c r="D1163" s="70"/>
      <c r="E1163" s="70"/>
      <c r="F1163" s="22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69"/>
      <c r="Y1163" s="69"/>
      <c r="Z1163" s="69"/>
      <c r="AA1163" s="69"/>
      <c r="AB1163" s="69"/>
    </row>
    <row r="1164" spans="1:28">
      <c r="A1164" s="70"/>
      <c r="B1164" s="70"/>
      <c r="C1164" s="70"/>
      <c r="D1164" s="70"/>
      <c r="E1164" s="70"/>
      <c r="F1164" s="70"/>
      <c r="G1164" s="158"/>
      <c r="H1164" s="158"/>
      <c r="I1164" s="297"/>
      <c r="J1164" s="297"/>
      <c r="K1164" s="297"/>
      <c r="L1164" s="297"/>
      <c r="M1164" s="297"/>
      <c r="N1164" s="297"/>
      <c r="O1164" s="297"/>
      <c r="P1164" s="297"/>
      <c r="Q1164" s="297"/>
      <c r="R1164" s="297"/>
      <c r="S1164" s="298"/>
      <c r="T1164" s="298"/>
      <c r="U1164" s="298"/>
      <c r="V1164" s="297"/>
      <c r="W1164" s="297"/>
      <c r="X1164" s="299"/>
      <c r="Y1164" s="299"/>
      <c r="Z1164" s="299"/>
      <c r="AA1164" s="69"/>
      <c r="AB1164" s="69"/>
    </row>
    <row r="1165" spans="1:28" s="60" customFormat="1">
      <c r="A1165" s="70"/>
      <c r="B1165" s="70"/>
      <c r="C1165" s="70"/>
      <c r="D1165" s="70"/>
      <c r="E1165" s="70"/>
      <c r="F1165" s="70"/>
      <c r="G1165" s="158"/>
      <c r="H1165" s="158"/>
      <c r="I1165" s="297"/>
      <c r="J1165" s="297"/>
      <c r="K1165" s="297"/>
      <c r="L1165" s="297"/>
      <c r="M1165" s="297"/>
      <c r="N1165" s="297"/>
      <c r="O1165" s="297"/>
      <c r="P1165" s="297"/>
      <c r="Q1165" s="297"/>
      <c r="R1165" s="297"/>
      <c r="S1165" s="298"/>
      <c r="T1165" s="298"/>
      <c r="U1165" s="298"/>
      <c r="V1165" s="297"/>
      <c r="W1165" s="297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0"/>
      <c r="H1166" s="300"/>
      <c r="I1166" s="297"/>
      <c r="J1166" s="297"/>
      <c r="K1166" s="297"/>
      <c r="L1166" s="297"/>
      <c r="M1166" s="297"/>
      <c r="N1166" s="297"/>
      <c r="O1166" s="297"/>
      <c r="P1166" s="297"/>
      <c r="Q1166" s="297"/>
      <c r="R1166" s="297"/>
      <c r="S1166" s="298"/>
      <c r="T1166" s="298"/>
      <c r="U1166" s="298"/>
      <c r="V1166" s="297"/>
      <c r="W1166" s="297"/>
      <c r="X1166" s="70"/>
      <c r="Y1166" s="70"/>
      <c r="Z1166" s="70"/>
      <c r="AA1166" s="70"/>
      <c r="AB1166" s="70"/>
    </row>
    <row r="1167" spans="1:28" s="60" customFormat="1">
      <c r="A1167" s="70"/>
      <c r="B1167" s="70"/>
      <c r="C1167" s="70"/>
      <c r="D1167" s="70"/>
      <c r="E1167" s="70"/>
      <c r="F1167" s="70"/>
      <c r="G1167" s="158"/>
      <c r="H1167" s="158"/>
      <c r="I1167" s="297"/>
      <c r="J1167" s="297"/>
      <c r="K1167" s="297"/>
      <c r="L1167" s="297"/>
      <c r="M1167" s="297"/>
      <c r="N1167" s="297"/>
      <c r="O1167" s="297"/>
      <c r="P1167" s="297"/>
      <c r="Q1167" s="297"/>
      <c r="R1167" s="297"/>
      <c r="S1167" s="298"/>
      <c r="T1167" s="298"/>
      <c r="U1167" s="298"/>
      <c r="V1167" s="297"/>
      <c r="W1167" s="297"/>
      <c r="X1167" s="70"/>
      <c r="Y1167" s="70"/>
      <c r="Z1167" s="70"/>
      <c r="AA1167" s="70"/>
      <c r="AB1167" s="70"/>
    </row>
    <row r="1168" spans="1:28" s="60" customFormat="1">
      <c r="A1168" s="70"/>
      <c r="B1168" s="70"/>
      <c r="C1168" s="70"/>
      <c r="D1168" s="70"/>
      <c r="E1168" s="70"/>
      <c r="F1168" s="70"/>
      <c r="G1168" s="158"/>
      <c r="H1168" s="158"/>
      <c r="I1168" s="297"/>
      <c r="J1168" s="297"/>
      <c r="K1168" s="297"/>
      <c r="L1168" s="297"/>
      <c r="M1168" s="297"/>
      <c r="N1168" s="297"/>
      <c r="O1168" s="297"/>
      <c r="P1168" s="297"/>
      <c r="Q1168" s="297"/>
      <c r="R1168" s="297"/>
      <c r="S1168" s="298"/>
      <c r="T1168" s="298"/>
      <c r="U1168" s="298"/>
      <c r="V1168" s="297"/>
      <c r="W1168" s="297"/>
      <c r="X1168" s="70"/>
      <c r="Y1168" s="70"/>
      <c r="Z1168" s="70"/>
      <c r="AA1168" s="70"/>
      <c r="AB1168" s="70"/>
    </row>
    <row r="1169" spans="1:28" s="60" customFormat="1">
      <c r="A1169" s="70"/>
      <c r="B1169" s="70"/>
      <c r="C1169" s="70"/>
      <c r="D1169" s="70"/>
      <c r="E1169" s="70"/>
      <c r="F1169" s="70"/>
      <c r="G1169" s="300"/>
      <c r="H1169" s="300"/>
      <c r="I1169" s="297"/>
      <c r="J1169" s="297"/>
      <c r="K1169" s="297"/>
      <c r="L1169" s="297"/>
      <c r="M1169" s="297"/>
      <c r="N1169" s="297"/>
      <c r="O1169" s="297"/>
      <c r="P1169" s="297"/>
      <c r="Q1169" s="297"/>
      <c r="R1169" s="297"/>
      <c r="S1169" s="298"/>
      <c r="T1169" s="298"/>
      <c r="U1169" s="298"/>
      <c r="V1169" s="297"/>
      <c r="W1169" s="297"/>
      <c r="X1169" s="70"/>
      <c r="Y1169" s="70"/>
      <c r="Z1169" s="70"/>
      <c r="AA1169" s="70"/>
      <c r="AB1169" s="70"/>
    </row>
    <row r="1170" spans="1:28">
      <c r="A1170" s="70"/>
      <c r="B1170" s="70"/>
      <c r="C1170" s="70"/>
      <c r="D1170" s="70"/>
      <c r="E1170" s="70"/>
      <c r="F1170" s="70"/>
      <c r="G1170" s="158"/>
      <c r="H1170" s="158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298"/>
      <c r="T1170" s="298"/>
      <c r="U1170" s="298"/>
      <c r="V1170" s="70"/>
      <c r="W1170" s="70"/>
      <c r="X1170" s="69"/>
      <c r="Y1170" s="69"/>
      <c r="Z1170" s="69"/>
      <c r="AA1170" s="69"/>
      <c r="AB1170" s="69"/>
    </row>
    <row r="1171" spans="1:28">
      <c r="A1171" s="70"/>
      <c r="B1171" s="70"/>
      <c r="C1171" s="70"/>
      <c r="D1171" s="70"/>
      <c r="E1171" s="70"/>
      <c r="F1171" s="70"/>
      <c r="G1171" s="158"/>
      <c r="H1171" s="158"/>
      <c r="I1171" s="297"/>
      <c r="J1171" s="297"/>
      <c r="K1171" s="297"/>
      <c r="L1171" s="297"/>
      <c r="M1171" s="297"/>
      <c r="N1171" s="297"/>
      <c r="O1171" s="297"/>
      <c r="P1171" s="297"/>
      <c r="Q1171" s="297"/>
      <c r="R1171" s="297"/>
      <c r="S1171" s="298"/>
      <c r="T1171" s="298"/>
      <c r="U1171" s="298"/>
      <c r="V1171" s="297"/>
      <c r="W1171" s="297"/>
      <c r="X1171" s="69"/>
      <c r="Y1171" s="69"/>
      <c r="Z1171" s="69"/>
      <c r="AA1171" s="69"/>
      <c r="AB1171" s="69"/>
    </row>
    <row r="1172" spans="1:28">
      <c r="A1172" s="70"/>
      <c r="B1172" s="70"/>
      <c r="C1172" s="70"/>
      <c r="D1172" s="70"/>
      <c r="E1172" s="70"/>
      <c r="F1172" s="70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  <c r="R1172" s="219"/>
      <c r="S1172" s="219"/>
      <c r="T1172" s="298"/>
      <c r="U1172" s="298"/>
      <c r="V1172" s="219"/>
      <c r="W1172" s="219"/>
      <c r="X1172" s="301"/>
      <c r="Y1172" s="301"/>
      <c r="Z1172" s="301"/>
      <c r="AA1172" s="69"/>
      <c r="AB1172" s="69"/>
    </row>
    <row r="1173" spans="1:28">
      <c r="A1173" s="70"/>
      <c r="B1173" s="70"/>
      <c r="C1173" s="70"/>
      <c r="D1173" s="70"/>
      <c r="E1173" s="70"/>
      <c r="F1173" s="70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  <c r="R1173" s="219"/>
      <c r="S1173" s="219"/>
      <c r="T1173" s="298"/>
      <c r="U1173" s="298"/>
      <c r="V1173" s="219"/>
      <c r="W1173" s="219"/>
      <c r="X1173" s="301"/>
      <c r="Y1173" s="301"/>
      <c r="Z1173" s="301"/>
      <c r="AA1173" s="69"/>
      <c r="AB1173" s="69"/>
    </row>
    <row r="1174" spans="1:28">
      <c r="A1174" s="70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>
      <c r="A1175" s="70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 ht="14.1">
      <c r="A1176" s="137"/>
      <c r="B1176" s="70"/>
      <c r="C1176" s="70"/>
      <c r="D1176" s="70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69"/>
      <c r="Y1176" s="69"/>
      <c r="Z1176" s="69"/>
      <c r="AA1176" s="69"/>
      <c r="AB1176" s="69"/>
    </row>
    <row r="1177" spans="1:28">
      <c r="A1177" s="70"/>
      <c r="B1177" s="70"/>
      <c r="C1177" s="70"/>
      <c r="D1177" s="70"/>
      <c r="E1177" s="70"/>
      <c r="F1177" s="70"/>
      <c r="G1177" s="302"/>
      <c r="H1177" s="302"/>
      <c r="I1177" s="297"/>
      <c r="J1177" s="297"/>
      <c r="K1177" s="297"/>
      <c r="L1177" s="297"/>
      <c r="M1177" s="297"/>
      <c r="N1177" s="297"/>
      <c r="O1177" s="297"/>
      <c r="P1177" s="297"/>
      <c r="Q1177" s="297"/>
      <c r="R1177" s="297"/>
      <c r="S1177" s="302"/>
      <c r="T1177" s="302"/>
      <c r="U1177" s="302"/>
      <c r="V1177" s="297"/>
      <c r="W1177" s="297"/>
      <c r="X1177" s="69"/>
      <c r="Y1177" s="69"/>
      <c r="Z1177" s="69"/>
      <c r="AA1177" s="69"/>
      <c r="AB1177" s="69"/>
    </row>
    <row r="1178" spans="1:28" s="60" customFormat="1">
      <c r="A1178" s="70"/>
      <c r="B1178" s="70"/>
      <c r="C1178" s="70"/>
      <c r="D1178" s="70"/>
      <c r="E1178" s="70"/>
      <c r="F1178" s="70"/>
      <c r="G1178" s="302"/>
      <c r="H1178" s="302"/>
      <c r="I1178" s="297"/>
      <c r="J1178" s="297"/>
      <c r="K1178" s="297"/>
      <c r="L1178" s="297"/>
      <c r="M1178" s="297"/>
      <c r="N1178" s="297"/>
      <c r="O1178" s="297"/>
      <c r="P1178" s="297"/>
      <c r="Q1178" s="297"/>
      <c r="R1178" s="297"/>
      <c r="S1178" s="302"/>
      <c r="T1178" s="303"/>
      <c r="U1178" s="303"/>
      <c r="V1178" s="297"/>
      <c r="W1178" s="297"/>
      <c r="X1178" s="302"/>
      <c r="Y1178" s="302"/>
      <c r="Z1178" s="302"/>
      <c r="AA1178" s="70"/>
      <c r="AB1178" s="70"/>
    </row>
    <row r="1179" spans="1:28" s="60" customFormat="1">
      <c r="A1179" s="70"/>
      <c r="B1179" s="70"/>
      <c r="C1179" s="70"/>
      <c r="D1179" s="70"/>
      <c r="E1179" s="70"/>
      <c r="F1179" s="70"/>
      <c r="G1179" s="302"/>
      <c r="H1179" s="302"/>
      <c r="I1179" s="302"/>
      <c r="J1179" s="302"/>
      <c r="K1179" s="302"/>
      <c r="L1179" s="302"/>
      <c r="M1179" s="302"/>
      <c r="N1179" s="302"/>
      <c r="O1179" s="302"/>
      <c r="P1179" s="302"/>
      <c r="Q1179" s="302"/>
      <c r="R1179" s="302"/>
      <c r="S1179" s="302"/>
      <c r="T1179" s="302"/>
      <c r="U1179" s="302"/>
      <c r="V1179" s="302"/>
      <c r="W1179" s="302"/>
      <c r="X1179" s="302"/>
      <c r="Y1179" s="302"/>
      <c r="Z1179" s="302"/>
      <c r="AA1179" s="70"/>
      <c r="AB1179" s="70"/>
    </row>
    <row r="1180" spans="1:28" s="60" customFormat="1">
      <c r="A1180" s="70"/>
      <c r="B1180" s="70"/>
      <c r="C1180" s="70"/>
      <c r="D1180" s="70"/>
      <c r="E1180" s="70"/>
      <c r="F1180" s="70"/>
      <c r="G1180" s="302"/>
      <c r="H1180" s="302"/>
      <c r="I1180" s="297"/>
      <c r="J1180" s="297"/>
      <c r="K1180" s="297"/>
      <c r="L1180" s="297"/>
      <c r="M1180" s="297"/>
      <c r="N1180" s="297"/>
      <c r="O1180" s="297"/>
      <c r="P1180" s="297"/>
      <c r="Q1180" s="297"/>
      <c r="R1180" s="297"/>
      <c r="S1180" s="302"/>
      <c r="T1180" s="302"/>
      <c r="U1180" s="302"/>
      <c r="V1180" s="297"/>
      <c r="W1180" s="297"/>
      <c r="X1180" s="302"/>
      <c r="Y1180" s="302"/>
      <c r="Z1180" s="302"/>
      <c r="AA1180" s="70"/>
      <c r="AB1180" s="70"/>
    </row>
    <row r="1181" spans="1:28" s="60" customFormat="1">
      <c r="A1181" s="70"/>
      <c r="B1181" s="70"/>
      <c r="C1181" s="70"/>
      <c r="D1181" s="70"/>
      <c r="E1181" s="70"/>
      <c r="F1181" s="70"/>
      <c r="G1181" s="302"/>
      <c r="H1181" s="302"/>
      <c r="I1181" s="297"/>
      <c r="J1181" s="297"/>
      <c r="K1181" s="297"/>
      <c r="L1181" s="297"/>
      <c r="M1181" s="297"/>
      <c r="N1181" s="297"/>
      <c r="O1181" s="297"/>
      <c r="P1181" s="297"/>
      <c r="Q1181" s="297"/>
      <c r="R1181" s="297"/>
      <c r="S1181" s="302"/>
      <c r="T1181" s="302"/>
      <c r="U1181" s="302"/>
      <c r="V1181" s="297"/>
      <c r="W1181" s="297"/>
      <c r="X1181" s="70"/>
      <c r="Y1181" s="70"/>
      <c r="Z1181" s="70"/>
      <c r="AA1181" s="70"/>
      <c r="AB1181" s="70"/>
    </row>
    <row r="1182" spans="1:28" s="60" customFormat="1">
      <c r="A1182" s="70"/>
      <c r="B1182" s="70"/>
      <c r="C1182" s="70"/>
      <c r="D1182" s="70"/>
      <c r="E1182" s="70"/>
      <c r="F1182" s="70"/>
      <c r="G1182" s="302"/>
      <c r="H1182" s="302"/>
      <c r="I1182" s="297"/>
      <c r="J1182" s="297"/>
      <c r="K1182" s="297"/>
      <c r="L1182" s="297"/>
      <c r="M1182" s="297"/>
      <c r="N1182" s="297"/>
      <c r="O1182" s="297"/>
      <c r="P1182" s="297"/>
      <c r="Q1182" s="297"/>
      <c r="R1182" s="297"/>
      <c r="S1182" s="302"/>
      <c r="T1182" s="302"/>
      <c r="U1182" s="302"/>
      <c r="V1182" s="297"/>
      <c r="W1182" s="297"/>
      <c r="X1182" s="70"/>
      <c r="Y1182" s="70"/>
      <c r="Z1182" s="70"/>
      <c r="AA1182" s="70"/>
      <c r="AB1182" s="70"/>
    </row>
    <row r="1183" spans="1:28" s="60" customFormat="1">
      <c r="A1183" s="70"/>
      <c r="B1183" s="70"/>
      <c r="C1183" s="70"/>
      <c r="D1183" s="70"/>
      <c r="E1183" s="70"/>
      <c r="F1183" s="70"/>
      <c r="G1183" s="302"/>
      <c r="H1183" s="302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302"/>
      <c r="T1183" s="302"/>
      <c r="U1183" s="302"/>
      <c r="V1183" s="70"/>
      <c r="W1183" s="70"/>
      <c r="X1183" s="70"/>
      <c r="Y1183" s="70"/>
      <c r="Z1183" s="70"/>
      <c r="AA1183" s="70"/>
      <c r="AB1183" s="70"/>
    </row>
    <row r="1184" spans="1:28" s="60" customFormat="1">
      <c r="A1184" s="70"/>
      <c r="B1184" s="70"/>
      <c r="C1184" s="70"/>
      <c r="D1184" s="70"/>
      <c r="E1184" s="70"/>
      <c r="F1184" s="70"/>
      <c r="G1184" s="302"/>
      <c r="H1184" s="302"/>
      <c r="I1184" s="295"/>
      <c r="J1184" s="295"/>
      <c r="K1184" s="295"/>
      <c r="L1184" s="295"/>
      <c r="M1184" s="295"/>
      <c r="N1184" s="295"/>
      <c r="O1184" s="295"/>
      <c r="P1184" s="295"/>
      <c r="Q1184" s="295"/>
      <c r="R1184" s="295"/>
      <c r="S1184" s="302"/>
      <c r="T1184" s="302"/>
      <c r="U1184" s="302"/>
      <c r="V1184" s="295"/>
      <c r="W1184" s="295"/>
      <c r="X1184" s="70"/>
      <c r="Y1184" s="70"/>
      <c r="Z1184" s="70"/>
      <c r="AA1184" s="70"/>
      <c r="AB1184" s="70"/>
    </row>
    <row r="1185" spans="1:28" s="60" customFormat="1">
      <c r="A1185" s="70"/>
      <c r="B1185" s="70"/>
      <c r="C1185" s="70"/>
      <c r="D1185" s="70"/>
      <c r="E1185" s="70"/>
      <c r="F1185" s="70"/>
      <c r="G1185" s="302"/>
      <c r="H1185" s="302"/>
      <c r="I1185" s="302"/>
      <c r="J1185" s="302"/>
      <c r="K1185" s="302"/>
      <c r="L1185" s="302"/>
      <c r="M1185" s="302"/>
      <c r="N1185" s="302"/>
      <c r="O1185" s="302"/>
      <c r="P1185" s="302"/>
      <c r="Q1185" s="302"/>
      <c r="R1185" s="302"/>
      <c r="S1185" s="302"/>
      <c r="T1185" s="302"/>
      <c r="U1185" s="302"/>
      <c r="V1185" s="302"/>
      <c r="W1185" s="302"/>
      <c r="X1185" s="70"/>
      <c r="Y1185" s="70"/>
      <c r="Z1185" s="70"/>
      <c r="AA1185" s="70"/>
      <c r="AB1185" s="70"/>
    </row>
    <row r="1186" spans="1:28">
      <c r="A1186" s="70"/>
      <c r="B1186" s="70"/>
      <c r="C1186" s="70"/>
      <c r="D1186" s="70"/>
      <c r="E1186" s="70"/>
      <c r="F1186" s="70"/>
      <c r="G1186" s="296"/>
      <c r="H1186" s="296"/>
      <c r="I1186" s="296"/>
      <c r="J1186" s="296"/>
      <c r="K1186" s="296"/>
      <c r="L1186" s="296"/>
      <c r="M1186" s="296"/>
      <c r="N1186" s="296"/>
      <c r="O1186" s="296"/>
      <c r="P1186" s="296"/>
      <c r="Q1186" s="296"/>
      <c r="R1186" s="296"/>
      <c r="S1186" s="296"/>
      <c r="T1186" s="296"/>
      <c r="U1186" s="296"/>
      <c r="V1186" s="296"/>
      <c r="W1186" s="296"/>
      <c r="X1186" s="69"/>
      <c r="Y1186" s="69"/>
      <c r="Z1186" s="69"/>
      <c r="AA1186" s="69"/>
      <c r="AB1186" s="69"/>
    </row>
    <row r="1187" spans="1:28">
      <c r="A1187" s="70"/>
      <c r="B1187" s="70"/>
      <c r="C1187" s="70"/>
      <c r="D1187" s="70"/>
      <c r="E1187" s="70"/>
      <c r="F1187" s="70"/>
      <c r="G1187" s="296"/>
      <c r="H1187" s="296"/>
      <c r="I1187" s="296"/>
      <c r="J1187" s="296"/>
      <c r="K1187" s="296"/>
      <c r="L1187" s="296"/>
      <c r="M1187" s="296"/>
      <c r="N1187" s="296"/>
      <c r="O1187" s="296"/>
      <c r="P1187" s="296"/>
      <c r="Q1187" s="296"/>
      <c r="R1187" s="296"/>
      <c r="S1187" s="296"/>
      <c r="T1187" s="296"/>
      <c r="U1187" s="296"/>
      <c r="V1187" s="296"/>
      <c r="W1187" s="296"/>
      <c r="X1187" s="69"/>
      <c r="Y1187" s="69"/>
      <c r="Z1187" s="69"/>
      <c r="AA1187" s="69"/>
      <c r="AB1187" s="69"/>
    </row>
    <row r="1188" spans="1:28">
      <c r="A1188" s="304"/>
      <c r="B1188" s="70"/>
      <c r="C1188" s="70"/>
      <c r="D1188" s="70"/>
      <c r="E1188" s="70"/>
      <c r="F1188" s="70"/>
      <c r="G1188" s="296"/>
      <c r="H1188" s="296"/>
      <c r="I1188" s="296"/>
      <c r="J1188" s="296"/>
      <c r="K1188" s="296"/>
      <c r="L1188" s="296"/>
      <c r="M1188" s="296"/>
      <c r="N1188" s="296"/>
      <c r="O1188" s="296"/>
      <c r="P1188" s="296"/>
      <c r="Q1188" s="296"/>
      <c r="R1188" s="296"/>
      <c r="S1188" s="296"/>
      <c r="T1188" s="296"/>
      <c r="U1188" s="296"/>
      <c r="V1188" s="296"/>
      <c r="W1188" s="296"/>
      <c r="X1188" s="69"/>
      <c r="Y1188" s="69"/>
      <c r="Z1188" s="69"/>
      <c r="AA1188" s="69"/>
      <c r="AB1188" s="69"/>
    </row>
    <row r="1189" spans="1:28">
      <c r="A1189" s="304"/>
      <c r="B1189" s="70"/>
      <c r="C1189" s="70"/>
      <c r="D1189" s="70"/>
      <c r="E1189" s="70"/>
      <c r="F1189" s="70"/>
      <c r="G1189" s="296"/>
      <c r="H1189" s="296"/>
      <c r="I1189" s="296"/>
      <c r="J1189" s="296"/>
      <c r="K1189" s="296"/>
      <c r="L1189" s="296"/>
      <c r="M1189" s="296"/>
      <c r="N1189" s="296"/>
      <c r="O1189" s="296"/>
      <c r="P1189" s="296"/>
      <c r="Q1189" s="296"/>
      <c r="R1189" s="296"/>
      <c r="S1189" s="296"/>
      <c r="T1189" s="296"/>
      <c r="U1189" s="296"/>
      <c r="V1189" s="296"/>
      <c r="W1189" s="296"/>
      <c r="X1189" s="69"/>
      <c r="Y1189" s="69"/>
      <c r="Z1189" s="69"/>
      <c r="AA1189" s="69"/>
      <c r="AB1189" s="69"/>
    </row>
    <row r="1190" spans="1:28">
      <c r="A1190" s="304"/>
      <c r="B1190" s="70"/>
      <c r="C1190" s="70"/>
      <c r="D1190" s="70"/>
      <c r="E1190" s="70"/>
      <c r="F1190" s="70"/>
      <c r="G1190" s="296"/>
      <c r="H1190" s="296"/>
      <c r="I1190" s="296"/>
      <c r="J1190" s="296"/>
      <c r="K1190" s="296"/>
      <c r="L1190" s="296"/>
      <c r="M1190" s="296"/>
      <c r="N1190" s="296"/>
      <c r="O1190" s="296"/>
      <c r="P1190" s="296"/>
      <c r="Q1190" s="296"/>
      <c r="R1190" s="296"/>
      <c r="S1190" s="296"/>
      <c r="T1190" s="296"/>
      <c r="U1190" s="296"/>
      <c r="V1190" s="296"/>
      <c r="W1190" s="296"/>
      <c r="X1190" s="69"/>
      <c r="Y1190" s="69"/>
      <c r="Z1190" s="69"/>
      <c r="AA1190" s="69"/>
      <c r="AB1190" s="69"/>
    </row>
    <row r="1191" spans="1:28">
      <c r="A1191" s="304"/>
      <c r="B1191" s="70"/>
      <c r="C1191" s="70"/>
      <c r="D1191" s="70"/>
      <c r="E1191" s="70"/>
      <c r="F1191" s="70"/>
      <c r="G1191" s="296"/>
      <c r="H1191" s="296"/>
      <c r="I1191" s="296"/>
      <c r="J1191" s="296"/>
      <c r="K1191" s="296"/>
      <c r="L1191" s="296"/>
      <c r="M1191" s="296"/>
      <c r="N1191" s="296"/>
      <c r="O1191" s="296"/>
      <c r="P1191" s="296"/>
      <c r="Q1191" s="296"/>
      <c r="R1191" s="296"/>
      <c r="S1191" s="296"/>
      <c r="T1191" s="296"/>
      <c r="U1191" s="296"/>
      <c r="V1191" s="296"/>
      <c r="W1191" s="296"/>
      <c r="X1191" s="69"/>
      <c r="Y1191" s="69"/>
      <c r="Z1191" s="69"/>
      <c r="AA1191" s="69"/>
      <c r="AB1191" s="69"/>
    </row>
    <row r="1192" spans="1:28" ht="14.1">
      <c r="A1192" s="137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69"/>
      <c r="Y1192" s="69"/>
      <c r="Z1192" s="69"/>
      <c r="AA1192" s="69"/>
      <c r="AB1192" s="69"/>
    </row>
    <row r="1193" spans="1:28" ht="14.1">
      <c r="A1193" s="137"/>
      <c r="B1193" s="70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69"/>
      <c r="Y1193" s="69"/>
      <c r="Z1193" s="69"/>
      <c r="AA1193" s="69"/>
      <c r="AB1193" s="69"/>
    </row>
    <row r="1194" spans="1:28" ht="14.1">
      <c r="A1194" s="137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69"/>
      <c r="Y1194" s="69"/>
      <c r="Z1194" s="69"/>
      <c r="AA1194" s="69"/>
      <c r="AB1194" s="69"/>
    </row>
    <row r="1195" spans="1:28">
      <c r="A1195" s="70"/>
      <c r="B1195" s="70"/>
      <c r="C1195" s="70"/>
      <c r="D1195" s="70"/>
      <c r="E1195" s="70"/>
      <c r="F1195" s="7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299"/>
      <c r="Y1195" s="299"/>
      <c r="Z1195" s="299"/>
      <c r="AA1195" s="69"/>
      <c r="AB1195" s="69"/>
    </row>
    <row r="1196" spans="1:28" ht="16.5">
      <c r="A1196" s="70"/>
      <c r="B1196" s="70"/>
      <c r="C1196" s="70"/>
      <c r="D1196" s="70"/>
      <c r="E1196" s="70"/>
      <c r="F1196" s="70"/>
      <c r="G1196" s="305"/>
      <c r="H1196" s="305"/>
      <c r="I1196" s="305"/>
      <c r="J1196" s="305"/>
      <c r="K1196" s="305"/>
      <c r="L1196" s="305"/>
      <c r="M1196" s="305"/>
      <c r="N1196" s="305"/>
      <c r="O1196" s="305"/>
      <c r="P1196" s="305"/>
      <c r="Q1196" s="305"/>
      <c r="R1196" s="305"/>
      <c r="S1196" s="305"/>
      <c r="T1196" s="305"/>
      <c r="U1196" s="305"/>
      <c r="V1196" s="305"/>
      <c r="W1196" s="305"/>
      <c r="X1196" s="299"/>
      <c r="Y1196" s="299"/>
      <c r="Z1196" s="299"/>
      <c r="AA1196" s="69"/>
      <c r="AB1196" s="69"/>
    </row>
    <row r="1197" spans="1:28">
      <c r="A1197" s="70"/>
      <c r="B1197" s="70"/>
      <c r="C1197" s="70"/>
      <c r="D1197" s="70"/>
      <c r="E1197" s="70"/>
      <c r="F1197" s="7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299"/>
      <c r="Y1197" s="299"/>
      <c r="Z1197" s="299"/>
      <c r="AA1197" s="69"/>
      <c r="AB1197" s="69"/>
    </row>
    <row r="1198" spans="1:28" ht="14.1">
      <c r="A1198" s="137"/>
      <c r="B1198" s="70"/>
      <c r="C1198" s="70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69"/>
      <c r="Y1198" s="69"/>
      <c r="Z1198" s="69"/>
      <c r="AA1198" s="69"/>
      <c r="AB1198" s="69"/>
    </row>
    <row r="1199" spans="1:28" ht="14.1">
      <c r="A1199" s="137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>
      <c r="A1200" s="70"/>
      <c r="B1200" s="70"/>
      <c r="C1200" s="70"/>
      <c r="D1200" s="70"/>
      <c r="E1200" s="70"/>
      <c r="F1200" s="7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299"/>
      <c r="Y1200" s="299"/>
      <c r="Z1200" s="299"/>
      <c r="AA1200" s="69"/>
      <c r="AB1200" s="69"/>
    </row>
    <row r="1201" spans="1:28" ht="16.5">
      <c r="A1201" s="70"/>
      <c r="B1201" s="70"/>
      <c r="C1201" s="70"/>
      <c r="D1201" s="70"/>
      <c r="E1201" s="70"/>
      <c r="F1201" s="70"/>
      <c r="G1201" s="305"/>
      <c r="H1201" s="305"/>
      <c r="I1201" s="305"/>
      <c r="J1201" s="305"/>
      <c r="K1201" s="305"/>
      <c r="L1201" s="305"/>
      <c r="M1201" s="305"/>
      <c r="N1201" s="305"/>
      <c r="O1201" s="305"/>
      <c r="P1201" s="305"/>
      <c r="Q1201" s="305"/>
      <c r="R1201" s="305"/>
      <c r="S1201" s="305"/>
      <c r="T1201" s="305"/>
      <c r="U1201" s="305"/>
      <c r="V1201" s="305"/>
      <c r="W1201" s="305"/>
      <c r="X1201" s="299"/>
      <c r="Y1201" s="299"/>
      <c r="Z1201" s="299"/>
      <c r="AA1201" s="69"/>
      <c r="AB1201" s="69"/>
    </row>
    <row r="1202" spans="1:28">
      <c r="A1202" s="70"/>
      <c r="B1202" s="70"/>
      <c r="C1202" s="70"/>
      <c r="D1202" s="70"/>
      <c r="E1202" s="70"/>
      <c r="F1202" s="7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299"/>
      <c r="Y1202" s="299"/>
      <c r="Z1202" s="299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69"/>
      <c r="Y1203" s="69"/>
      <c r="Z1203" s="69"/>
      <c r="AA1203" s="69"/>
      <c r="AB1203" s="69"/>
    </row>
    <row r="1204" spans="1:28" ht="14.1">
      <c r="A1204" s="137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>
      <c r="A1205" s="70"/>
      <c r="B1205" s="70"/>
      <c r="C1205" s="70"/>
      <c r="D1205" s="70"/>
      <c r="E1205" s="70"/>
      <c r="F1205" s="7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299"/>
      <c r="Y1205" s="299"/>
      <c r="Z1205" s="299"/>
      <c r="AA1205" s="69"/>
      <c r="AB1205" s="69"/>
    </row>
    <row r="1206" spans="1:28" ht="16.5">
      <c r="A1206" s="70"/>
      <c r="B1206" s="70"/>
      <c r="C1206" s="70"/>
      <c r="D1206" s="70"/>
      <c r="E1206" s="70"/>
      <c r="F1206" s="70"/>
      <c r="G1206" s="305"/>
      <c r="H1206" s="305"/>
      <c r="I1206" s="305"/>
      <c r="J1206" s="305"/>
      <c r="K1206" s="305"/>
      <c r="L1206" s="305"/>
      <c r="M1206" s="305"/>
      <c r="N1206" s="305"/>
      <c r="O1206" s="305"/>
      <c r="P1206" s="305"/>
      <c r="Q1206" s="305"/>
      <c r="R1206" s="305"/>
      <c r="S1206" s="305"/>
      <c r="T1206" s="305"/>
      <c r="U1206" s="305"/>
      <c r="V1206" s="305"/>
      <c r="W1206" s="305"/>
      <c r="X1206" s="299"/>
      <c r="Y1206" s="299"/>
      <c r="Z1206" s="299"/>
      <c r="AA1206" s="69"/>
      <c r="AB1206" s="69"/>
    </row>
    <row r="1207" spans="1:28">
      <c r="A1207" s="70"/>
      <c r="B1207" s="70"/>
      <c r="C1207" s="70"/>
      <c r="D1207" s="70"/>
      <c r="E1207" s="70"/>
      <c r="F1207" s="7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299"/>
      <c r="Y1207" s="299"/>
      <c r="Z1207" s="299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299"/>
      <c r="Y1208" s="299"/>
      <c r="Z1208" s="299"/>
      <c r="AA1208" s="69"/>
      <c r="AB1208" s="69"/>
    </row>
    <row r="1209" spans="1:28" ht="14.1">
      <c r="A1209" s="137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>
      <c r="A1210" s="70"/>
      <c r="B1210" s="70"/>
      <c r="C1210" s="70"/>
      <c r="D1210" s="70"/>
      <c r="E1210" s="70"/>
      <c r="F1210" s="7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299"/>
      <c r="Y1210" s="299"/>
      <c r="Z1210" s="299"/>
      <c r="AA1210" s="69"/>
      <c r="AB1210" s="69"/>
    </row>
    <row r="1211" spans="1:28" ht="16.5">
      <c r="A1211" s="70"/>
      <c r="B1211" s="70"/>
      <c r="C1211" s="70"/>
      <c r="D1211" s="70"/>
      <c r="E1211" s="70"/>
      <c r="F1211" s="70"/>
      <c r="G1211" s="305"/>
      <c r="H1211" s="305"/>
      <c r="I1211" s="305"/>
      <c r="J1211" s="305"/>
      <c r="K1211" s="305"/>
      <c r="L1211" s="305"/>
      <c r="M1211" s="305"/>
      <c r="N1211" s="305"/>
      <c r="O1211" s="305"/>
      <c r="P1211" s="305"/>
      <c r="Q1211" s="305"/>
      <c r="R1211" s="305"/>
      <c r="S1211" s="305"/>
      <c r="T1211" s="305"/>
      <c r="U1211" s="305"/>
      <c r="V1211" s="305"/>
      <c r="W1211" s="305"/>
      <c r="X1211" s="299"/>
      <c r="Y1211" s="299"/>
      <c r="Z1211" s="299"/>
      <c r="AA1211" s="69"/>
      <c r="AB1211" s="69"/>
    </row>
    <row r="1212" spans="1:28">
      <c r="A1212" s="70"/>
      <c r="B1212" s="70"/>
      <c r="C1212" s="70"/>
      <c r="D1212" s="70"/>
      <c r="E1212" s="70"/>
      <c r="F1212" s="7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299"/>
      <c r="Y1212" s="299"/>
      <c r="Z1212" s="299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299"/>
      <c r="Y1213" s="299"/>
      <c r="Z1213" s="299"/>
      <c r="AA1213" s="69"/>
      <c r="AB1213" s="69"/>
    </row>
    <row r="1214" spans="1:28" ht="14.1">
      <c r="A1214" s="137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>
      <c r="A1215" s="70"/>
      <c r="B1215" s="70"/>
      <c r="C1215" s="70"/>
      <c r="D1215" s="70"/>
      <c r="E1215" s="70"/>
      <c r="F1215" s="7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299"/>
      <c r="Y1215" s="299"/>
      <c r="Z1215" s="299"/>
      <c r="AA1215" s="69"/>
      <c r="AB1215" s="69"/>
    </row>
    <row r="1216" spans="1:28" ht="16.5">
      <c r="A1216" s="70"/>
      <c r="B1216" s="70"/>
      <c r="C1216" s="70"/>
      <c r="D1216" s="70"/>
      <c r="E1216" s="70"/>
      <c r="F1216" s="70"/>
      <c r="G1216" s="305"/>
      <c r="H1216" s="305"/>
      <c r="I1216" s="305"/>
      <c r="J1216" s="305"/>
      <c r="K1216" s="305"/>
      <c r="L1216" s="305"/>
      <c r="M1216" s="305"/>
      <c r="N1216" s="305"/>
      <c r="O1216" s="305"/>
      <c r="P1216" s="305"/>
      <c r="Q1216" s="305"/>
      <c r="R1216" s="305"/>
      <c r="S1216" s="305"/>
      <c r="T1216" s="305"/>
      <c r="U1216" s="305"/>
      <c r="V1216" s="305"/>
      <c r="W1216" s="305"/>
      <c r="X1216" s="299"/>
      <c r="Y1216" s="299"/>
      <c r="Z1216" s="299"/>
      <c r="AA1216" s="69"/>
      <c r="AB1216" s="69"/>
    </row>
    <row r="1217" spans="1:28">
      <c r="A1217" s="70"/>
      <c r="B1217" s="70"/>
      <c r="C1217" s="70"/>
      <c r="D1217" s="70"/>
      <c r="E1217" s="70"/>
      <c r="F1217" s="7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299"/>
      <c r="Y1217" s="299"/>
      <c r="Z1217" s="299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69"/>
      <c r="Y1218" s="69"/>
      <c r="Z1218" s="69"/>
      <c r="AA1218" s="69"/>
      <c r="AB1218" s="69"/>
    </row>
    <row r="1219" spans="1:28" ht="14.1">
      <c r="A1219" s="137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299"/>
      <c r="Y1220" s="299"/>
      <c r="Z1220" s="299"/>
      <c r="AA1220" s="69"/>
      <c r="AB1220" s="69"/>
    </row>
    <row r="1221" spans="1:28" ht="16.5">
      <c r="A1221" s="70"/>
      <c r="B1221" s="70"/>
      <c r="C1221" s="70"/>
      <c r="D1221" s="70"/>
      <c r="E1221" s="70"/>
      <c r="F1221" s="70"/>
      <c r="G1221" s="305"/>
      <c r="H1221" s="305"/>
      <c r="I1221" s="305"/>
      <c r="J1221" s="305"/>
      <c r="K1221" s="305"/>
      <c r="L1221" s="305"/>
      <c r="M1221" s="305"/>
      <c r="N1221" s="305"/>
      <c r="O1221" s="305"/>
      <c r="P1221" s="305"/>
      <c r="Q1221" s="305"/>
      <c r="R1221" s="305"/>
      <c r="S1221" s="305"/>
      <c r="T1221" s="305"/>
      <c r="U1221" s="305"/>
      <c r="V1221" s="305"/>
      <c r="W1221" s="305"/>
      <c r="X1221" s="299"/>
      <c r="Y1221" s="299"/>
      <c r="Z1221" s="299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299"/>
      <c r="Y1222" s="299"/>
      <c r="Z1222" s="299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 ht="14.1">
      <c r="A1224" s="137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299"/>
      <c r="Y1225" s="299"/>
      <c r="Z1225" s="299"/>
      <c r="AA1225" s="69"/>
      <c r="AB1225" s="69"/>
    </row>
    <row r="1226" spans="1:28" ht="16.5">
      <c r="A1226" s="70"/>
      <c r="B1226" s="70"/>
      <c r="C1226" s="70"/>
      <c r="D1226" s="70"/>
      <c r="E1226" s="70"/>
      <c r="F1226" s="70"/>
      <c r="G1226" s="305"/>
      <c r="H1226" s="305"/>
      <c r="I1226" s="305"/>
      <c r="J1226" s="305"/>
      <c r="K1226" s="305"/>
      <c r="L1226" s="305"/>
      <c r="M1226" s="305"/>
      <c r="N1226" s="305"/>
      <c r="O1226" s="305"/>
      <c r="P1226" s="305"/>
      <c r="Q1226" s="305"/>
      <c r="R1226" s="305"/>
      <c r="S1226" s="305"/>
      <c r="T1226" s="305"/>
      <c r="U1226" s="305"/>
      <c r="V1226" s="305"/>
      <c r="W1226" s="305"/>
      <c r="X1226" s="299"/>
      <c r="Y1226" s="299"/>
      <c r="Z1226" s="299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299"/>
      <c r="Y1227" s="299"/>
      <c r="Z1227" s="299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 ht="14.1">
      <c r="A1229" s="137"/>
      <c r="B1229" s="70"/>
      <c r="C1229" s="70"/>
      <c r="D1229" s="70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299"/>
      <c r="Y1230" s="299"/>
      <c r="Z1230" s="299"/>
      <c r="AA1230" s="69"/>
      <c r="AB1230" s="69"/>
    </row>
    <row r="1231" spans="1:28" ht="16.5">
      <c r="A1231" s="70"/>
      <c r="B1231" s="70"/>
      <c r="C1231" s="70"/>
      <c r="D1231" s="70"/>
      <c r="E1231" s="70"/>
      <c r="F1231" s="70"/>
      <c r="G1231" s="305"/>
      <c r="H1231" s="305"/>
      <c r="I1231" s="305"/>
      <c r="J1231" s="305"/>
      <c r="K1231" s="305"/>
      <c r="L1231" s="305"/>
      <c r="M1231" s="305"/>
      <c r="N1231" s="305"/>
      <c r="O1231" s="305"/>
      <c r="P1231" s="305"/>
      <c r="Q1231" s="305"/>
      <c r="R1231" s="305"/>
      <c r="S1231" s="305"/>
      <c r="T1231" s="305"/>
      <c r="U1231" s="305"/>
      <c r="V1231" s="305"/>
      <c r="W1231" s="305"/>
      <c r="X1231" s="306"/>
      <c r="Y1231" s="306"/>
      <c r="Z1231" s="306"/>
      <c r="AA1231" s="69"/>
      <c r="AB1231" s="69"/>
    </row>
    <row r="1232" spans="1:28">
      <c r="A1232" s="70"/>
      <c r="B1232" s="70"/>
      <c r="C1232" s="70"/>
      <c r="D1232" s="70"/>
      <c r="E1232" s="70"/>
      <c r="F1232" s="7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299"/>
      <c r="Y1232" s="299"/>
      <c r="Z1232" s="299"/>
      <c r="AA1232" s="69"/>
      <c r="AB1232" s="69"/>
    </row>
    <row r="1233" spans="1:28">
      <c r="A1233" s="70"/>
      <c r="B1233" s="70"/>
      <c r="C1233" s="70"/>
      <c r="D1233" s="70"/>
      <c r="E1233" s="70"/>
      <c r="F1233" s="70"/>
      <c r="G1233" s="70"/>
      <c r="H1233" s="70"/>
      <c r="I1233" s="70"/>
      <c r="J1233" s="158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69"/>
      <c r="Y1233" s="69"/>
      <c r="Z1233" s="69"/>
      <c r="AA1233" s="69"/>
      <c r="AB1233" s="69"/>
    </row>
    <row r="1234" spans="1:28" ht="14.1">
      <c r="A1234" s="137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69"/>
      <c r="Y1234" s="69"/>
      <c r="Z1234" s="69"/>
      <c r="AA1234" s="69"/>
      <c r="AB1234" s="69"/>
    </row>
    <row r="1235" spans="1:28">
      <c r="A1235" s="70"/>
      <c r="B1235" s="70"/>
      <c r="C1235" s="70"/>
      <c r="D1235" s="70"/>
      <c r="E1235" s="70"/>
      <c r="F1235" s="70"/>
      <c r="G1235" s="295"/>
      <c r="H1235" s="295"/>
      <c r="I1235" s="295"/>
      <c r="J1235" s="295"/>
      <c r="K1235" s="295"/>
      <c r="L1235" s="295"/>
      <c r="M1235" s="295"/>
      <c r="N1235" s="295"/>
      <c r="O1235" s="295"/>
      <c r="P1235" s="295"/>
      <c r="Q1235" s="295"/>
      <c r="R1235" s="295"/>
      <c r="S1235" s="295"/>
      <c r="T1235" s="295"/>
      <c r="U1235" s="295"/>
      <c r="V1235" s="295"/>
      <c r="W1235" s="295"/>
      <c r="X1235" s="307"/>
      <c r="Y1235" s="307"/>
      <c r="Z1235" s="307"/>
      <c r="AA1235" s="69"/>
      <c r="AB1235" s="69"/>
    </row>
    <row r="1236" spans="1:28" ht="16.5">
      <c r="A1236" s="70"/>
      <c r="B1236" s="70"/>
      <c r="C1236" s="70"/>
      <c r="D1236" s="70"/>
      <c r="E1236" s="70"/>
      <c r="F1236" s="70"/>
      <c r="G1236" s="308"/>
      <c r="H1236" s="308"/>
      <c r="I1236" s="308"/>
      <c r="J1236" s="308"/>
      <c r="K1236" s="308"/>
      <c r="L1236" s="308"/>
      <c r="M1236" s="308"/>
      <c r="N1236" s="308"/>
      <c r="O1236" s="308"/>
      <c r="P1236" s="308"/>
      <c r="Q1236" s="308"/>
      <c r="R1236" s="308"/>
      <c r="S1236" s="308"/>
      <c r="T1236" s="308"/>
      <c r="U1236" s="309"/>
      <c r="V1236" s="308"/>
      <c r="W1236" s="308"/>
      <c r="X1236" s="310"/>
      <c r="Y1236" s="310"/>
      <c r="Z1236" s="310"/>
      <c r="AA1236" s="69"/>
      <c r="AB1236" s="69"/>
    </row>
    <row r="1237" spans="1:28">
      <c r="A1237" s="70"/>
      <c r="B1237" s="70"/>
      <c r="C1237" s="70"/>
      <c r="D1237" s="70"/>
      <c r="E1237" s="70"/>
      <c r="F1237" s="70"/>
      <c r="G1237" s="295"/>
      <c r="H1237" s="295"/>
      <c r="I1237" s="295"/>
      <c r="J1237" s="295"/>
      <c r="K1237" s="295"/>
      <c r="L1237" s="295"/>
      <c r="M1237" s="295"/>
      <c r="N1237" s="295"/>
      <c r="O1237" s="295"/>
      <c r="P1237" s="295"/>
      <c r="Q1237" s="295"/>
      <c r="R1237" s="295"/>
      <c r="S1237" s="295"/>
      <c r="T1237" s="295"/>
      <c r="U1237" s="295"/>
      <c r="V1237" s="295"/>
      <c r="W1237" s="295"/>
      <c r="X1237" s="307"/>
      <c r="Y1237" s="307"/>
      <c r="Z1237" s="307"/>
      <c r="AA1237" s="69"/>
      <c r="AB1237" s="69"/>
    </row>
    <row r="1238" spans="1:28">
      <c r="A1238" s="70"/>
      <c r="B1238" s="70"/>
      <c r="C1238" s="70"/>
      <c r="D1238" s="70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69"/>
      <c r="Y1238" s="69"/>
      <c r="Z1238" s="69"/>
      <c r="AA1238" s="69"/>
      <c r="AB1238" s="69"/>
    </row>
    <row r="1239" spans="1:28">
      <c r="A1239" s="70"/>
      <c r="B1239" s="70"/>
      <c r="C1239" s="70"/>
      <c r="D1239" s="70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69"/>
      <c r="Y1239" s="69"/>
      <c r="Z1239" s="69"/>
      <c r="AA1239" s="69"/>
      <c r="AB1239" s="69"/>
    </row>
    <row r="1240" spans="1:28">
      <c r="A1240" s="70"/>
      <c r="B1240" s="70"/>
      <c r="C1240" s="70"/>
      <c r="D1240" s="70"/>
      <c r="E1240" s="70"/>
      <c r="F1240" s="70"/>
      <c r="G1240" s="219"/>
      <c r="H1240" s="70"/>
      <c r="I1240" s="70"/>
      <c r="J1240" s="70"/>
      <c r="K1240" s="219"/>
      <c r="L1240" s="219"/>
      <c r="M1240" s="70"/>
      <c r="N1240" s="70"/>
      <c r="O1240" s="219"/>
      <c r="P1240" s="219"/>
      <c r="Q1240" s="70"/>
      <c r="R1240" s="70"/>
      <c r="S1240" s="220"/>
      <c r="T1240" s="70"/>
      <c r="U1240" s="70"/>
      <c r="V1240" s="70"/>
      <c r="W1240" s="70"/>
      <c r="X1240" s="69"/>
      <c r="Y1240" s="69"/>
      <c r="Z1240" s="69"/>
      <c r="AA1240" s="69"/>
      <c r="AB1240" s="69"/>
    </row>
    <row r="1241" spans="1:28">
      <c r="A1241" s="70"/>
      <c r="B1241" s="70"/>
      <c r="C1241" s="70"/>
      <c r="D1241" s="70"/>
      <c r="E1241" s="70"/>
      <c r="F1241" s="70"/>
      <c r="G1241" s="219"/>
      <c r="H1241" s="70"/>
      <c r="I1241" s="70"/>
      <c r="J1241" s="70"/>
      <c r="K1241" s="219"/>
      <c r="L1241" s="219"/>
      <c r="M1241" s="70"/>
      <c r="N1241" s="70"/>
      <c r="O1241" s="219"/>
      <c r="P1241" s="219"/>
      <c r="Q1241" s="70"/>
      <c r="R1241" s="70"/>
      <c r="S1241" s="220"/>
      <c r="T1241" s="70"/>
      <c r="U1241" s="70"/>
      <c r="V1241" s="70"/>
      <c r="W1241" s="70"/>
      <c r="X1241" s="69"/>
      <c r="Y1241" s="69"/>
      <c r="Z1241" s="69"/>
      <c r="AA1241" s="69"/>
      <c r="AB1241" s="69"/>
    </row>
    <row r="1242" spans="1:28">
      <c r="A1242" s="70"/>
      <c r="B1242" s="70"/>
      <c r="C1242" s="70"/>
      <c r="D1242" s="70"/>
      <c r="E1242" s="70"/>
      <c r="F1242" s="70"/>
      <c r="G1242" s="219"/>
      <c r="H1242" s="70"/>
      <c r="I1242" s="70"/>
      <c r="J1242" s="70"/>
      <c r="K1242" s="219"/>
      <c r="L1242" s="219"/>
      <c r="M1242" s="70"/>
      <c r="N1242" s="70"/>
      <c r="O1242" s="219"/>
      <c r="P1242" s="219"/>
      <c r="Q1242" s="70"/>
      <c r="R1242" s="70"/>
      <c r="S1242" s="220"/>
      <c r="T1242" s="70"/>
      <c r="U1242" s="70"/>
      <c r="V1242" s="70"/>
      <c r="W1242" s="70"/>
      <c r="X1242" s="69"/>
      <c r="Y1242" s="69"/>
      <c r="Z1242" s="69"/>
      <c r="AA1242" s="69"/>
      <c r="AB1242" s="69"/>
    </row>
    <row r="1243" spans="1:28">
      <c r="A1243" s="70"/>
      <c r="B1243" s="70"/>
      <c r="C1243" s="70"/>
      <c r="D1243" s="70"/>
      <c r="E1243" s="70"/>
      <c r="F1243" s="70"/>
      <c r="G1243" s="220"/>
      <c r="H1243" s="70"/>
      <c r="I1243" s="70"/>
      <c r="J1243" s="70"/>
      <c r="K1243" s="220"/>
      <c r="L1243" s="220"/>
      <c r="M1243" s="70"/>
      <c r="N1243" s="70"/>
      <c r="O1243" s="220"/>
      <c r="P1243" s="220"/>
      <c r="Q1243" s="70"/>
      <c r="R1243" s="70"/>
      <c r="S1243" s="149"/>
      <c r="T1243" s="70"/>
      <c r="U1243" s="70"/>
      <c r="V1243" s="70"/>
      <c r="W1243" s="70"/>
      <c r="X1243" s="69"/>
      <c r="Y1243" s="69"/>
      <c r="Z1243" s="69"/>
      <c r="AA1243" s="69"/>
      <c r="AB1243" s="69"/>
    </row>
    <row r="1244" spans="1:28">
      <c r="A1244" s="70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295"/>
      <c r="T1244" s="70"/>
      <c r="U1244" s="70"/>
      <c r="V1244" s="70"/>
      <c r="W1244" s="70"/>
      <c r="X1244" s="69"/>
      <c r="Y1244" s="69"/>
      <c r="Z1244" s="69"/>
      <c r="AA1244" s="69"/>
      <c r="AB1244" s="69"/>
    </row>
    <row r="1245" spans="1:28">
      <c r="A1245" s="70"/>
      <c r="B1245" s="70"/>
      <c r="C1245" s="70"/>
      <c r="D1245" s="70"/>
      <c r="E1245" s="70"/>
      <c r="F1245" s="70"/>
      <c r="G1245" s="216"/>
      <c r="H1245" s="70"/>
      <c r="I1245" s="70"/>
      <c r="J1245" s="70"/>
      <c r="K1245" s="216"/>
      <c r="L1245" s="216"/>
      <c r="M1245" s="70"/>
      <c r="N1245" s="70"/>
      <c r="O1245" s="216"/>
      <c r="P1245" s="216"/>
      <c r="Q1245" s="70"/>
      <c r="R1245" s="70"/>
      <c r="S1245" s="149"/>
      <c r="T1245" s="70"/>
      <c r="U1245" s="70"/>
      <c r="V1245" s="70"/>
      <c r="W1245" s="70"/>
      <c r="X1245" s="69"/>
      <c r="Y1245" s="69"/>
      <c r="Z1245" s="69"/>
      <c r="AA1245" s="69"/>
      <c r="AB1245" s="69"/>
    </row>
    <row r="1246" spans="1:28">
      <c r="A1246" s="70"/>
      <c r="B1246" s="70"/>
      <c r="C1246" s="70"/>
      <c r="D1246" s="70"/>
      <c r="E1246" s="70"/>
      <c r="F1246" s="70"/>
      <c r="G1246" s="216"/>
      <c r="H1246" s="70"/>
      <c r="I1246" s="70"/>
      <c r="J1246" s="70"/>
      <c r="K1246" s="216"/>
      <c r="L1246" s="216"/>
      <c r="M1246" s="70"/>
      <c r="N1246" s="70"/>
      <c r="O1246" s="216"/>
      <c r="P1246" s="216"/>
      <c r="Q1246" s="70"/>
      <c r="R1246" s="70"/>
      <c r="S1246" s="219"/>
      <c r="T1246" s="70"/>
      <c r="U1246" s="70"/>
      <c r="V1246" s="70"/>
      <c r="W1246" s="70"/>
      <c r="X1246" s="69"/>
      <c r="Y1246" s="69"/>
      <c r="Z1246" s="69"/>
      <c r="AA1246" s="69"/>
      <c r="AB1246" s="69"/>
    </row>
    <row r="1247" spans="1:28">
      <c r="A1247" s="70"/>
      <c r="B1247" s="70"/>
      <c r="C1247" s="70"/>
      <c r="D1247" s="70"/>
      <c r="E1247" s="70"/>
      <c r="F1247" s="70"/>
      <c r="G1247" s="216"/>
      <c r="H1247" s="70"/>
      <c r="I1247" s="70"/>
      <c r="J1247" s="70"/>
      <c r="K1247" s="216"/>
      <c r="L1247" s="216"/>
      <c r="M1247" s="70"/>
      <c r="N1247" s="70"/>
      <c r="O1247" s="216"/>
      <c r="P1247" s="216"/>
      <c r="Q1247" s="70"/>
      <c r="R1247" s="70"/>
      <c r="S1247" s="70"/>
      <c r="T1247" s="70"/>
      <c r="U1247" s="70"/>
      <c r="V1247" s="70"/>
      <c r="W1247" s="70"/>
      <c r="X1247" s="69"/>
      <c r="Y1247" s="69"/>
      <c r="Z1247" s="69"/>
      <c r="AA1247" s="69"/>
      <c r="AB1247" s="69"/>
    </row>
    <row r="1248" spans="1:28">
      <c r="A1248" s="70"/>
      <c r="B1248" s="70"/>
      <c r="C1248" s="70"/>
      <c r="D1248" s="70"/>
      <c r="E1248" s="70"/>
      <c r="F1248" s="70"/>
      <c r="G1248" s="221"/>
      <c r="H1248" s="70"/>
      <c r="I1248" s="70"/>
      <c r="J1248" s="70"/>
      <c r="K1248" s="221"/>
      <c r="L1248" s="221"/>
      <c r="M1248" s="70"/>
      <c r="N1248" s="70"/>
      <c r="O1248" s="221"/>
      <c r="P1248" s="221"/>
      <c r="Q1248" s="70"/>
      <c r="R1248" s="70"/>
      <c r="S1248" s="70"/>
      <c r="T1248" s="70"/>
      <c r="U1248" s="70"/>
      <c r="V1248" s="70"/>
      <c r="W1248" s="70"/>
      <c r="X1248" s="69"/>
      <c r="Y1248" s="69"/>
      <c r="Z1248" s="69"/>
      <c r="AA1248" s="69"/>
      <c r="AB1248" s="69"/>
    </row>
    <row r="1249" spans="1:28">
      <c r="A1249" s="70"/>
      <c r="B1249" s="70"/>
      <c r="C1249" s="70"/>
      <c r="D1249" s="70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311"/>
      <c r="T1249" s="70"/>
      <c r="U1249" s="70"/>
      <c r="V1249" s="70"/>
      <c r="W1249" s="70"/>
      <c r="X1249" s="69"/>
      <c r="Y1249" s="69"/>
      <c r="Z1249" s="69"/>
      <c r="AA1249" s="69"/>
      <c r="AB1249" s="69"/>
    </row>
    <row r="1250" spans="1:28">
      <c r="A1250" s="70"/>
      <c r="B1250" s="70"/>
      <c r="C1250" s="70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69"/>
      <c r="Y1250" s="69"/>
      <c r="Z1250" s="69"/>
      <c r="AA1250" s="69"/>
      <c r="AB1250" s="69"/>
    </row>
    <row r="1251" spans="1:28"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64"/>
      <c r="Y1251" s="64"/>
      <c r="Z1251" s="64"/>
      <c r="AA1251" s="64"/>
      <c r="AB1251" s="58"/>
    </row>
    <row r="1252" spans="1:28"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64"/>
      <c r="Y1252" s="64"/>
      <c r="Z1252" s="64"/>
      <c r="AA1252" s="64"/>
      <c r="AB1252" s="58"/>
    </row>
    <row r="1253" spans="1:28"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64"/>
      <c r="Y1253" s="64"/>
      <c r="Z1253" s="64"/>
      <c r="AA1253" s="64"/>
      <c r="AB1253" s="58"/>
    </row>
    <row r="1254" spans="1:28"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64"/>
      <c r="AB1254" s="58"/>
    </row>
    <row r="1255" spans="1:28"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64"/>
      <c r="AB1255" s="58"/>
    </row>
    <row r="1256" spans="1:28"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64"/>
      <c r="AB1256" s="58"/>
    </row>
    <row r="1257" spans="1:28"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64"/>
      <c r="AB1257" s="58"/>
    </row>
    <row r="1258" spans="1:28"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64"/>
      <c r="AB1258" s="58"/>
    </row>
    <row r="1259" spans="1:28"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64"/>
      <c r="AB1259" s="58"/>
    </row>
    <row r="1260" spans="1:28">
      <c r="X1260" s="60"/>
      <c r="Y1260" s="60"/>
      <c r="Z1260" s="60"/>
      <c r="AA1260" s="64"/>
      <c r="AB1260" s="58"/>
    </row>
    <row r="1261" spans="1:28">
      <c r="F1261" s="148"/>
      <c r="G1261" s="148"/>
      <c r="H1261" s="148"/>
      <c r="I1261" s="148"/>
      <c r="J1261" s="148"/>
      <c r="K1261" s="148"/>
      <c r="L1261" s="148"/>
      <c r="M1261" s="148"/>
      <c r="N1261" s="148"/>
      <c r="O1261" s="148"/>
      <c r="P1261" s="148"/>
      <c r="Q1261" s="148"/>
      <c r="R1261" s="148"/>
      <c r="S1261" s="148"/>
      <c r="T1261" s="148"/>
      <c r="U1261" s="148"/>
      <c r="V1261" s="148"/>
      <c r="W1261" s="148"/>
      <c r="X1261" s="74"/>
      <c r="Y1261" s="74"/>
      <c r="Z1261" s="74"/>
      <c r="AA1261" s="64"/>
      <c r="AB1261" s="58"/>
    </row>
    <row r="1262" spans="1:28">
      <c r="F1262" s="132"/>
      <c r="G1262" s="132"/>
      <c r="H1262" s="132"/>
      <c r="I1262" s="132"/>
      <c r="J1262" s="132"/>
      <c r="K1262" s="132"/>
      <c r="L1262" s="132"/>
      <c r="M1262" s="132"/>
      <c r="N1262" s="132"/>
      <c r="O1262" s="132"/>
      <c r="P1262" s="132"/>
      <c r="Q1262" s="132"/>
      <c r="R1262" s="132"/>
      <c r="S1262" s="132"/>
      <c r="T1262" s="132"/>
      <c r="U1262" s="132"/>
      <c r="V1262" s="132"/>
      <c r="W1262" s="132"/>
      <c r="X1262" s="132"/>
      <c r="Y1262" s="132"/>
      <c r="Z1262" s="132"/>
      <c r="AA1262" s="64"/>
      <c r="AB1262" s="58"/>
    </row>
    <row r="1263" spans="1:28"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64"/>
      <c r="AB1263" s="58"/>
    </row>
  </sheetData>
  <autoFilter ref="D2:E1259" xr:uid="{00000000-0009-0000-0000-000001000000}"/>
  <phoneticPr fontId="0" type="noConversion"/>
  <conditionalFormatting sqref="Y1094">
    <cfRule type="cellIs" dxfId="8" priority="5" stopIfTrue="1" operator="notEqual">
      <formula>""</formula>
    </cfRule>
  </conditionalFormatting>
  <conditionalFormatting sqref="Y1097">
    <cfRule type="cellIs" dxfId="7" priority="4" stopIfTrue="1" operator="notEqual">
      <formula>""</formula>
    </cfRule>
  </conditionalFormatting>
  <conditionalFormatting sqref="Y1096">
    <cfRule type="cellIs" dxfId="6" priority="3" stopIfTrue="1" operator="notEqual">
      <formula>""</formula>
    </cfRule>
  </conditionalFormatting>
  <conditionalFormatting sqref="Y1097">
    <cfRule type="cellIs" dxfId="5" priority="2" stopIfTrue="1" operator="notEqual">
      <formula>""</formula>
    </cfRule>
  </conditionalFormatting>
  <conditionalFormatting sqref="Y1095">
    <cfRule type="cellIs" dxfId="4" priority="1" stopIfTrue="1" operator="notEqual">
      <formula>""</formula>
    </cfRule>
  </conditionalFormatting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June 30, 2022&amp;R&amp;"Times New Roman,Bold"&amp;12Exhibit WSS-29
Page &amp;P of &amp;N</oddHeader>
  </headerFooter>
  <rowBreaks count="22" manualBreakCount="22">
    <brk id="63" max="25" man="1"/>
    <brk id="120" max="25" man="1"/>
    <brk id="177" max="25" man="1"/>
    <brk id="234" max="25" man="1"/>
    <brk id="291" max="25" man="1"/>
    <brk id="348" max="25" man="1"/>
    <brk id="406" max="25" man="1"/>
    <brk id="463" max="25" man="1"/>
    <brk id="520" max="25" man="1"/>
    <brk id="578" max="25" man="1"/>
    <brk id="635" max="25" man="1"/>
    <brk id="692" max="25" man="1"/>
    <brk id="742" max="25" man="1"/>
    <brk id="803" max="25" man="1"/>
    <brk id="948" max="25" man="1"/>
    <brk id="998" max="25" man="1"/>
    <brk id="1049" max="16383" man="1"/>
    <brk id="1101" max="25" man="1"/>
    <brk id="1122" max="16383" man="1"/>
    <brk id="1173" max="16383" man="1"/>
    <brk id="1191" max="16383" man="1"/>
    <brk id="1239" max="34" man="1"/>
  </rowBreaks>
  <colBreaks count="1" manualBreakCount="1">
    <brk id="14" max="1118" man="1"/>
  </colBreaks>
  <ignoredErrors>
    <ignoredError sqref="AA9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89"/>
  <sheetViews>
    <sheetView tabSelected="1" view="pageBreakPreview" topLeftCell="A27" zoomScale="130" zoomScaleNormal="90" zoomScaleSheetLayoutView="130" workbookViewId="0">
      <pane xSplit="1" topLeftCell="B1" activePane="topRight" state="frozen"/>
      <selection activeCell="A27" sqref="A27"/>
      <selection pane="topRight" activeCell="B27" sqref="B27"/>
    </sheetView>
  </sheetViews>
  <sheetFormatPr defaultRowHeight="14.1"/>
  <cols>
    <col min="1" max="1" width="51.26171875" bestFit="1" customWidth="1"/>
    <col min="2" max="2" width="8.83984375" customWidth="1"/>
    <col min="3" max="3" width="14.15625" style="3" customWidth="1"/>
    <col min="4" max="4" width="13.578125" style="3" customWidth="1"/>
    <col min="5" max="5" width="12.578125" style="3" bestFit="1" customWidth="1"/>
    <col min="6" max="6" width="18.83984375" style="8" customWidth="1"/>
    <col min="7" max="7" width="14.83984375" customWidth="1"/>
    <col min="8" max="9" width="14.83984375" hidden="1" customWidth="1"/>
    <col min="10" max="10" width="6.26171875" style="4" customWidth="1"/>
    <col min="11" max="11" width="29.26171875" style="4" customWidth="1"/>
    <col min="12" max="13" width="16.578125" style="4" customWidth="1"/>
    <col min="15" max="17" width="15.68359375" style="4" customWidth="1"/>
    <col min="18" max="18" width="15.68359375" customWidth="1"/>
  </cols>
  <sheetData>
    <row r="1" spans="1:76" ht="17.399999999999999" hidden="1">
      <c r="A1" s="27" t="s">
        <v>597</v>
      </c>
    </row>
    <row r="2" spans="1:76" hidden="1">
      <c r="A2" s="5" t="s">
        <v>1168</v>
      </c>
      <c r="B2" s="20"/>
      <c r="C2" s="247"/>
      <c r="D2" s="247"/>
      <c r="E2" s="247"/>
      <c r="F2" s="247"/>
      <c r="J2" s="468"/>
      <c r="K2" s="468"/>
      <c r="L2" s="468"/>
      <c r="M2" s="468"/>
      <c r="O2" s="468"/>
      <c r="P2" s="468"/>
      <c r="Q2" s="468"/>
      <c r="R2" s="468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4.4" hidden="1" thickBot="1">
      <c r="A8" s="25"/>
      <c r="B8" s="26"/>
      <c r="C8" s="28" t="s">
        <v>1053</v>
      </c>
      <c r="D8" s="28" t="s">
        <v>165</v>
      </c>
      <c r="E8" s="28" t="s">
        <v>1052</v>
      </c>
      <c r="F8" s="30" t="s">
        <v>889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1165</v>
      </c>
      <c r="B10" s="12"/>
      <c r="C10" s="2">
        <f>'Allocation Proforma'!G709</f>
        <v>454866443.01990646</v>
      </c>
      <c r="D10" s="2">
        <f>'Allocation Proforma'!G725</f>
        <v>430736077.22452414</v>
      </c>
      <c r="E10" s="2">
        <f>C10-D10</f>
        <v>24130365.795382321</v>
      </c>
      <c r="F10" s="2">
        <f>'Allocation Proforma'!G729</f>
        <v>1748092633.3997715</v>
      </c>
      <c r="G10" s="18">
        <f>E10/F10</f>
        <v>1.3803825572133709E-2</v>
      </c>
      <c r="H10" s="18"/>
      <c r="I10" s="18"/>
      <c r="J10" s="18"/>
      <c r="M10" s="8"/>
      <c r="R10" s="8"/>
    </row>
    <row r="11" spans="1:76" hidden="1">
      <c r="A11" s="31" t="s">
        <v>1218</v>
      </c>
      <c r="B11" s="12"/>
      <c r="C11" s="4">
        <f>'Allocation Proforma'!H709</f>
        <v>1223087.0109697899</v>
      </c>
      <c r="D11" s="4">
        <f>'Allocation Proforma'!H725</f>
        <v>1048110.4354345733</v>
      </c>
      <c r="E11" s="4">
        <f>C11-D11</f>
        <v>174976.5755352166</v>
      </c>
      <c r="F11" s="4">
        <f>'Allocation Proforma'!H729</f>
        <v>4038872.4825251354</v>
      </c>
      <c r="G11" s="18">
        <f>E11/F11</f>
        <v>4.3323124533463819E-2</v>
      </c>
      <c r="H11" s="18"/>
      <c r="I11" s="18"/>
      <c r="J11" s="18"/>
      <c r="M11" s="8"/>
      <c r="R11" s="8"/>
    </row>
    <row r="12" spans="1:76" hidden="1">
      <c r="A12" s="32" t="s">
        <v>1166</v>
      </c>
      <c r="C12" s="4">
        <f>'Allocation Proforma'!I709</f>
        <v>154024084.06629583</v>
      </c>
      <c r="D12" s="4">
        <f>'Allocation Proforma'!I725</f>
        <v>114695905.53897126</v>
      </c>
      <c r="E12" s="36">
        <f>C12-D12</f>
        <v>39328178.527324572</v>
      </c>
      <c r="F12" s="4">
        <f>'Allocation Proforma'!I729</f>
        <v>403486900.96194375</v>
      </c>
      <c r="G12" s="18">
        <f>E12/F12</f>
        <v>9.7470769022645287E-2</v>
      </c>
      <c r="H12" s="18"/>
      <c r="I12" s="18"/>
      <c r="J12" s="18"/>
    </row>
    <row r="13" spans="1:76" hidden="1">
      <c r="A13" s="32" t="s">
        <v>1167</v>
      </c>
      <c r="C13" s="4">
        <f>'Allocation Proforma'!J709</f>
        <v>10498569.806178493</v>
      </c>
      <c r="D13" s="4">
        <f>'Allocation Proforma'!J725</f>
        <v>7587580.9711611364</v>
      </c>
      <c r="E13" s="4">
        <f>C13-D13</f>
        <v>2910988.835017357</v>
      </c>
      <c r="F13" s="4">
        <f>'Allocation Proforma'!J729</f>
        <v>22814218.96311127</v>
      </c>
      <c r="G13" s="18">
        <f>E13/F13</f>
        <v>0.12759537548597163</v>
      </c>
      <c r="H13" s="18"/>
      <c r="I13" s="18"/>
      <c r="J13" s="18"/>
    </row>
    <row r="14" spans="1:76" hidden="1">
      <c r="A14" s="32" t="s">
        <v>1209</v>
      </c>
      <c r="B14" s="12"/>
      <c r="C14" s="4">
        <f>'Allocation Proforma'!K709</f>
        <v>154494728.14631787</v>
      </c>
      <c r="D14" s="4">
        <f>'Allocation Proforma'!K725</f>
        <v>119333509.9898494</v>
      </c>
      <c r="E14" s="4">
        <f t="shared" ref="E14:E24" si="0">C14-D14</f>
        <v>35161218.156468466</v>
      </c>
      <c r="F14" s="4">
        <f>'Allocation Proforma'!K729</f>
        <v>390090310.94908422</v>
      </c>
      <c r="G14" s="18">
        <f t="shared" ref="G14:G25" si="1">E14/F14</f>
        <v>9.0136097128179674E-2</v>
      </c>
      <c r="H14" s="18"/>
      <c r="I14" s="18"/>
      <c r="J14" s="18"/>
    </row>
    <row r="15" spans="1:76" hidden="1">
      <c r="A15" s="32" t="s">
        <v>1208</v>
      </c>
      <c r="B15" s="12"/>
      <c r="C15" s="4">
        <f>'Allocation Proforma'!L709</f>
        <v>144335276.59033734</v>
      </c>
      <c r="D15" s="4">
        <f>'Allocation Proforma'!L725</f>
        <v>123988524.56747393</v>
      </c>
      <c r="E15" s="4">
        <f t="shared" si="0"/>
        <v>20346752.022863403</v>
      </c>
      <c r="F15" s="4">
        <f>'Allocation Proforma'!L729</f>
        <v>335323415.21704251</v>
      </c>
      <c r="G15" s="18">
        <f t="shared" si="1"/>
        <v>6.0677993541529744E-2</v>
      </c>
      <c r="H15" s="18"/>
      <c r="I15" s="18"/>
      <c r="J15" s="18"/>
    </row>
    <row r="16" spans="1:76" hidden="1">
      <c r="A16" s="32" t="s">
        <v>1214</v>
      </c>
      <c r="B16" s="12"/>
      <c r="C16" s="4">
        <f>'Allocation Proforma'!M709</f>
        <v>107299163.61398642</v>
      </c>
      <c r="D16" s="4">
        <f>'Allocation Proforma'!M725</f>
        <v>93879464.001734555</v>
      </c>
      <c r="E16" s="4">
        <f t="shared" si="0"/>
        <v>13419699.612251863</v>
      </c>
      <c r="F16" s="4">
        <f>'Allocation Proforma'!M729</f>
        <v>296063156.00640303</v>
      </c>
      <c r="G16" s="18">
        <f t="shared" si="1"/>
        <v>4.5327151791767134E-2</v>
      </c>
      <c r="H16" s="18"/>
      <c r="I16" s="18"/>
      <c r="J16" s="18"/>
    </row>
    <row r="17" spans="1:18" hidden="1">
      <c r="A17" s="31" t="s">
        <v>1332</v>
      </c>
      <c r="B17" s="12"/>
      <c r="C17" s="4">
        <f>'Allocation Proforma'!N709</f>
        <v>65914713.172030017</v>
      </c>
      <c r="D17" s="4">
        <f>'Allocation Proforma'!N725</f>
        <v>59721484.399380952</v>
      </c>
      <c r="E17" s="4">
        <f t="shared" si="0"/>
        <v>6193228.7726490647</v>
      </c>
      <c r="F17" s="4">
        <f>'Allocation Proforma'!N729</f>
        <v>145224286.58182222</v>
      </c>
      <c r="G17" s="18">
        <f t="shared" si="1"/>
        <v>4.2645957631609215E-2</v>
      </c>
      <c r="H17" s="18"/>
      <c r="I17" s="18"/>
      <c r="J17" s="18"/>
    </row>
    <row r="18" spans="1:18" hidden="1">
      <c r="A18" s="32" t="s">
        <v>1185</v>
      </c>
      <c r="B18" s="12"/>
      <c r="C18" s="36">
        <f>'Allocation Proforma'!O709</f>
        <v>3860039.3625699161</v>
      </c>
      <c r="D18" s="36">
        <f>'Allocation Proforma'!O725</f>
        <v>3527371.3032987956</v>
      </c>
      <c r="E18" s="36">
        <f t="shared" si="0"/>
        <v>332668.05927112047</v>
      </c>
      <c r="F18" s="36">
        <f>'Allocation Proforma'!O729</f>
        <v>9832808.5275934432</v>
      </c>
      <c r="G18" s="37">
        <f t="shared" si="1"/>
        <v>3.3832455736076475E-2</v>
      </c>
      <c r="H18" s="37"/>
      <c r="I18" s="37"/>
      <c r="J18" s="18"/>
    </row>
    <row r="19" spans="1:18" hidden="1">
      <c r="A19" s="32" t="s">
        <v>1186</v>
      </c>
      <c r="B19" s="12"/>
      <c r="C19" s="4">
        <f>'Allocation Proforma'!P709</f>
        <v>22694702.284348756</v>
      </c>
      <c r="D19" s="4">
        <f>'Allocation Proforma'!P725</f>
        <v>14551896.340536224</v>
      </c>
      <c r="E19" s="36">
        <f t="shared" si="0"/>
        <v>8142805.9438125324</v>
      </c>
      <c r="F19" s="4">
        <f>'Allocation Proforma'!P729</f>
        <v>101460556.34610823</v>
      </c>
      <c r="G19" s="18">
        <f t="shared" si="1"/>
        <v>8.0255877131555561E-2</v>
      </c>
      <c r="H19" s="18"/>
      <c r="I19" s="18"/>
      <c r="J19" s="18"/>
    </row>
    <row r="20" spans="1:18" hidden="1">
      <c r="A20" s="179" t="s">
        <v>1384</v>
      </c>
      <c r="B20" s="12"/>
      <c r="C20" s="4">
        <f>'Allocation Proforma'!Q709</f>
        <v>258659.23933570844</v>
      </c>
      <c r="D20" s="4">
        <f>'Allocation Proforma'!Q725</f>
        <v>207402.03538726128</v>
      </c>
      <c r="E20" s="36">
        <f t="shared" si="0"/>
        <v>51257.203948447161</v>
      </c>
      <c r="F20" s="4">
        <f>'Allocation Proforma'!Q729</f>
        <v>518946.28609536134</v>
      </c>
      <c r="G20" s="18">
        <f t="shared" si="1"/>
        <v>9.8771694338762761E-2</v>
      </c>
      <c r="H20" s="18"/>
      <c r="I20" s="18"/>
      <c r="J20" s="18"/>
    </row>
    <row r="21" spans="1:18" hidden="1">
      <c r="A21" s="32" t="s">
        <v>1371</v>
      </c>
      <c r="B21" s="12"/>
      <c r="C21" s="4">
        <f>'Allocation Proforma'!R709</f>
        <v>331050.85276777501</v>
      </c>
      <c r="D21" s="4">
        <f>'Allocation Proforma'!R725</f>
        <v>243952.53871367086</v>
      </c>
      <c r="E21" s="36">
        <f t="shared" si="0"/>
        <v>87098.31405410415</v>
      </c>
      <c r="F21" s="4">
        <f>'Allocation Proforma'!R729</f>
        <v>623432.36842078215</v>
      </c>
      <c r="G21" s="18">
        <f t="shared" si="1"/>
        <v>0.1397077188576735</v>
      </c>
      <c r="H21" s="18"/>
      <c r="I21" s="18"/>
      <c r="J21" s="18"/>
    </row>
    <row r="22" spans="1:18" hidden="1">
      <c r="A22" s="32" t="s">
        <v>1333</v>
      </c>
      <c r="B22" s="12"/>
      <c r="C22" s="4">
        <f>'Allocation Proforma'!S709</f>
        <v>15690.859562800646</v>
      </c>
      <c r="D22" s="4">
        <f>'Allocation Proforma'!S725</f>
        <v>3816.8503239704123</v>
      </c>
      <c r="E22" s="36">
        <f t="shared" si="0"/>
        <v>11874.009238830233</v>
      </c>
      <c r="F22" s="4">
        <f>'Allocation Proforma'!S729</f>
        <v>12817.118099669618</v>
      </c>
      <c r="G22" s="18">
        <f t="shared" si="1"/>
        <v>0.92641802521397565</v>
      </c>
      <c r="H22" s="18"/>
      <c r="I22" s="18"/>
      <c r="J22" s="18"/>
    </row>
    <row r="23" spans="1:18" hidden="1">
      <c r="A23" s="32" t="s">
        <v>1334</v>
      </c>
      <c r="B23" s="12"/>
      <c r="C23" s="4">
        <f>'Allocation Proforma'!T709</f>
        <v>12695.222716395989</v>
      </c>
      <c r="D23" s="4">
        <f>'Allocation Proforma'!T725</f>
        <v>45264.079851497896</v>
      </c>
      <c r="E23" s="36">
        <f t="shared" si="0"/>
        <v>-32568.857135101905</v>
      </c>
      <c r="F23" s="4">
        <f>'Allocation Proforma'!T729</f>
        <v>120162.32212078768</v>
      </c>
      <c r="G23" s="18">
        <f t="shared" si="1"/>
        <v>-0.27104051053843276</v>
      </c>
      <c r="H23" s="18"/>
      <c r="I23" s="18"/>
      <c r="J23" s="18"/>
    </row>
    <row r="24" spans="1:18" hidden="1">
      <c r="A24" s="41" t="s">
        <v>1335</v>
      </c>
      <c r="B24" s="40"/>
      <c r="C24" s="33">
        <f>'Allocation Proforma'!U709</f>
        <v>237096</v>
      </c>
      <c r="D24" s="33">
        <f>'Allocation Proforma'!U725</f>
        <v>153855.85858076424</v>
      </c>
      <c r="E24" s="33">
        <f t="shared" si="0"/>
        <v>83240.141419235762</v>
      </c>
      <c r="F24" s="33">
        <f>'Allocation Proforma'!U729</f>
        <v>2314621.8400000003</v>
      </c>
      <c r="G24" s="34">
        <f t="shared" si="1"/>
        <v>3.5962739131173045E-2</v>
      </c>
      <c r="H24" s="37"/>
      <c r="I24" s="37"/>
      <c r="J24" s="18"/>
    </row>
    <row r="25" spans="1:18" hidden="1">
      <c r="C25" s="4">
        <f>SUM(C10:C24)</f>
        <v>1120065999.2473235</v>
      </c>
      <c r="D25" s="4">
        <f>SUM(D10:D24)</f>
        <v>969724216.1352222</v>
      </c>
      <c r="E25" s="4">
        <f>SUM(E10:E24)</f>
        <v>150341783.11210144</v>
      </c>
      <c r="F25" s="4">
        <f>SUM(F10:F24)</f>
        <v>3460017139.370142</v>
      </c>
      <c r="G25" s="18">
        <f t="shared" si="1"/>
        <v>4.345116716371801E-2</v>
      </c>
      <c r="H25" s="18"/>
      <c r="I25" s="18"/>
    </row>
    <row r="26" spans="1:18" hidden="1">
      <c r="B26" s="12"/>
      <c r="C26" s="235"/>
      <c r="D26" s="235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1183</v>
      </c>
    </row>
    <row r="29" spans="1:18" ht="14.4" thickBot="1"/>
    <row r="30" spans="1:18" ht="17.7" thickBot="1">
      <c r="A30" s="469" t="s">
        <v>597</v>
      </c>
      <c r="B30" s="470"/>
      <c r="C30" s="470"/>
      <c r="D30" s="470"/>
      <c r="E30" s="470"/>
      <c r="F30" s="470"/>
      <c r="G30" s="470"/>
      <c r="H30" s="470"/>
      <c r="I30" s="471"/>
    </row>
    <row r="31" spans="1:18">
      <c r="G31" s="38" t="s">
        <v>1391</v>
      </c>
      <c r="H31" s="38" t="s">
        <v>1389</v>
      </c>
      <c r="I31" s="38" t="s">
        <v>1389</v>
      </c>
      <c r="J31" s="431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1044</v>
      </c>
      <c r="H32" s="38" t="s">
        <v>1053</v>
      </c>
      <c r="I32" s="38" t="s">
        <v>1044</v>
      </c>
      <c r="J32" s="431"/>
      <c r="K32" s="285"/>
      <c r="L32" s="286"/>
      <c r="M32" s="8"/>
      <c r="R32" s="8"/>
    </row>
    <row r="33" spans="1:18" ht="14.4" thickBot="1">
      <c r="A33" s="25"/>
      <c r="B33" s="26"/>
      <c r="C33" s="28" t="s">
        <v>1053</v>
      </c>
      <c r="D33" s="28" t="s">
        <v>165</v>
      </c>
      <c r="E33" s="28" t="s">
        <v>1052</v>
      </c>
      <c r="F33" s="30" t="s">
        <v>889</v>
      </c>
      <c r="G33" s="435" t="s">
        <v>1390</v>
      </c>
      <c r="H33" s="436" t="s">
        <v>1392</v>
      </c>
      <c r="I33" s="435" t="s">
        <v>1390</v>
      </c>
      <c r="J33" s="431"/>
      <c r="K33" s="287"/>
      <c r="L33" s="286"/>
      <c r="M33" s="8"/>
      <c r="R33" s="8"/>
    </row>
    <row r="34" spans="1:18">
      <c r="A34" s="13"/>
      <c r="B34" s="12"/>
      <c r="H34" s="286"/>
      <c r="I34" s="286"/>
      <c r="J34"/>
      <c r="K34" s="288"/>
      <c r="L34" s="286"/>
      <c r="M34" s="8"/>
      <c r="R34" s="8"/>
    </row>
    <row r="35" spans="1:18">
      <c r="A35" s="179" t="str">
        <f>A10</f>
        <v>Residential Rate RS</v>
      </c>
      <c r="B35" s="12"/>
      <c r="C35" s="2">
        <f>'Allocation Proforma'!G754</f>
        <v>454866443.01990646</v>
      </c>
      <c r="D35" s="2">
        <f>'Allocation Proforma'!G778</f>
        <v>431720721.0443399</v>
      </c>
      <c r="E35" s="2">
        <f t="shared" ref="E35:E41" si="2">C35-D35</f>
        <v>23145721.975566566</v>
      </c>
      <c r="F35" s="2">
        <f>'Allocation Proforma'!G789</f>
        <v>1748092633.3997715</v>
      </c>
      <c r="G35" s="18">
        <f t="shared" ref="G35:G41" si="3">E35/F35</f>
        <v>1.3240558042139732E-2</v>
      </c>
      <c r="H35" s="18">
        <f>'Allocation Proforma'!G919/(459793603+94531)</f>
        <v>0.11526452992868655</v>
      </c>
      <c r="I35" s="18">
        <f>G62</f>
        <v>3.5950739298222838E-2</v>
      </c>
      <c r="J35" s="37"/>
      <c r="K35" s="288"/>
      <c r="L35" s="288"/>
      <c r="M35" s="8"/>
      <c r="R35" s="8"/>
    </row>
    <row r="36" spans="1:18">
      <c r="A36" s="179" t="s">
        <v>1406</v>
      </c>
      <c r="B36" s="12"/>
      <c r="C36" s="4">
        <f>'Allocation Proforma'!H754</f>
        <v>1223087.0109697899</v>
      </c>
      <c r="D36" s="4">
        <f>'Allocation Proforma'!H778</f>
        <v>1314050.6593233633</v>
      </c>
      <c r="E36" s="4">
        <f t="shared" ref="E36" si="4">C36-D36</f>
        <v>-90963.648353573401</v>
      </c>
      <c r="F36" s="4">
        <f>'Allocation Proforma'!H789</f>
        <v>4038872.4825251354</v>
      </c>
      <c r="G36" s="18">
        <f t="shared" ref="G36" si="5">E36/F36</f>
        <v>-2.2522040185012773E-2</v>
      </c>
      <c r="H36" s="18"/>
      <c r="I36" s="18"/>
      <c r="J36" s="37"/>
      <c r="K36" s="288"/>
      <c r="L36" s="288"/>
      <c r="M36" s="8"/>
      <c r="R36" s="8"/>
    </row>
    <row r="37" spans="1:18">
      <c r="A37" s="179" t="str">
        <f t="shared" ref="A37:A50" si="6">A11</f>
        <v>General Service Rate GS</v>
      </c>
      <c r="B37" s="12"/>
      <c r="C37" s="4">
        <f>'Allocation Proforma'!I754</f>
        <v>154024084.06629583</v>
      </c>
      <c r="D37" s="4">
        <f>'Allocation Proforma'!I778</f>
        <v>114969842.84615836</v>
      </c>
      <c r="E37" s="4">
        <f t="shared" si="2"/>
        <v>39054241.220137477</v>
      </c>
      <c r="F37" s="4">
        <f>'Allocation Proforma'!I789</f>
        <v>403486900.96194375</v>
      </c>
      <c r="G37" s="18">
        <f t="shared" si="3"/>
        <v>9.6791844114466091E-2</v>
      </c>
      <c r="H37" s="18">
        <f>'Allocation Proforma'!H919/165742608</f>
        <v>8.8813864150843645E-4</v>
      </c>
      <c r="I37" s="18">
        <f t="shared" ref="I37:I49" si="7">G63</f>
        <v>4.7684283189809483E-3</v>
      </c>
      <c r="J37" s="37"/>
      <c r="K37" s="447"/>
      <c r="L37" s="288"/>
      <c r="M37" s="448"/>
      <c r="R37" s="8"/>
    </row>
    <row r="38" spans="1:18">
      <c r="A38" s="179" t="str">
        <f t="shared" si="6"/>
        <v>Power Service Primary Rate PS</v>
      </c>
      <c r="C38" s="4">
        <f>'Allocation Proforma'!J754</f>
        <v>10498569.806178493</v>
      </c>
      <c r="D38" s="4">
        <f>'Allocation Proforma'!J778</f>
        <v>7605668.0836362625</v>
      </c>
      <c r="E38" s="36">
        <f t="shared" si="2"/>
        <v>2892901.722542231</v>
      </c>
      <c r="F38" s="4">
        <f>'Allocation Proforma'!J789</f>
        <v>22814218.96311127</v>
      </c>
      <c r="G38" s="18">
        <f t="shared" si="3"/>
        <v>0.12680257549994664</v>
      </c>
      <c r="H38" s="18">
        <f>'Allocation Proforma'!I919/9223885</f>
        <v>2.0713421730648203</v>
      </c>
      <c r="I38" s="18">
        <f t="shared" si="7"/>
        <v>0.13220346882745992</v>
      </c>
      <c r="J38" s="37"/>
      <c r="K38" s="447"/>
      <c r="L38" s="288"/>
      <c r="M38" s="376"/>
    </row>
    <row r="39" spans="1:18">
      <c r="A39" s="179" t="str">
        <f t="shared" si="6"/>
        <v>Power Service Secondary Rate PS</v>
      </c>
      <c r="B39" s="20"/>
      <c r="C39" s="36">
        <f>'Allocation Proforma'!K754</f>
        <v>154494728.14631787</v>
      </c>
      <c r="D39" s="36">
        <f>'Allocation Proforma'!K778</f>
        <v>119634824.85877286</v>
      </c>
      <c r="E39" s="36">
        <f t="shared" si="2"/>
        <v>34859903.28754501</v>
      </c>
      <c r="F39" s="36">
        <f>'Allocation Proforma'!K789</f>
        <v>390090310.94908422</v>
      </c>
      <c r="G39" s="37">
        <f t="shared" si="3"/>
        <v>8.9363673767572843E-2</v>
      </c>
      <c r="H39" s="18">
        <f>'Allocation Proforma'!J919/168770871</f>
        <v>7.2619225861552854E-3</v>
      </c>
      <c r="I39" s="18">
        <f t="shared" si="7"/>
        <v>0.16697050197744731</v>
      </c>
      <c r="J39" s="37"/>
      <c r="K39" s="447"/>
      <c r="L39" s="288"/>
      <c r="M39" s="376"/>
    </row>
    <row r="40" spans="1:18">
      <c r="A40" s="179" t="str">
        <f t="shared" si="6"/>
        <v>TOD Rate TOD Primary</v>
      </c>
      <c r="B40" s="12"/>
      <c r="C40" s="36">
        <f>'Allocation Proforma'!L754</f>
        <v>144335276.59033734</v>
      </c>
      <c r="D40" s="36">
        <f>'Allocation Proforma'!L778</f>
        <v>124104245.28780454</v>
      </c>
      <c r="E40" s="36">
        <f t="shared" si="2"/>
        <v>20231031.302532792</v>
      </c>
      <c r="F40" s="36">
        <f>'Allocation Proforma'!L789</f>
        <v>335323415.21704251</v>
      </c>
      <c r="G40" s="37">
        <f t="shared" si="3"/>
        <v>6.0332891723168185E-2</v>
      </c>
      <c r="H40" s="18">
        <f>'Allocation Proforma'!K919/147536448</f>
        <v>0.12144373300894434</v>
      </c>
      <c r="I40" s="18">
        <f t="shared" si="7"/>
        <v>0.12370806514127083</v>
      </c>
      <c r="J40" s="37"/>
      <c r="K40" s="447"/>
      <c r="L40" s="288"/>
      <c r="M40" s="376"/>
    </row>
    <row r="41" spans="1:18">
      <c r="A41" s="179" t="str">
        <f t="shared" si="6"/>
        <v>TOD Rate TOD Secondary</v>
      </c>
      <c r="B41" s="12"/>
      <c r="C41" s="36">
        <f>'Allocation Proforma'!M754</f>
        <v>107299163.61398642</v>
      </c>
      <c r="D41" s="36">
        <f>'Allocation Proforma'!M778</f>
        <v>94107834.210364044</v>
      </c>
      <c r="E41" s="36">
        <f t="shared" si="2"/>
        <v>13191329.403622374</v>
      </c>
      <c r="F41" s="36">
        <f>'Allocation Proforma'!M789</f>
        <v>296063156.00640303</v>
      </c>
      <c r="G41" s="37">
        <f t="shared" si="3"/>
        <v>4.4555795397037114E-2</v>
      </c>
      <c r="H41" s="18">
        <f>'Allocation Proforma'!L919/97668170</f>
        <v>0.16752214155338427</v>
      </c>
      <c r="I41" s="18">
        <f t="shared" si="7"/>
        <v>9.6816198751796673E-2</v>
      </c>
      <c r="J41" s="37"/>
      <c r="K41" s="288"/>
      <c r="L41" s="288"/>
    </row>
    <row r="42" spans="1:18">
      <c r="A42" s="179" t="str">
        <f t="shared" si="6"/>
        <v>Retail Transmission Service Rate RTS</v>
      </c>
      <c r="B42" s="12"/>
      <c r="C42" s="36">
        <f>'Allocation Proforma'!N754</f>
        <v>65914713.172030017</v>
      </c>
      <c r="D42" s="36">
        <f>'Allocation Proforma'!N778</f>
        <v>57518843.000075713</v>
      </c>
      <c r="E42" s="36">
        <f t="shared" ref="E42:E46" si="8">C42-D42</f>
        <v>8395870.171954304</v>
      </c>
      <c r="F42" s="36">
        <f>'Allocation Proforma'!N789</f>
        <v>145224286.58182222</v>
      </c>
      <c r="G42" s="37">
        <f t="shared" ref="G42:G51" si="9">E42/F42</f>
        <v>5.7813127332692428E-2</v>
      </c>
      <c r="H42" s="18">
        <f>'Allocation Proforma'!M919/67522696</f>
        <v>0.18092501815981993</v>
      </c>
      <c r="I42" s="18">
        <f t="shared" si="7"/>
        <v>7.5409134365057126E-2</v>
      </c>
      <c r="J42" s="37"/>
      <c r="K42" s="286"/>
      <c r="L42" s="288"/>
    </row>
    <row r="43" spans="1:18">
      <c r="A43" s="179" t="str">
        <f t="shared" si="6"/>
        <v>Special Contract Customer</v>
      </c>
      <c r="B43" s="12"/>
      <c r="C43" s="36">
        <f>'Allocation Proforma'!O754</f>
        <v>3860039.3625699161</v>
      </c>
      <c r="D43" s="36">
        <f>'Allocation Proforma'!O778</f>
        <v>3534798.6629421799</v>
      </c>
      <c r="E43" s="36">
        <f t="shared" si="8"/>
        <v>325240.69962773612</v>
      </c>
      <c r="F43" s="36">
        <f>'Allocation Proforma'!O789</f>
        <v>9832808.5275934432</v>
      </c>
      <c r="G43" s="37">
        <f t="shared" si="9"/>
        <v>3.3077090712691624E-2</v>
      </c>
      <c r="H43" s="18">
        <f>'Allocation Proforma'!N919/3705635</f>
        <v>2.0753182652905644</v>
      </c>
      <c r="I43" s="18">
        <f t="shared" si="7"/>
        <v>9.7408033374595429E-2</v>
      </c>
      <c r="J43" s="37"/>
      <c r="K43" s="288"/>
      <c r="L43" s="288"/>
    </row>
    <row r="44" spans="1:18">
      <c r="A44" s="179" t="str">
        <f t="shared" si="6"/>
        <v>Lighting Rate RLS &amp; LS</v>
      </c>
      <c r="B44" s="12"/>
      <c r="C44" s="36">
        <f>'Allocation Proforma'!P754</f>
        <v>22694702.284348756</v>
      </c>
      <c r="D44" s="36">
        <f>'Allocation Proforma'!P778</f>
        <v>14558512.643763669</v>
      </c>
      <c r="E44" s="36">
        <f t="shared" si="8"/>
        <v>8136189.6405850872</v>
      </c>
      <c r="F44" s="36">
        <f>'Allocation Proforma'!P789</f>
        <v>101460556.34610823</v>
      </c>
      <c r="G44" s="37">
        <f t="shared" si="9"/>
        <v>8.0190666536761712E-2</v>
      </c>
      <c r="H44" s="18">
        <f>'Allocation Proforma'!O919/23946130</f>
        <v>1.8170326478641852E-2</v>
      </c>
      <c r="I44" s="18">
        <f t="shared" si="7"/>
        <v>6.616382785766331E-2</v>
      </c>
      <c r="J44" s="37"/>
      <c r="K44" s="288"/>
      <c r="L44" s="288"/>
    </row>
    <row r="45" spans="1:18">
      <c r="A45" s="179" t="str">
        <f t="shared" si="6"/>
        <v>Lighting Rate LE</v>
      </c>
      <c r="B45" s="12"/>
      <c r="C45" s="36">
        <f>'Allocation Proforma'!Q754</f>
        <v>258659.23933570844</v>
      </c>
      <c r="D45" s="36">
        <f>'Allocation Proforma'!Q778</f>
        <v>207632.48136365326</v>
      </c>
      <c r="E45" s="36">
        <f t="shared" si="8"/>
        <v>51026.757972055173</v>
      </c>
      <c r="F45" s="36">
        <f>'Allocation Proforma'!Q789</f>
        <v>518946.28609536134</v>
      </c>
      <c r="G45" s="37">
        <f t="shared" si="9"/>
        <v>9.8327629157901941E-2</v>
      </c>
      <c r="H45" s="18">
        <f>'Allocation Proforma'!P919/303565</f>
        <v>9.4089865432444455</v>
      </c>
      <c r="I45" s="18">
        <f t="shared" si="7"/>
        <v>0.1012400345248476</v>
      </c>
      <c r="J45" s="37"/>
      <c r="K45" s="288"/>
      <c r="L45" s="288"/>
    </row>
    <row r="46" spans="1:18">
      <c r="A46" s="179" t="str">
        <f t="shared" si="6"/>
        <v>Lighting Rate TE</v>
      </c>
      <c r="B46" s="12"/>
      <c r="C46" s="36">
        <f>'Allocation Proforma'!R754</f>
        <v>331050.85276777501</v>
      </c>
      <c r="D46" s="36">
        <f>'Allocation Proforma'!R778</f>
        <v>244305.8444121893</v>
      </c>
      <c r="E46" s="36">
        <f t="shared" si="8"/>
        <v>86745.008355585713</v>
      </c>
      <c r="F46" s="36">
        <f>'Allocation Proforma'!R789</f>
        <v>623432.36842078215</v>
      </c>
      <c r="G46" s="37">
        <f t="shared" si="9"/>
        <v>0.13914100831068441</v>
      </c>
      <c r="H46" s="18">
        <f>'Allocation Proforma'!Q919/331597</f>
        <v>9.0471264818439243E-6</v>
      </c>
      <c r="I46" s="18">
        <f t="shared" si="7"/>
        <v>9.8333056931931465E-2</v>
      </c>
      <c r="J46" s="37"/>
      <c r="K46" s="288"/>
      <c r="L46" s="288"/>
    </row>
    <row r="47" spans="1:18">
      <c r="A47" s="179" t="str">
        <f t="shared" si="6"/>
        <v>Outdoor Sports Lighting OSL</v>
      </c>
      <c r="B47" s="20"/>
      <c r="C47" s="36">
        <f>'Allocation Proforma'!S754</f>
        <v>15690.859562800646</v>
      </c>
      <c r="D47" s="36">
        <f>'Allocation Proforma'!S778</f>
        <v>3817.0018108205704</v>
      </c>
      <c r="E47" s="36">
        <f>C47-D47</f>
        <v>11873.857751980075</v>
      </c>
      <c r="F47" s="36">
        <f>'Allocation Proforma'!S789</f>
        <v>12817.118099669618</v>
      </c>
      <c r="G47" s="37">
        <f>E47/F47</f>
        <v>0.92640620611010382</v>
      </c>
      <c r="H47" s="18">
        <f>'Allocation Proforma'!R919/10238</f>
        <v>-1.3674545809728462E-3</v>
      </c>
      <c r="I47" s="18">
        <f t="shared" si="7"/>
        <v>0.13912532348770762</v>
      </c>
      <c r="J47" s="37"/>
      <c r="K47" s="288"/>
      <c r="L47" s="288"/>
    </row>
    <row r="48" spans="1:18">
      <c r="A48" s="179" t="str">
        <f t="shared" si="6"/>
        <v>Electric Vehicle Charging EVC</v>
      </c>
      <c r="B48" s="12"/>
      <c r="C48" s="36">
        <f>'Allocation Proforma'!T754</f>
        <v>12695.222716395989</v>
      </c>
      <c r="D48" s="36">
        <f>'Allocation Proforma'!T778</f>
        <v>45263.65187383454</v>
      </c>
      <c r="E48" s="36">
        <f t="shared" ref="E48:E50" si="10">C48-D48</f>
        <v>-32568.42915743855</v>
      </c>
      <c r="F48" s="36">
        <f>'Allocation Proforma'!T789</f>
        <v>120162.32212078768</v>
      </c>
      <c r="G48" s="37">
        <f t="shared" ref="G48:G50" si="11">E48/F48</f>
        <v>-0.27103694887571017</v>
      </c>
      <c r="H48" s="18">
        <f>'Allocation Proforma'!S919/2963</f>
        <v>-0.55281808977387781</v>
      </c>
      <c r="I48" s="18">
        <f t="shared" si="7"/>
        <v>0.83085472268821292</v>
      </c>
      <c r="J48" s="37"/>
      <c r="K48" s="288"/>
      <c r="L48" s="288"/>
    </row>
    <row r="49" spans="1:18">
      <c r="A49" s="179" t="str">
        <f t="shared" si="6"/>
        <v>Solar Share SS</v>
      </c>
      <c r="B49" s="12"/>
      <c r="C49" s="36">
        <f>'Allocation Proforma'!U754</f>
        <v>237096</v>
      </c>
      <c r="D49" s="36">
        <f>'Allocation Proforma'!U778</f>
        <v>153855.85858076424</v>
      </c>
      <c r="E49" s="36">
        <f t="shared" si="10"/>
        <v>83240.141419235762</v>
      </c>
      <c r="F49" s="36">
        <f>'Allocation Proforma'!U789</f>
        <v>2314621.8400000003</v>
      </c>
      <c r="G49" s="37">
        <f t="shared" si="11"/>
        <v>3.5962739131173045E-2</v>
      </c>
      <c r="H49" s="18">
        <f>'Allocation Proforma'!T919/157356</f>
        <v>0</v>
      </c>
      <c r="I49" s="18">
        <f t="shared" si="7"/>
        <v>7.2471098242324547E-2</v>
      </c>
      <c r="J49" s="37"/>
      <c r="K49" s="288"/>
      <c r="L49" s="288"/>
    </row>
    <row r="50" spans="1:18">
      <c r="A50" s="41" t="str">
        <f t="shared" si="6"/>
        <v>Business Solar BS</v>
      </c>
      <c r="B50" s="40"/>
      <c r="C50" s="33">
        <f>'Allocation Proforma'!V754</f>
        <v>9936</v>
      </c>
      <c r="D50" s="33">
        <f>'Allocation Proforma'!V778</f>
        <v>12591.246284675426</v>
      </c>
      <c r="E50" s="33">
        <f t="shared" si="10"/>
        <v>-2655.2462846754261</v>
      </c>
      <c r="F50" s="33">
        <f>'Allocation Proforma'!V789</f>
        <v>60676.790000000008</v>
      </c>
      <c r="G50" s="34">
        <f t="shared" si="11"/>
        <v>-4.3760493669415042E-2</v>
      </c>
      <c r="H50" s="34">
        <f>'Allocation Proforma'!U919/9936</f>
        <v>0</v>
      </c>
      <c r="I50" s="34">
        <f>G76</f>
        <v>7.1800006838869085E-2</v>
      </c>
      <c r="J50" s="37"/>
      <c r="K50" s="288"/>
      <c r="L50" s="288"/>
    </row>
    <row r="51" spans="1:18">
      <c r="C51" s="4">
        <f>SUM(C35:C50)</f>
        <v>1120075935.2473235</v>
      </c>
      <c r="D51" s="4">
        <f>SUM(D35:D50)</f>
        <v>969736807.3815068</v>
      </c>
      <c r="E51" s="4">
        <f t="shared" ref="E51:F51" si="12">SUM(E35:E50)</f>
        <v>150339127.86581674</v>
      </c>
      <c r="F51" s="4">
        <f t="shared" si="12"/>
        <v>3460077816.1601419</v>
      </c>
      <c r="G51" s="18">
        <f t="shared" si="9"/>
        <v>4.3449637798220732E-2</v>
      </c>
      <c r="H51" s="18">
        <f>'Allocation Proforma'!F919/1160259576</f>
        <v>0.11287387038984456</v>
      </c>
      <c r="I51" s="18">
        <f>G78</f>
        <v>7.1807691608317459E-2</v>
      </c>
      <c r="J51" s="37"/>
      <c r="K51" s="288"/>
      <c r="L51" s="288"/>
    </row>
    <row r="52" spans="1:18">
      <c r="J52" s="36"/>
      <c r="K52" s="288"/>
      <c r="L52" s="288"/>
    </row>
    <row r="54" spans="1:18" ht="17.399999999999999">
      <c r="A54" s="27" t="s">
        <v>597</v>
      </c>
      <c r="B54" s="12"/>
    </row>
    <row r="55" spans="1:18">
      <c r="A55" s="5" t="s">
        <v>1184</v>
      </c>
    </row>
    <row r="56" spans="1:18">
      <c r="A56" s="213"/>
    </row>
    <row r="59" spans="1:18">
      <c r="A59" s="13"/>
      <c r="B59" s="12"/>
      <c r="D59" s="14" t="s">
        <v>164</v>
      </c>
      <c r="E59" s="14" t="s">
        <v>166</v>
      </c>
      <c r="F59" s="29"/>
      <c r="G59" s="1"/>
      <c r="H59" s="1"/>
      <c r="I59" s="1"/>
      <c r="M59" s="8"/>
      <c r="R59" s="8"/>
    </row>
    <row r="60" spans="1:18" ht="14.4" thickBot="1">
      <c r="A60" s="25"/>
      <c r="B60" s="26"/>
      <c r="C60" s="28" t="s">
        <v>1053</v>
      </c>
      <c r="D60" s="28" t="s">
        <v>165</v>
      </c>
      <c r="E60" s="28" t="s">
        <v>1052</v>
      </c>
      <c r="F60" s="30" t="s">
        <v>889</v>
      </c>
      <c r="G60" s="28" t="s">
        <v>167</v>
      </c>
      <c r="H60" s="21"/>
      <c r="I60" s="21"/>
      <c r="M60" s="8"/>
      <c r="R60" s="8"/>
    </row>
    <row r="61" spans="1:18">
      <c r="A61" s="13"/>
      <c r="B61" s="12"/>
      <c r="M61" s="8"/>
      <c r="R61" s="8"/>
    </row>
    <row r="62" spans="1:18">
      <c r="A62" s="179" t="str">
        <f>A35</f>
        <v>Residential Rate RS</v>
      </c>
      <c r="B62" s="12"/>
      <c r="C62" s="2">
        <f>'Allocation Proforma'!G926</f>
        <v>507962967.72028244</v>
      </c>
      <c r="D62" s="2">
        <f>'Allocation Proforma'!G939</f>
        <v>445117745.18778342</v>
      </c>
      <c r="E62" s="2">
        <f t="shared" ref="E62:E77" si="13">C62-D62</f>
        <v>62845222.532499015</v>
      </c>
      <c r="F62" s="2">
        <f>'Allocation Proforma'!G944</f>
        <v>1748092633.3997715</v>
      </c>
      <c r="G62" s="18">
        <f t="shared" ref="G62:G67" si="14">E62/F62</f>
        <v>3.5950739298222838E-2</v>
      </c>
      <c r="H62" s="18"/>
      <c r="I62" s="18"/>
      <c r="J62" s="18"/>
      <c r="M62" s="8"/>
      <c r="R62" s="8"/>
    </row>
    <row r="63" spans="1:18">
      <c r="A63" s="179" t="str">
        <f t="shared" ref="A63:A77" si="15">A36</f>
        <v>Residential Net Metering Rate NMS1</v>
      </c>
      <c r="B63" s="12"/>
      <c r="C63" s="4">
        <f>'Allocation Proforma'!H926</f>
        <v>1370505.5783010682</v>
      </c>
      <c r="D63" s="4">
        <f>'Allocation Proforma'!H939</f>
        <v>1351246.5043786424</v>
      </c>
      <c r="E63" s="4">
        <f t="shared" si="13"/>
        <v>19259.073922425741</v>
      </c>
      <c r="F63" s="4">
        <f>'Allocation Proforma'!H944</f>
        <v>4038872.4825251354</v>
      </c>
      <c r="G63" s="18">
        <f t="shared" si="14"/>
        <v>4.7684283189809483E-3</v>
      </c>
      <c r="H63" s="18"/>
      <c r="I63" s="18"/>
      <c r="J63" s="18"/>
      <c r="M63" s="8"/>
      <c r="R63" s="8"/>
    </row>
    <row r="64" spans="1:18">
      <c r="A64" s="179" t="str">
        <f t="shared" si="15"/>
        <v>General Service Rate GS</v>
      </c>
      <c r="C64" s="4">
        <f>'Allocation Proforma'!I926</f>
        <v>173133893.06442332</v>
      </c>
      <c r="D64" s="4">
        <f>'Allocation Proforma'!I939</f>
        <v>119791525.13081259</v>
      </c>
      <c r="E64" s="4">
        <f t="shared" si="13"/>
        <v>53342367.933610737</v>
      </c>
      <c r="F64" s="4">
        <f>'Allocation Proforma'!I944</f>
        <v>403486900.96194375</v>
      </c>
      <c r="G64" s="18">
        <f t="shared" si="14"/>
        <v>0.13220346882745992</v>
      </c>
      <c r="H64" s="18"/>
      <c r="I64" s="18"/>
      <c r="J64" s="18"/>
    </row>
    <row r="65" spans="1:10">
      <c r="A65" s="179" t="str">
        <f t="shared" si="15"/>
        <v>Power Service Primary Rate PS</v>
      </c>
      <c r="C65" s="4">
        <f>'Allocation Proforma'!J926</f>
        <v>11724218.684570322</v>
      </c>
      <c r="D65" s="4">
        <f>'Allocation Proforma'!J939</f>
        <v>7914917.0920762355</v>
      </c>
      <c r="E65" s="4">
        <f t="shared" si="13"/>
        <v>3809301.5924940864</v>
      </c>
      <c r="F65" s="4">
        <f>'Allocation Proforma'!J944</f>
        <v>22814218.96311127</v>
      </c>
      <c r="G65" s="18">
        <f t="shared" si="14"/>
        <v>0.16697050197744731</v>
      </c>
      <c r="H65" s="18"/>
      <c r="I65" s="18"/>
      <c r="J65" s="18"/>
    </row>
    <row r="66" spans="1:10">
      <c r="A66" s="179" t="str">
        <f t="shared" si="15"/>
        <v>Power Service Secondary Rate PS</v>
      </c>
      <c r="B66" s="12"/>
      <c r="C66" s="4">
        <f>'Allocation Proforma'!K926</f>
        <v>172413244.24525681</v>
      </c>
      <c r="D66" s="4">
        <f>'Allocation Proforma'!K939</f>
        <v>124155926.64738891</v>
      </c>
      <c r="E66" s="4">
        <f t="shared" si="13"/>
        <v>48257317.597867906</v>
      </c>
      <c r="F66" s="4">
        <f>'Allocation Proforma'!K944</f>
        <v>390090310.94908422</v>
      </c>
      <c r="G66" s="18">
        <f t="shared" si="14"/>
        <v>0.12370806514127083</v>
      </c>
      <c r="H66" s="18"/>
      <c r="I66" s="18"/>
      <c r="J66" s="18"/>
    </row>
    <row r="67" spans="1:10">
      <c r="A67" s="179" t="str">
        <f t="shared" si="15"/>
        <v>TOD Rate TOD Primary</v>
      </c>
      <c r="B67" s="12"/>
      <c r="C67" s="248">
        <f>'Allocation Proforma'!L926</f>
        <v>160697379.95932564</v>
      </c>
      <c r="D67" s="4">
        <f>'Allocation Proforma'!L939</f>
        <v>128232641.54554121</v>
      </c>
      <c r="E67" s="4">
        <f t="shared" si="13"/>
        <v>32464738.413784429</v>
      </c>
      <c r="F67" s="4">
        <f>'Allocation Proforma'!L944</f>
        <v>335323415.21704251</v>
      </c>
      <c r="G67" s="18">
        <f t="shared" si="14"/>
        <v>9.6816198751796673E-2</v>
      </c>
      <c r="H67" s="18"/>
      <c r="I67" s="18"/>
      <c r="J67" s="18"/>
    </row>
    <row r="68" spans="1:10">
      <c r="A68" s="179" t="str">
        <f t="shared" si="15"/>
        <v>TOD Rate TOD Secondary</v>
      </c>
      <c r="B68" s="12"/>
      <c r="C68" s="4">
        <f>'Allocation Proforma'!M926</f>
        <v>119516248.40772527</v>
      </c>
      <c r="D68" s="4">
        <f>'Allocation Proforma'!M939</f>
        <v>97190382.095895559</v>
      </c>
      <c r="E68" s="4">
        <f t="shared" si="13"/>
        <v>22325866.311829716</v>
      </c>
      <c r="F68" s="4">
        <f>'Allocation Proforma'!M944</f>
        <v>296063156.00640303</v>
      </c>
      <c r="G68" s="18">
        <f t="shared" ref="G68:G77" si="16">E68/F68</f>
        <v>7.5409134365057126E-2</v>
      </c>
      <c r="H68" s="18"/>
      <c r="I68" s="18"/>
      <c r="J68" s="18"/>
    </row>
    <row r="69" spans="1:10">
      <c r="A69" s="179" t="str">
        <f t="shared" si="15"/>
        <v>Retail Transmission Service Rate RTS</v>
      </c>
      <c r="B69" s="12"/>
      <c r="C69" s="4">
        <f>'Allocation Proforma'!N926</f>
        <v>73605302.512095362</v>
      </c>
      <c r="D69" s="4">
        <f>'Allocation Proforma'!N939</f>
        <v>59459290.357931413</v>
      </c>
      <c r="E69" s="4">
        <f t="shared" si="13"/>
        <v>14146012.154163949</v>
      </c>
      <c r="F69" s="4">
        <f>'Allocation Proforma'!N944</f>
        <v>145224286.58182222</v>
      </c>
      <c r="G69" s="18">
        <f t="shared" si="16"/>
        <v>9.7408033374595429E-2</v>
      </c>
      <c r="H69" s="18"/>
      <c r="I69" s="18"/>
      <c r="J69" s="18"/>
    </row>
    <row r="70" spans="1:10">
      <c r="A70" s="179" t="str">
        <f t="shared" si="15"/>
        <v>Special Contract Customer</v>
      </c>
      <c r="B70" s="12"/>
      <c r="C70" s="36">
        <f>'Allocation Proforma'!O926</f>
        <v>4295162.9002763331</v>
      </c>
      <c r="D70" s="36">
        <f>'Allocation Proforma'!O939</f>
        <v>3644586.6494992767</v>
      </c>
      <c r="E70" s="4">
        <f t="shared" si="13"/>
        <v>650576.25077705644</v>
      </c>
      <c r="F70" s="36">
        <f>'Allocation Proforma'!O944</f>
        <v>9832808.5275934432</v>
      </c>
      <c r="G70" s="37">
        <f t="shared" si="16"/>
        <v>6.616382785766331E-2</v>
      </c>
      <c r="H70" s="37"/>
      <c r="I70" s="37"/>
      <c r="J70" s="18"/>
    </row>
    <row r="71" spans="1:10">
      <c r="A71" s="179" t="str">
        <f t="shared" si="15"/>
        <v>Lighting Rate RLS &amp; LS</v>
      </c>
      <c r="B71" s="12"/>
      <c r="C71" s="4">
        <f>'Allocation Proforma'!P926</f>
        <v>25551091.292739231</v>
      </c>
      <c r="D71" s="4">
        <f>'Allocation Proforma'!P939</f>
        <v>15279221.065348988</v>
      </c>
      <c r="E71" s="4">
        <f t="shared" si="13"/>
        <v>10271870.227390243</v>
      </c>
      <c r="F71" s="4">
        <f>'Allocation Proforma'!P944</f>
        <v>101460556.34610823</v>
      </c>
      <c r="G71" s="18">
        <f t="shared" si="16"/>
        <v>0.1012400345248476</v>
      </c>
      <c r="H71" s="18"/>
      <c r="I71" s="18"/>
      <c r="J71" s="18"/>
    </row>
    <row r="72" spans="1:10">
      <c r="A72" s="179" t="str">
        <f t="shared" si="15"/>
        <v>Lighting Rate LE</v>
      </c>
      <c r="B72" s="12"/>
      <c r="C72" s="4">
        <f>'Allocation Proforma'!Q926</f>
        <v>258663.00659246242</v>
      </c>
      <c r="D72" s="4">
        <f>'Allocation Proforma'!Q939</f>
        <v>207633.43189723286</v>
      </c>
      <c r="E72" s="4">
        <f t="shared" si="13"/>
        <v>51029.574695229559</v>
      </c>
      <c r="F72" s="4">
        <f>'Allocation Proforma'!Q944</f>
        <v>518946.28609536134</v>
      </c>
      <c r="G72" s="18">
        <f t="shared" si="16"/>
        <v>9.8333056931931465E-2</v>
      </c>
      <c r="H72" s="18"/>
      <c r="I72" s="18"/>
      <c r="J72" s="18"/>
    </row>
    <row r="73" spans="1:10">
      <c r="A73" s="179" t="str">
        <f t="shared" si="15"/>
        <v>Lighting Rate TE</v>
      </c>
      <c r="B73" s="20"/>
      <c r="C73" s="36">
        <f>'Allocation Proforma'!R926</f>
        <v>331037.77450612857</v>
      </c>
      <c r="D73" s="36">
        <f>'Allocation Proforma'!R939</f>
        <v>244302.54457687953</v>
      </c>
      <c r="E73" s="4">
        <f t="shared" si="13"/>
        <v>86735.229929249035</v>
      </c>
      <c r="F73" s="4">
        <f>'Allocation Proforma'!R944</f>
        <v>623432.36842078215</v>
      </c>
      <c r="G73" s="37">
        <f t="shared" si="16"/>
        <v>0.13912532348770762</v>
      </c>
      <c r="H73" s="37"/>
      <c r="I73" s="37"/>
      <c r="J73" s="18"/>
    </row>
    <row r="74" spans="1:10">
      <c r="A74" s="179" t="str">
        <f t="shared" si="15"/>
        <v>Outdoor Sports Lighting OSL</v>
      </c>
      <c r="C74" s="36">
        <f>'Allocation Proforma'!S926</f>
        <v>14052.878512778114</v>
      </c>
      <c r="D74" s="36">
        <f>'Allocation Proforma'!S939</f>
        <v>3403.7154084150393</v>
      </c>
      <c r="E74" s="4">
        <f t="shared" si="13"/>
        <v>10649.163104363075</v>
      </c>
      <c r="F74" s="4">
        <f>'Allocation Proforma'!S944</f>
        <v>12817.118099669618</v>
      </c>
      <c r="G74" s="37">
        <f t="shared" si="16"/>
        <v>0.83085472268821292</v>
      </c>
      <c r="H74" s="37"/>
      <c r="I74" s="37"/>
    </row>
    <row r="75" spans="1:10">
      <c r="A75" s="179" t="str">
        <f t="shared" si="15"/>
        <v>Electric Vehicle Charging EVC</v>
      </c>
      <c r="C75" s="36">
        <f>'Allocation Proforma'!T926</f>
        <v>67901.222716395991</v>
      </c>
      <c r="D75" s="36">
        <f>'Allocation Proforma'!T939</f>
        <v>59192.927264954538</v>
      </c>
      <c r="E75" s="4">
        <f t="shared" si="13"/>
        <v>8708.2954514414523</v>
      </c>
      <c r="F75" s="4">
        <f>'Allocation Proforma'!T944</f>
        <v>120162.32212078768</v>
      </c>
      <c r="G75" s="37">
        <f t="shared" si="16"/>
        <v>7.2471098242324547E-2</v>
      </c>
      <c r="H75" s="37"/>
      <c r="I75" s="37"/>
    </row>
    <row r="76" spans="1:10">
      <c r="A76" s="179" t="str">
        <f t="shared" si="15"/>
        <v>Solar Share SS</v>
      </c>
      <c r="B76" s="20"/>
      <c r="C76" s="36">
        <f>'Allocation Proforma'!U926</f>
        <v>348038</v>
      </c>
      <c r="D76" s="36">
        <f>'Allocation Proforma'!U939</f>
        <v>181848.13605860423</v>
      </c>
      <c r="E76" s="36">
        <f t="shared" si="13"/>
        <v>166189.86394139577</v>
      </c>
      <c r="F76" s="36">
        <f>'Allocation Proforma'!U944</f>
        <v>2314621.8400000003</v>
      </c>
      <c r="G76" s="37">
        <f t="shared" si="16"/>
        <v>7.1800006838869085E-2</v>
      </c>
      <c r="H76" s="37"/>
      <c r="I76" s="37"/>
      <c r="J76" s="36"/>
    </row>
    <row r="77" spans="1:10">
      <c r="A77" s="179" t="str">
        <f t="shared" si="15"/>
        <v>Business Solar BS</v>
      </c>
      <c r="B77" s="20"/>
      <c r="C77" s="33">
        <f>'Allocation Proforma'!V926</f>
        <v>19314</v>
      </c>
      <c r="D77" s="36">
        <f>'Allocation Proforma'!V939</f>
        <v>14957.451853235427</v>
      </c>
      <c r="E77" s="33">
        <f t="shared" si="13"/>
        <v>4356.5481467645732</v>
      </c>
      <c r="F77" s="36">
        <f>'Allocation Proforma'!V944</f>
        <v>60676.790000000008</v>
      </c>
      <c r="G77" s="34">
        <f t="shared" si="16"/>
        <v>7.1799252181345988E-2</v>
      </c>
      <c r="H77" s="37"/>
      <c r="I77" s="37"/>
    </row>
    <row r="78" spans="1:10">
      <c r="A78" s="179"/>
      <c r="C78" s="4">
        <f>SUM(C62:C77)</f>
        <v>1251309021.2473238</v>
      </c>
      <c r="D78" s="4">
        <f>SUM(D62:D77)</f>
        <v>1002848820.4837155</v>
      </c>
      <c r="E78" s="4">
        <f>SUM(E62:E77)</f>
        <v>248460200.76360801</v>
      </c>
      <c r="F78" s="4">
        <f>SUM(F62:F77)</f>
        <v>3460077816.1601419</v>
      </c>
      <c r="G78" s="18">
        <f t="shared" ref="G78" si="17">E78/F78</f>
        <v>7.1807691608317459E-2</v>
      </c>
      <c r="H78" s="18"/>
      <c r="I78" s="18"/>
    </row>
    <row r="79" spans="1:10">
      <c r="A79" s="215"/>
    </row>
    <row r="80" spans="1:10">
      <c r="A80" s="215"/>
    </row>
    <row r="81" spans="1:1">
      <c r="A81" s="215"/>
    </row>
    <row r="82" spans="1:1">
      <c r="A82" s="215"/>
    </row>
    <row r="83" spans="1:1">
      <c r="A83" s="215"/>
    </row>
    <row r="84" spans="1:1">
      <c r="A84" s="179"/>
    </row>
    <row r="85" spans="1:1">
      <c r="A85" s="179"/>
    </row>
    <row r="86" spans="1:1">
      <c r="A86" s="215"/>
    </row>
    <row r="87" spans="1:1">
      <c r="A87" s="215"/>
    </row>
    <row r="88" spans="1:1">
      <c r="A88" s="179"/>
    </row>
    <row r="89" spans="1:1">
      <c r="A89" s="20"/>
    </row>
  </sheetData>
  <mergeCells count="3">
    <mergeCell ref="J2:M2"/>
    <mergeCell ref="O2:R2"/>
    <mergeCell ref="A30:I30"/>
  </mergeCells>
  <phoneticPr fontId="0" type="noConversion"/>
  <conditionalFormatting sqref="J10:J24 J62:J73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4" orientation="landscape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5"/>
  <sheetViews>
    <sheetView zoomScale="85" zoomScaleNormal="85" workbookViewId="0">
      <pane xSplit="1" ySplit="6" topLeftCell="B7" activePane="bottomRight" state="frozen"/>
      <selection activeCell="J42" sqref="J42"/>
      <selection pane="topRight" activeCell="J42" sqref="J42"/>
      <selection pane="bottomLeft" activeCell="J42" sqref="J42"/>
      <selection pane="bottomRight" activeCell="D10" sqref="D10"/>
    </sheetView>
  </sheetViews>
  <sheetFormatPr defaultColWidth="9.15625" defaultRowHeight="14.1"/>
  <cols>
    <col min="1" max="1" width="49.83984375" style="113" bestFit="1" customWidth="1"/>
    <col min="2" max="2" width="17.41796875" style="6" bestFit="1" customWidth="1"/>
    <col min="3" max="10" width="22.68359375" style="113" customWidth="1"/>
    <col min="11" max="11" width="18.41796875" style="113" bestFit="1" customWidth="1"/>
    <col min="12" max="12" width="16.15625" style="113" bestFit="1" customWidth="1"/>
    <col min="13" max="13" width="14.26171875" style="113" bestFit="1" customWidth="1"/>
    <col min="14" max="17" width="12" style="113" bestFit="1" customWidth="1"/>
    <col min="18" max="18" width="9.15625" style="113"/>
    <col min="19" max="19" width="11.83984375" style="113" bestFit="1" customWidth="1"/>
    <col min="20" max="16384" width="9.15625" style="113"/>
  </cols>
  <sheetData>
    <row r="1" spans="1:20">
      <c r="A1" s="5" t="s">
        <v>597</v>
      </c>
      <c r="B1" s="5"/>
    </row>
    <row r="2" spans="1:20" ht="15" customHeight="1">
      <c r="A2" s="6" t="s">
        <v>666</v>
      </c>
    </row>
    <row r="4" spans="1:20">
      <c r="A4" s="114"/>
      <c r="B4" s="9" t="s">
        <v>1194</v>
      </c>
      <c r="C4" s="39"/>
      <c r="D4" s="115"/>
      <c r="E4" s="9"/>
      <c r="F4" s="9" t="s">
        <v>173</v>
      </c>
      <c r="G4" s="9"/>
      <c r="H4" s="11"/>
      <c r="I4" s="11"/>
      <c r="J4" s="11"/>
      <c r="K4" s="11"/>
      <c r="L4" s="114"/>
      <c r="M4" s="114"/>
      <c r="N4" s="114"/>
      <c r="Q4" s="114"/>
    </row>
    <row r="5" spans="1:20">
      <c r="A5" s="114"/>
      <c r="B5" s="9" t="s">
        <v>807</v>
      </c>
      <c r="C5" s="9"/>
      <c r="D5" s="38" t="s">
        <v>610</v>
      </c>
      <c r="E5" s="38" t="s">
        <v>1246</v>
      </c>
      <c r="F5" s="9" t="s">
        <v>163</v>
      </c>
      <c r="G5" s="9" t="s">
        <v>176</v>
      </c>
      <c r="H5" s="11"/>
      <c r="I5" s="11"/>
      <c r="J5" s="11"/>
      <c r="K5" s="11"/>
      <c r="L5" s="114"/>
      <c r="M5" s="114"/>
      <c r="N5" s="114"/>
      <c r="Q5" s="114"/>
      <c r="R5" s="114"/>
      <c r="S5" s="114"/>
      <c r="T5" s="114"/>
    </row>
    <row r="6" spans="1:20" ht="14.4" thickBot="1">
      <c r="A6" s="116"/>
      <c r="B6" s="441">
        <v>44742</v>
      </c>
      <c r="C6" s="397" t="s">
        <v>1349</v>
      </c>
      <c r="D6" s="234" t="s">
        <v>611</v>
      </c>
      <c r="E6" s="233" t="s">
        <v>853</v>
      </c>
      <c r="F6" s="233" t="s">
        <v>853</v>
      </c>
      <c r="G6" s="233" t="s">
        <v>177</v>
      </c>
      <c r="H6" s="11"/>
      <c r="I6" s="11"/>
      <c r="J6" s="11"/>
      <c r="K6" s="11"/>
      <c r="N6" s="117"/>
    </row>
    <row r="7" spans="1:20" s="123" customFormat="1">
      <c r="A7" s="122"/>
      <c r="B7" s="313"/>
      <c r="C7" s="241"/>
      <c r="D7" s="241"/>
      <c r="E7" s="241"/>
      <c r="F7" s="241"/>
      <c r="H7" s="314"/>
      <c r="I7" s="314"/>
      <c r="J7" s="314"/>
      <c r="K7" s="314"/>
      <c r="L7" s="241"/>
      <c r="M7" s="241"/>
      <c r="N7" s="242"/>
    </row>
    <row r="8" spans="1:20" s="123" customFormat="1">
      <c r="A8" s="65" t="s">
        <v>1165</v>
      </c>
      <c r="B8" s="315">
        <f>137763842/365+59721/365-B10</f>
        <v>376669.05273972603</v>
      </c>
      <c r="C8" s="315">
        <f>4048068533-714369+1590144+176683-11551-C10</f>
        <v>4038260479.9491978</v>
      </c>
      <c r="D8" s="432">
        <f>431652649.45+172087-D10</f>
        <v>430666956.89829952</v>
      </c>
      <c r="E8" s="315">
        <v>901037.96592631587</v>
      </c>
      <c r="F8" s="315">
        <v>1407203.5200778483</v>
      </c>
      <c r="G8" s="315">
        <v>3145961.0417387774</v>
      </c>
      <c r="H8" s="126"/>
      <c r="I8" s="456"/>
      <c r="J8" s="457"/>
      <c r="K8" s="317"/>
      <c r="L8" s="318"/>
      <c r="M8" s="241"/>
      <c r="N8" s="318"/>
    </row>
    <row r="9" spans="1:20" s="123" customFormat="1">
      <c r="A9" s="65"/>
      <c r="B9" s="315"/>
      <c r="C9" s="315"/>
      <c r="D9" s="432"/>
      <c r="E9" s="315"/>
      <c r="F9" s="315"/>
      <c r="G9" s="315"/>
      <c r="H9" s="126"/>
      <c r="I9" s="126"/>
      <c r="J9" s="317"/>
      <c r="K9" s="317"/>
      <c r="L9" s="318"/>
      <c r="M9" s="241"/>
      <c r="N9" s="318"/>
    </row>
    <row r="10" spans="1:20" s="123" customFormat="1">
      <c r="A10" s="65" t="s">
        <v>1403</v>
      </c>
      <c r="B10" s="315">
        <f>11157/12</f>
        <v>929.75</v>
      </c>
      <c r="C10" s="315">
        <v>10848960.050802249</v>
      </c>
      <c r="D10" s="432">
        <f>C10*0.09278+(5238798*(C10/C8))+339590*0.45+(C10/(C8+C10))*(5238798-11089750)</f>
        <v>1157779.5517004775</v>
      </c>
      <c r="E10" s="315">
        <v>1538.5990663363827</v>
      </c>
      <c r="F10" s="315">
        <v>4315.1217338025735</v>
      </c>
      <c r="G10" s="315">
        <v>9389.6241332640639</v>
      </c>
      <c r="H10" s="126"/>
      <c r="I10" s="456"/>
      <c r="J10" s="457"/>
      <c r="K10" s="323"/>
      <c r="M10" s="241"/>
      <c r="N10" s="241"/>
    </row>
    <row r="11" spans="1:20" s="123" customFormat="1">
      <c r="A11" s="122"/>
      <c r="B11" s="315"/>
      <c r="C11" s="315"/>
      <c r="D11" s="319"/>
      <c r="E11" s="315"/>
      <c r="F11" s="315"/>
      <c r="G11" s="315"/>
      <c r="H11" s="126"/>
      <c r="I11" s="126"/>
      <c r="J11" s="317"/>
      <c r="K11" s="317"/>
      <c r="L11" s="241"/>
      <c r="M11" s="241"/>
      <c r="N11" s="321"/>
      <c r="R11" s="322"/>
      <c r="T11" s="322"/>
    </row>
    <row r="12" spans="1:20" s="123" customFormat="1">
      <c r="A12" s="65" t="s">
        <v>1218</v>
      </c>
      <c r="B12" s="315">
        <f>10506061/365+6050092/365</f>
        <v>45359.323287671228</v>
      </c>
      <c r="C12" s="315">
        <f>351664584+845636495-212199</f>
        <v>1197088880</v>
      </c>
      <c r="D12" s="432">
        <v>148100588.18000001</v>
      </c>
      <c r="E12" s="315">
        <v>213017.34637199674</v>
      </c>
      <c r="F12" s="315">
        <v>344696.92663794034</v>
      </c>
      <c r="G12" s="315">
        <v>504189.40375760838</v>
      </c>
      <c r="H12" s="126"/>
      <c r="I12" s="126"/>
      <c r="J12" s="323"/>
      <c r="K12" s="323"/>
      <c r="M12" s="241"/>
      <c r="N12" s="241"/>
    </row>
    <row r="13" spans="1:20" s="123" customFormat="1">
      <c r="B13" s="315"/>
      <c r="C13" s="315"/>
      <c r="D13" s="315"/>
      <c r="E13" s="315"/>
      <c r="F13" s="315"/>
      <c r="G13" s="315"/>
      <c r="H13" s="126"/>
      <c r="I13" s="126"/>
      <c r="J13" s="126"/>
      <c r="K13" s="126"/>
      <c r="L13" s="241"/>
      <c r="M13" s="241"/>
      <c r="N13" s="321"/>
      <c r="R13" s="322"/>
      <c r="T13" s="322"/>
    </row>
    <row r="14" spans="1:20" s="123" customFormat="1">
      <c r="A14" s="65" t="s">
        <v>1097</v>
      </c>
      <c r="B14" s="315">
        <f>25550/365</f>
        <v>70</v>
      </c>
      <c r="C14" s="315">
        <v>103621086</v>
      </c>
      <c r="D14" s="432">
        <v>10054861.74</v>
      </c>
      <c r="E14" s="315">
        <v>14423.275855243624</v>
      </c>
      <c r="F14" s="315">
        <v>22626.988030432454</v>
      </c>
      <c r="G14" s="315">
        <v>31182.551805860236</v>
      </c>
      <c r="H14" s="126"/>
      <c r="I14" s="126"/>
      <c r="J14" s="324"/>
      <c r="K14" s="324"/>
      <c r="L14" s="318"/>
      <c r="M14" s="318"/>
      <c r="N14" s="318"/>
    </row>
    <row r="15" spans="1:20" s="123" customFormat="1">
      <c r="A15" s="122"/>
      <c r="B15" s="315"/>
      <c r="C15" s="315"/>
      <c r="D15" s="315"/>
      <c r="E15" s="320"/>
      <c r="F15" s="320"/>
      <c r="G15" s="316"/>
      <c r="H15" s="323"/>
      <c r="I15" s="323"/>
      <c r="J15" s="323"/>
      <c r="K15" s="323"/>
    </row>
    <row r="16" spans="1:20" s="123" customFormat="1">
      <c r="A16" s="65" t="s">
        <v>1098</v>
      </c>
      <c r="B16" s="315">
        <f>1015575/365</f>
        <v>2782.3972602739727</v>
      </c>
      <c r="C16" s="315">
        <f>1509171943-298085</f>
        <v>1508873858</v>
      </c>
      <c r="D16" s="432">
        <v>147448878.13999999</v>
      </c>
      <c r="E16" s="315">
        <v>238519.2449461392</v>
      </c>
      <c r="F16" s="315">
        <v>383541.39107749885</v>
      </c>
      <c r="G16" s="315">
        <v>477537.689536402</v>
      </c>
      <c r="H16" s="126"/>
      <c r="I16" s="126"/>
      <c r="J16" s="323"/>
      <c r="K16" s="323"/>
      <c r="N16" s="241"/>
    </row>
    <row r="17" spans="1:20" s="123" customFormat="1">
      <c r="A17" s="122"/>
      <c r="B17" s="315"/>
      <c r="C17" s="315"/>
      <c r="D17" s="315"/>
      <c r="E17" s="320"/>
      <c r="F17" s="320"/>
      <c r="G17" s="316"/>
      <c r="H17" s="126"/>
      <c r="I17" s="126"/>
      <c r="J17" s="126"/>
      <c r="K17" s="126"/>
      <c r="L17" s="241"/>
      <c r="M17" s="241"/>
      <c r="N17" s="242"/>
    </row>
    <row r="18" spans="1:20" s="123" customFormat="1">
      <c r="A18" s="65" t="s">
        <v>1219</v>
      </c>
      <c r="B18" s="315">
        <f>48032/365</f>
        <v>131.59452054794519</v>
      </c>
      <c r="C18" s="126">
        <f>1992826476</f>
        <v>1992826476</v>
      </c>
      <c r="D18" s="432">
        <v>136688084.54999998</v>
      </c>
      <c r="E18" s="315">
        <v>226687.27944493658</v>
      </c>
      <c r="F18" s="315">
        <v>321647.06388980895</v>
      </c>
      <c r="G18" s="315">
        <v>492607.97701379319</v>
      </c>
      <c r="H18" s="126"/>
      <c r="I18" s="126"/>
      <c r="J18" s="324"/>
      <c r="K18" s="324"/>
      <c r="L18" s="318"/>
      <c r="M18" s="318"/>
      <c r="N18" s="318"/>
    </row>
    <row r="19" spans="1:20" s="123" customFormat="1">
      <c r="A19" s="122"/>
      <c r="B19" s="315"/>
      <c r="C19" s="315"/>
      <c r="D19" s="315"/>
      <c r="E19" s="325"/>
      <c r="F19" s="315"/>
      <c r="G19" s="316"/>
      <c r="H19" s="126"/>
      <c r="I19" s="126"/>
      <c r="J19" s="126"/>
      <c r="K19" s="126"/>
      <c r="L19" s="241"/>
      <c r="M19" s="241"/>
      <c r="N19" s="242"/>
    </row>
    <row r="20" spans="1:20" s="123" customFormat="1">
      <c r="A20" s="65" t="s">
        <v>1196</v>
      </c>
      <c r="B20" s="315">
        <f>184327/365</f>
        <v>505.00547945205477</v>
      </c>
      <c r="C20" s="315">
        <f>1288178137-46128</f>
        <v>1288132009</v>
      </c>
      <c r="D20" s="432">
        <v>101626163.23</v>
      </c>
      <c r="E20" s="315">
        <v>186382.85977024763</v>
      </c>
      <c r="F20" s="315">
        <v>304516.00456533756</v>
      </c>
      <c r="G20" s="316">
        <v>398342.01766712911</v>
      </c>
      <c r="H20" s="126"/>
      <c r="I20" s="126"/>
      <c r="J20" s="126"/>
      <c r="K20" s="126"/>
      <c r="L20" s="241"/>
      <c r="M20" s="241"/>
      <c r="N20" s="242"/>
    </row>
    <row r="21" spans="1:20" s="123" customFormat="1">
      <c r="A21" s="122"/>
      <c r="B21" s="315"/>
      <c r="C21" s="315"/>
      <c r="D21" s="315"/>
      <c r="E21" s="325"/>
      <c r="F21" s="315"/>
      <c r="G21" s="316"/>
      <c r="H21" s="126"/>
      <c r="I21" s="126"/>
      <c r="J21" s="126"/>
      <c r="K21" s="126"/>
      <c r="L21" s="241"/>
      <c r="M21" s="241"/>
      <c r="N21" s="242"/>
    </row>
    <row r="22" spans="1:20" s="123" customFormat="1">
      <c r="A22" s="65" t="s">
        <v>1099</v>
      </c>
      <c r="B22" s="315">
        <f>4745/365</f>
        <v>13</v>
      </c>
      <c r="C22" s="126">
        <v>1050890542</v>
      </c>
      <c r="D22" s="432">
        <v>64286866.589999996</v>
      </c>
      <c r="E22" s="315">
        <v>103765.18894177776</v>
      </c>
      <c r="F22" s="126">
        <v>158799.74271764961</v>
      </c>
      <c r="G22" s="326">
        <v>248117.46861058506</v>
      </c>
      <c r="H22" s="126"/>
      <c r="I22" s="126"/>
      <c r="J22" s="324"/>
      <c r="K22" s="324"/>
      <c r="L22" s="318"/>
      <c r="M22" s="318"/>
      <c r="N22" s="318"/>
    </row>
    <row r="23" spans="1:20" s="123" customFormat="1">
      <c r="B23" s="315"/>
      <c r="C23" s="315"/>
      <c r="D23" s="315"/>
      <c r="E23" s="315"/>
      <c r="F23" s="315"/>
      <c r="G23" s="315"/>
      <c r="H23" s="126"/>
      <c r="I23" s="126"/>
      <c r="J23" s="126"/>
      <c r="K23" s="126"/>
      <c r="L23" s="241"/>
      <c r="M23" s="241"/>
      <c r="N23" s="321"/>
      <c r="R23" s="322"/>
      <c r="T23" s="322"/>
    </row>
    <row r="24" spans="1:20" s="123" customFormat="1">
      <c r="A24" s="65" t="s">
        <v>572</v>
      </c>
      <c r="B24" s="315">
        <v>2</v>
      </c>
      <c r="C24" s="315">
        <v>56355100</v>
      </c>
      <c r="D24" s="432">
        <v>3635159.88</v>
      </c>
      <c r="E24" s="315">
        <v>5705.4716682053977</v>
      </c>
      <c r="F24" s="315">
        <v>10204.58234420671</v>
      </c>
      <c r="G24" s="326">
        <v>16631.198244821619</v>
      </c>
      <c r="H24" s="126"/>
      <c r="I24" s="126"/>
      <c r="J24" s="126"/>
      <c r="K24" s="126"/>
      <c r="L24" s="241"/>
      <c r="M24" s="241"/>
      <c r="N24" s="321"/>
      <c r="R24" s="322"/>
      <c r="T24" s="322"/>
    </row>
    <row r="25" spans="1:20" s="123" customFormat="1">
      <c r="B25" s="315"/>
      <c r="C25" s="315"/>
      <c r="D25" s="315"/>
      <c r="E25" s="315"/>
      <c r="F25" s="315"/>
      <c r="G25" s="315"/>
      <c r="H25" s="126"/>
      <c r="I25" s="126"/>
      <c r="J25" s="126"/>
      <c r="K25" s="126"/>
      <c r="L25" s="241"/>
      <c r="M25" s="241"/>
      <c r="N25" s="321"/>
      <c r="R25" s="322"/>
      <c r="T25" s="322"/>
    </row>
    <row r="26" spans="1:20" s="123" customFormat="1">
      <c r="A26" s="65" t="s">
        <v>1388</v>
      </c>
      <c r="B26" s="315">
        <f>1092108/12</f>
        <v>91009</v>
      </c>
      <c r="C26" s="315">
        <v>99001434.980000019</v>
      </c>
      <c r="D26" s="432">
        <v>22160939.829999998</v>
      </c>
      <c r="E26" s="315">
        <v>316.67944731733201</v>
      </c>
      <c r="F26" s="315">
        <v>24182.110712100763</v>
      </c>
      <c r="G26" s="315">
        <f>F26</f>
        <v>24182.110712100763</v>
      </c>
      <c r="H26" s="126"/>
      <c r="I26" s="126"/>
      <c r="J26" s="126"/>
      <c r="K26" s="126"/>
      <c r="L26" s="241"/>
      <c r="M26" s="241"/>
      <c r="N26" s="321"/>
      <c r="R26" s="322"/>
      <c r="T26" s="322"/>
    </row>
    <row r="27" spans="1:20" s="123" customFormat="1">
      <c r="B27" s="315"/>
      <c r="C27" s="315"/>
      <c r="D27" s="315"/>
      <c r="E27" s="315"/>
      <c r="F27" s="315"/>
      <c r="G27" s="315"/>
      <c r="H27" s="126"/>
      <c r="I27" s="126"/>
      <c r="J27" s="126"/>
      <c r="K27" s="126"/>
      <c r="L27" s="241"/>
      <c r="M27" s="241"/>
      <c r="N27" s="321"/>
      <c r="R27" s="322"/>
      <c r="T27" s="322"/>
    </row>
    <row r="28" spans="1:20" s="123" customFormat="1">
      <c r="A28" s="65" t="s">
        <v>1197</v>
      </c>
      <c r="B28" s="315">
        <f>58765/365</f>
        <v>161</v>
      </c>
      <c r="C28" s="315">
        <v>3448222</v>
      </c>
      <c r="D28" s="433">
        <v>243958.97</v>
      </c>
      <c r="E28" s="315">
        <v>11.029951610601675</v>
      </c>
      <c r="F28" s="315">
        <v>842.2634094387754</v>
      </c>
      <c r="G28" s="315">
        <f>F28</f>
        <v>842.2634094387754</v>
      </c>
      <c r="H28" s="126"/>
      <c r="I28" s="126"/>
      <c r="J28" s="126"/>
      <c r="K28" s="126"/>
      <c r="L28" s="241"/>
      <c r="M28" s="241"/>
      <c r="N28" s="321"/>
      <c r="R28" s="322"/>
      <c r="T28" s="322"/>
    </row>
    <row r="29" spans="1:20" s="123" customFormat="1">
      <c r="B29" s="315"/>
      <c r="C29" s="315"/>
      <c r="D29" s="315"/>
      <c r="E29" s="315"/>
      <c r="F29" s="315"/>
      <c r="G29" s="315"/>
      <c r="H29" s="126"/>
      <c r="I29" s="126"/>
      <c r="J29" s="126"/>
      <c r="K29" s="126"/>
      <c r="L29" s="241"/>
      <c r="M29" s="241"/>
      <c r="N29" s="321"/>
      <c r="R29" s="322"/>
      <c r="T29" s="322"/>
    </row>
    <row r="30" spans="1:20" s="123" customFormat="1">
      <c r="A30" s="137" t="s">
        <v>1258</v>
      </c>
      <c r="B30" s="315">
        <f>365000/365</f>
        <v>1000</v>
      </c>
      <c r="C30" s="315">
        <v>3215713</v>
      </c>
      <c r="D30" s="432">
        <v>318741.55000000005</v>
      </c>
      <c r="E30" s="315">
        <v>307.30645488745159</v>
      </c>
      <c r="F30" s="315">
        <v>386.63809557648403</v>
      </c>
      <c r="G30" s="315">
        <f>F30</f>
        <v>386.63809557648403</v>
      </c>
      <c r="H30" s="126"/>
      <c r="I30" s="396"/>
      <c r="J30" s="126"/>
      <c r="K30" s="126"/>
      <c r="L30" s="241"/>
      <c r="M30" s="241"/>
      <c r="N30" s="321"/>
      <c r="R30" s="322"/>
      <c r="T30" s="322"/>
    </row>
    <row r="31" spans="1:20" s="123" customFormat="1">
      <c r="B31" s="315"/>
      <c r="C31" s="315"/>
      <c r="D31" s="315"/>
      <c r="E31" s="315"/>
      <c r="F31" s="315"/>
      <c r="G31" s="315"/>
      <c r="H31" s="126"/>
      <c r="I31" s="126"/>
      <c r="J31" s="126"/>
      <c r="K31" s="126"/>
      <c r="L31" s="241"/>
      <c r="M31" s="241"/>
      <c r="N31" s="321"/>
      <c r="R31" s="322"/>
      <c r="T31" s="322"/>
    </row>
    <row r="32" spans="1:20" s="123" customFormat="1">
      <c r="A32" s="137" t="s">
        <v>1254</v>
      </c>
      <c r="B32" s="315">
        <f>365/365</f>
        <v>1</v>
      </c>
      <c r="C32" s="315">
        <v>11550</v>
      </c>
      <c r="D32" s="432">
        <v>15468.33</v>
      </c>
      <c r="E32" s="315">
        <v>0.7310553686188852</v>
      </c>
      <c r="F32" s="315">
        <v>42.076752768819269</v>
      </c>
      <c r="G32" s="315">
        <f>F32</f>
        <v>42.076752768819269</v>
      </c>
      <c r="H32" s="126"/>
      <c r="I32" s="126"/>
      <c r="J32" s="126"/>
      <c r="K32" s="126"/>
      <c r="L32" s="241"/>
      <c r="M32" s="241"/>
      <c r="N32" s="321"/>
      <c r="R32" s="322"/>
      <c r="T32" s="322"/>
    </row>
    <row r="33" spans="1:20" s="123" customFormat="1">
      <c r="A33" s="137"/>
      <c r="B33" s="315"/>
      <c r="C33" s="315"/>
      <c r="D33" s="315"/>
      <c r="E33" s="315"/>
      <c r="F33" s="315"/>
      <c r="G33" s="315"/>
      <c r="H33" s="126"/>
      <c r="I33" s="126"/>
      <c r="J33" s="126"/>
      <c r="K33" s="126"/>
      <c r="L33" s="241"/>
      <c r="M33" s="241"/>
      <c r="N33" s="321"/>
      <c r="R33" s="322"/>
      <c r="T33" s="322"/>
    </row>
    <row r="34" spans="1:20" s="123" customFormat="1">
      <c r="A34" s="137" t="s">
        <v>1249</v>
      </c>
      <c r="B34" s="315">
        <v>10</v>
      </c>
      <c r="C34" s="315">
        <v>18250</v>
      </c>
      <c r="D34" s="432">
        <f>1533</f>
        <v>1533</v>
      </c>
      <c r="E34" s="315">
        <v>3.3169892018545468</v>
      </c>
      <c r="F34" s="315">
        <v>4.2130000000000001</v>
      </c>
      <c r="G34" s="315">
        <f>F34</f>
        <v>4.2130000000000001</v>
      </c>
      <c r="H34" s="126"/>
      <c r="I34" s="126"/>
      <c r="J34" s="126"/>
      <c r="K34" s="126"/>
      <c r="L34" s="241"/>
      <c r="M34" s="241"/>
      <c r="N34" s="321"/>
      <c r="R34" s="322"/>
      <c r="T34" s="322"/>
    </row>
    <row r="35" spans="1:20" s="123" customFormat="1">
      <c r="A35" s="137"/>
      <c r="B35" s="315"/>
      <c r="C35" s="315"/>
      <c r="D35" s="315"/>
      <c r="E35" s="315"/>
      <c r="F35" s="315"/>
      <c r="G35" s="315"/>
      <c r="H35" s="126"/>
      <c r="I35" s="126"/>
      <c r="J35" s="126"/>
      <c r="K35" s="126"/>
      <c r="L35" s="241"/>
      <c r="M35" s="241"/>
      <c r="N35" s="321"/>
      <c r="R35" s="322"/>
      <c r="T35" s="322"/>
    </row>
    <row r="36" spans="1:20" s="123" customFormat="1">
      <c r="A36" s="137" t="s">
        <v>1251</v>
      </c>
      <c r="B36" s="315"/>
      <c r="C36" s="315"/>
      <c r="D36" s="432">
        <v>237096</v>
      </c>
      <c r="E36" s="315"/>
      <c r="F36" s="315">
        <v>0</v>
      </c>
      <c r="G36" s="315">
        <v>0</v>
      </c>
      <c r="H36" s="126"/>
      <c r="I36" s="126"/>
      <c r="J36" s="126"/>
      <c r="K36" s="126"/>
      <c r="L36" s="241"/>
      <c r="M36" s="241"/>
      <c r="N36" s="321"/>
      <c r="R36" s="322"/>
      <c r="T36" s="322"/>
    </row>
    <row r="37" spans="1:20" s="123" customFormat="1">
      <c r="A37" s="137"/>
      <c r="B37" s="315"/>
      <c r="C37" s="315"/>
      <c r="D37" s="315"/>
      <c r="E37" s="315"/>
      <c r="F37" s="315"/>
      <c r="G37" s="315"/>
      <c r="H37" s="126"/>
      <c r="I37" s="126"/>
      <c r="J37" s="126"/>
      <c r="K37" s="126"/>
      <c r="L37" s="241"/>
      <c r="M37" s="241"/>
      <c r="N37" s="321"/>
      <c r="R37" s="322"/>
      <c r="T37" s="322"/>
    </row>
    <row r="38" spans="1:20" s="123" customFormat="1">
      <c r="A38" s="327" t="s">
        <v>1252</v>
      </c>
      <c r="B38" s="328"/>
      <c r="C38" s="328"/>
      <c r="D38" s="443">
        <v>9936</v>
      </c>
      <c r="E38" s="328"/>
      <c r="F38" s="315">
        <v>0</v>
      </c>
      <c r="G38" s="328">
        <v>0</v>
      </c>
      <c r="H38" s="126"/>
      <c r="I38" s="126"/>
      <c r="J38" s="126"/>
      <c r="K38" s="126"/>
      <c r="L38" s="241"/>
      <c r="M38" s="241"/>
      <c r="N38" s="321"/>
      <c r="R38" s="322"/>
      <c r="T38" s="322"/>
    </row>
    <row r="39" spans="1:20" s="123" customFormat="1">
      <c r="A39" s="65" t="s">
        <v>846</v>
      </c>
      <c r="B39" s="315">
        <f>SUM(B8:B38)</f>
        <v>518643.12328767125</v>
      </c>
      <c r="C39" s="315">
        <f t="shared" ref="C39:G39" si="0">SUM(C8:C38)</f>
        <v>11352592560.98</v>
      </c>
      <c r="D39" s="319">
        <f>SUM(D8:D38)</f>
        <v>1066653012.4400001</v>
      </c>
      <c r="E39" s="315">
        <f t="shared" si="0"/>
        <v>1891716.295889585</v>
      </c>
      <c r="F39" s="329">
        <f>SUM(F8:F38)</f>
        <v>2983008.6430444098</v>
      </c>
      <c r="G39" s="315">
        <f t="shared" si="0"/>
        <v>5349416.2744781254</v>
      </c>
      <c r="H39" s="126"/>
      <c r="I39" s="126"/>
      <c r="J39" s="126"/>
      <c r="K39" s="126"/>
      <c r="L39" s="241"/>
      <c r="M39" s="241"/>
      <c r="N39" s="321"/>
      <c r="R39" s="322"/>
      <c r="T39" s="322"/>
    </row>
    <row r="40" spans="1:20">
      <c r="A40" s="45"/>
      <c r="B40" s="278"/>
      <c r="C40" s="241"/>
      <c r="D40" s="125"/>
      <c r="E40" s="279"/>
      <c r="F40" s="241"/>
      <c r="G40" s="241"/>
      <c r="H40" s="120"/>
      <c r="I40" s="120"/>
      <c r="J40" s="120"/>
      <c r="K40" s="120"/>
      <c r="L40" s="120"/>
      <c r="M40" s="120"/>
      <c r="N40" s="120"/>
    </row>
    <row r="41" spans="1:20">
      <c r="A41" s="114"/>
      <c r="B41" s="280"/>
      <c r="C41" s="280"/>
      <c r="D41" s="277"/>
      <c r="E41" s="280"/>
      <c r="F41" s="280"/>
      <c r="G41" s="280"/>
      <c r="H41" s="84"/>
      <c r="I41" s="84"/>
      <c r="J41" s="84"/>
      <c r="K41" s="84"/>
      <c r="L41" s="84"/>
      <c r="M41" s="84"/>
      <c r="N41" s="84"/>
    </row>
    <row r="42" spans="1:20">
      <c r="A42" s="114"/>
      <c r="B42" s="280"/>
      <c r="C42" s="280"/>
      <c r="D42" s="280"/>
      <c r="E42" s="280"/>
      <c r="F42" s="280"/>
      <c r="G42" s="280"/>
      <c r="H42" s="84"/>
      <c r="I42" s="84"/>
      <c r="J42" s="84"/>
    </row>
    <row r="43" spans="1:20" ht="15.9">
      <c r="C43" s="117"/>
      <c r="D43" s="117"/>
      <c r="E43" s="117"/>
      <c r="F43" s="117"/>
      <c r="G43" s="17"/>
      <c r="H43" s="117"/>
      <c r="I43" s="117"/>
      <c r="J43" s="117"/>
      <c r="K43" s="117"/>
      <c r="L43" s="117"/>
      <c r="M43" s="117"/>
      <c r="N43" s="117"/>
    </row>
    <row r="44" spans="1:20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20">
      <c r="C45" s="117"/>
      <c r="D45" s="117"/>
      <c r="E45" s="117"/>
      <c r="F45" s="117"/>
      <c r="G45" s="117"/>
      <c r="H45" s="117"/>
      <c r="I45" s="117"/>
      <c r="J45" s="117"/>
      <c r="K45" s="117"/>
      <c r="N45" s="118"/>
    </row>
    <row r="46" spans="1:20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20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</row>
    <row r="48" spans="1:20"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R48" s="121"/>
      <c r="T48" s="121"/>
    </row>
    <row r="49" spans="3:20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3:20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3:20">
      <c r="C51" s="117"/>
      <c r="D51" s="117"/>
      <c r="E51" s="117"/>
      <c r="F51" s="117"/>
      <c r="G51" s="117"/>
      <c r="H51" s="117"/>
      <c r="I51" s="117"/>
      <c r="J51" s="117"/>
      <c r="K51" s="117"/>
      <c r="N51" s="118"/>
    </row>
    <row r="52" spans="3:20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3:20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</row>
    <row r="54" spans="3:20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R54" s="121"/>
      <c r="T54" s="121"/>
    </row>
    <row r="55" spans="3:20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3:20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3:20">
      <c r="C57" s="117"/>
      <c r="D57" s="117"/>
      <c r="E57" s="117"/>
      <c r="F57" s="117"/>
      <c r="G57" s="117"/>
      <c r="H57" s="117"/>
      <c r="I57" s="117"/>
      <c r="J57" s="117"/>
      <c r="K57" s="117"/>
      <c r="N57" s="118"/>
    </row>
    <row r="58" spans="3:20"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N58" s="118"/>
    </row>
    <row r="59" spans="3:20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3:20"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R60" s="121"/>
      <c r="T60" s="121"/>
    </row>
    <row r="61" spans="3:20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3:20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3:20">
      <c r="C63" s="117"/>
      <c r="D63" s="117"/>
      <c r="E63" s="117"/>
      <c r="F63" s="117"/>
      <c r="G63" s="117"/>
      <c r="H63" s="117"/>
      <c r="I63" s="117"/>
      <c r="J63" s="117"/>
      <c r="K63" s="117"/>
      <c r="N63" s="118"/>
    </row>
    <row r="64" spans="3:20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8"/>
    </row>
    <row r="65" spans="3:20"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18"/>
      <c r="Q65" s="128"/>
    </row>
    <row r="66" spans="3:20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R66" s="121"/>
      <c r="T66" s="121"/>
    </row>
    <row r="67" spans="3:20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Q67" s="129"/>
    </row>
    <row r="68" spans="3:20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3:20">
      <c r="C69" s="117"/>
      <c r="D69" s="117"/>
      <c r="E69" s="117"/>
      <c r="F69" s="117"/>
      <c r="G69" s="117"/>
      <c r="H69" s="117"/>
      <c r="I69" s="117"/>
      <c r="J69" s="117"/>
      <c r="K69" s="117"/>
      <c r="N69" s="118"/>
    </row>
    <row r="70" spans="3:20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3:20">
      <c r="C71" s="117"/>
      <c r="D71" s="117"/>
      <c r="E71" s="117"/>
      <c r="F71" s="117"/>
      <c r="G71" s="117"/>
      <c r="H71" s="117"/>
      <c r="I71" s="117"/>
      <c r="J71" s="127"/>
      <c r="K71" s="117"/>
      <c r="N71" s="118"/>
      <c r="Q71" s="128"/>
    </row>
    <row r="72" spans="3:20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R72" s="121"/>
      <c r="T72" s="121"/>
    </row>
    <row r="73" spans="3:20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Q73" s="129"/>
    </row>
    <row r="74" spans="3:20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3:20">
      <c r="C75" s="117"/>
      <c r="D75" s="117"/>
      <c r="E75" s="117"/>
      <c r="F75" s="117"/>
      <c r="G75" s="117"/>
      <c r="H75" s="117"/>
      <c r="I75" s="117"/>
      <c r="J75" s="117"/>
      <c r="K75" s="117"/>
      <c r="N75" s="118"/>
    </row>
    <row r="76" spans="3:20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3:20"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18"/>
      <c r="Q77" s="128"/>
    </row>
    <row r="78" spans="3:20">
      <c r="C78" s="12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R78" s="121"/>
      <c r="T78" s="121"/>
    </row>
    <row r="79" spans="3:20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Q79" s="129"/>
    </row>
    <row r="80" spans="3:20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Q80" s="129"/>
    </row>
    <row r="81" spans="3:20">
      <c r="C81" s="117"/>
      <c r="D81" s="117"/>
      <c r="E81" s="117"/>
      <c r="F81" s="117"/>
      <c r="G81" s="117"/>
      <c r="H81" s="117"/>
      <c r="I81" s="117"/>
      <c r="J81" s="117"/>
      <c r="K81" s="117"/>
      <c r="N81" s="118"/>
    </row>
    <row r="82" spans="3:20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27"/>
      <c r="N82" s="118"/>
    </row>
    <row r="83" spans="3:20">
      <c r="C83" s="117"/>
      <c r="D83" s="117"/>
      <c r="E83" s="117"/>
      <c r="F83" s="117"/>
      <c r="G83" s="117"/>
      <c r="H83" s="117"/>
      <c r="I83" s="117"/>
      <c r="J83" s="127"/>
      <c r="K83" s="117"/>
      <c r="L83" s="117"/>
      <c r="M83" s="117"/>
      <c r="N83" s="118"/>
    </row>
    <row r="84" spans="3:20">
      <c r="C84" s="120"/>
      <c r="D84" s="120"/>
      <c r="E84" s="120"/>
      <c r="F84" s="120"/>
      <c r="G84" s="120"/>
      <c r="H84" s="120"/>
      <c r="I84" s="117"/>
      <c r="J84" s="120"/>
      <c r="K84" s="120"/>
      <c r="L84" s="120"/>
      <c r="M84" s="120"/>
      <c r="N84" s="120"/>
      <c r="R84" s="121"/>
      <c r="T84" s="121"/>
    </row>
    <row r="85" spans="3:20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3:20">
      <c r="C86" s="117"/>
      <c r="D86" s="117"/>
      <c r="E86" s="117"/>
      <c r="F86" s="117"/>
      <c r="G86" s="117"/>
      <c r="H86" s="117"/>
      <c r="I86" s="117"/>
      <c r="J86" s="127"/>
      <c r="K86" s="117"/>
      <c r="N86" s="118"/>
    </row>
    <row r="87" spans="3:20">
      <c r="C87" s="117"/>
      <c r="D87" s="117"/>
      <c r="E87" s="117"/>
      <c r="F87" s="117"/>
      <c r="G87" s="117"/>
      <c r="H87" s="117"/>
      <c r="I87" s="117"/>
      <c r="J87" s="117"/>
      <c r="K87" s="117"/>
      <c r="N87" s="118"/>
    </row>
    <row r="88" spans="3:20">
      <c r="C88" s="117"/>
      <c r="D88" s="117"/>
      <c r="E88" s="117"/>
      <c r="F88" s="117"/>
      <c r="G88" s="117"/>
      <c r="H88" s="117"/>
      <c r="I88" s="117"/>
      <c r="J88" s="127"/>
      <c r="K88" s="117"/>
      <c r="L88" s="117"/>
      <c r="M88" s="117"/>
      <c r="N88" s="118"/>
    </row>
    <row r="89" spans="3:20">
      <c r="C89" s="117"/>
      <c r="D89" s="117"/>
      <c r="E89" s="117"/>
      <c r="F89" s="117"/>
      <c r="G89" s="117"/>
      <c r="H89" s="117"/>
      <c r="I89" s="117"/>
      <c r="J89" s="127"/>
      <c r="K89" s="117"/>
      <c r="N89" s="118"/>
    </row>
    <row r="90" spans="3:20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3:20">
      <c r="C91" s="117"/>
      <c r="D91" s="117"/>
      <c r="E91" s="117"/>
      <c r="F91" s="117"/>
      <c r="G91" s="117"/>
      <c r="H91" s="117"/>
      <c r="I91" s="117"/>
      <c r="J91" s="127"/>
    </row>
    <row r="92" spans="3:20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R92" s="121"/>
      <c r="T92" s="121"/>
    </row>
    <row r="93" spans="3:20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3:20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T94" s="121"/>
    </row>
    <row r="95" spans="3:20">
      <c r="C95" s="120"/>
      <c r="D95" s="120"/>
      <c r="E95" s="120"/>
      <c r="F95" s="120"/>
      <c r="G95" s="120"/>
      <c r="H95" s="120"/>
      <c r="I95" s="120"/>
      <c r="J95" s="120"/>
      <c r="K95" s="119"/>
      <c r="L95" s="119"/>
      <c r="M95" s="119"/>
      <c r="N95" s="119"/>
    </row>
    <row r="96" spans="3:20">
      <c r="C96" s="120"/>
      <c r="D96" s="120"/>
      <c r="E96" s="120"/>
      <c r="F96" s="120"/>
      <c r="G96" s="120"/>
      <c r="H96" s="120"/>
      <c r="I96" s="120"/>
      <c r="J96" s="120"/>
      <c r="K96" s="119"/>
      <c r="L96" s="119"/>
      <c r="M96" s="119"/>
      <c r="N96" s="119"/>
    </row>
    <row r="97" spans="3:14">
      <c r="C97" s="120"/>
      <c r="D97" s="120"/>
      <c r="E97" s="120"/>
      <c r="F97" s="120"/>
      <c r="G97" s="120"/>
      <c r="H97" s="120"/>
      <c r="I97" s="120"/>
      <c r="J97" s="120"/>
      <c r="K97" s="119"/>
      <c r="L97" s="119"/>
      <c r="M97" s="119"/>
      <c r="N97" s="119"/>
    </row>
    <row r="98" spans="3:14">
      <c r="C98" s="120"/>
      <c r="D98" s="120"/>
      <c r="E98" s="120"/>
      <c r="F98" s="120"/>
      <c r="G98" s="120"/>
      <c r="H98" s="120"/>
      <c r="I98" s="120"/>
      <c r="J98" s="120"/>
      <c r="K98" s="119"/>
      <c r="L98" s="119"/>
      <c r="M98" s="119"/>
      <c r="N98" s="119"/>
    </row>
    <row r="99" spans="3:14">
      <c r="C99" s="117"/>
      <c r="D99" s="124"/>
      <c r="E99" s="124"/>
      <c r="F99" s="124"/>
      <c r="G99" s="127"/>
      <c r="H99" s="124"/>
      <c r="I99" s="127"/>
      <c r="J99" s="124"/>
      <c r="K99" s="124"/>
      <c r="L99" s="124"/>
      <c r="M99" s="124"/>
    </row>
    <row r="100" spans="3:14">
      <c r="C100" s="117"/>
      <c r="D100" s="124"/>
      <c r="E100" s="124"/>
      <c r="F100" s="124"/>
      <c r="G100" s="127"/>
      <c r="H100" s="124"/>
      <c r="I100" s="127"/>
      <c r="J100" s="124"/>
      <c r="K100" s="124"/>
      <c r="L100" s="124"/>
      <c r="M100" s="124"/>
    </row>
    <row r="101" spans="3:14">
      <c r="C101" s="117"/>
      <c r="D101" s="124"/>
      <c r="E101" s="124"/>
      <c r="F101" s="124"/>
      <c r="G101" s="127"/>
      <c r="H101" s="124"/>
      <c r="I101" s="127"/>
      <c r="J101" s="124"/>
      <c r="K101" s="124"/>
      <c r="L101" s="124"/>
      <c r="M101" s="124"/>
    </row>
    <row r="102" spans="3:14" ht="15.9">
      <c r="C102" s="17"/>
      <c r="D102" s="124"/>
      <c r="E102" s="124"/>
      <c r="F102" s="124"/>
      <c r="G102" s="85"/>
      <c r="H102" s="124"/>
      <c r="I102" s="127"/>
      <c r="J102" s="16"/>
      <c r="K102" s="16"/>
      <c r="L102" s="16"/>
      <c r="M102" s="16"/>
    </row>
    <row r="103" spans="3:14">
      <c r="C103" s="117"/>
      <c r="D103" s="124"/>
      <c r="E103" s="124"/>
      <c r="F103" s="124"/>
      <c r="G103" s="127"/>
      <c r="H103" s="124"/>
      <c r="I103" s="127"/>
      <c r="J103" s="124"/>
      <c r="K103" s="124"/>
      <c r="L103" s="124"/>
      <c r="M103" s="124"/>
    </row>
    <row r="104" spans="3:14" ht="15.9">
      <c r="C104" s="17"/>
      <c r="D104" s="130"/>
      <c r="E104" s="16"/>
      <c r="F104" s="16"/>
      <c r="G104" s="127"/>
      <c r="H104" s="16"/>
      <c r="I104" s="85"/>
      <c r="J104" s="16"/>
      <c r="K104" s="16"/>
      <c r="L104" s="16"/>
      <c r="M104" s="16"/>
    </row>
    <row r="105" spans="3:14">
      <c r="C105" s="117"/>
      <c r="D105" s="124"/>
      <c r="E105" s="124"/>
      <c r="F105" s="124"/>
      <c r="G105" s="127"/>
      <c r="H105" s="124"/>
      <c r="I105" s="127"/>
      <c r="J105" s="124"/>
      <c r="K105" s="124"/>
      <c r="L105" s="124"/>
      <c r="M105" s="124"/>
    </row>
    <row r="106" spans="3:14" ht="15.9">
      <c r="C106" s="86"/>
      <c r="D106" s="130"/>
      <c r="E106" s="16"/>
      <c r="F106" s="16"/>
      <c r="G106" s="127"/>
      <c r="H106" s="16"/>
      <c r="I106" s="87"/>
    </row>
    <row r="107" spans="3:14">
      <c r="C107" s="117"/>
      <c r="D107" s="124"/>
      <c r="E107" s="124"/>
      <c r="F107" s="124"/>
      <c r="G107" s="127"/>
      <c r="H107" s="124"/>
      <c r="I107" s="127"/>
    </row>
    <row r="108" spans="3:14">
      <c r="C108" s="117"/>
      <c r="G108" s="127"/>
      <c r="I108" s="127"/>
    </row>
    <row r="109" spans="3:14">
      <c r="C109" s="117"/>
      <c r="G109" s="127"/>
      <c r="I109" s="127"/>
    </row>
    <row r="110" spans="3:14">
      <c r="C110" s="117"/>
      <c r="G110" s="127"/>
      <c r="I110" s="127"/>
    </row>
    <row r="111" spans="3:14">
      <c r="C111" s="117"/>
      <c r="G111" s="127"/>
      <c r="I111" s="127"/>
      <c r="J111" s="124"/>
      <c r="K111" s="124"/>
      <c r="L111" s="124"/>
      <c r="M111" s="131"/>
    </row>
    <row r="112" spans="3:14">
      <c r="C112" s="117"/>
      <c r="G112" s="127"/>
      <c r="I112" s="127"/>
      <c r="J112" s="124"/>
      <c r="K112" s="124"/>
      <c r="L112" s="124"/>
      <c r="M112" s="131"/>
    </row>
    <row r="113" spans="3:13" ht="15.9">
      <c r="C113" s="17"/>
      <c r="D113" s="124"/>
      <c r="E113" s="124"/>
      <c r="F113" s="124"/>
      <c r="G113" s="85"/>
      <c r="H113" s="124"/>
      <c r="I113" s="127"/>
      <c r="J113" s="124"/>
      <c r="K113" s="124"/>
      <c r="L113" s="124"/>
      <c r="M113" s="131"/>
    </row>
    <row r="114" spans="3:13">
      <c r="C114" s="117"/>
      <c r="D114" s="124"/>
      <c r="E114" s="124"/>
      <c r="F114" s="124"/>
      <c r="G114" s="127"/>
      <c r="H114" s="124"/>
      <c r="I114" s="127"/>
      <c r="J114" s="124"/>
      <c r="K114" s="124"/>
      <c r="L114" s="124"/>
      <c r="M114" s="131"/>
    </row>
    <row r="115" spans="3:13">
      <c r="C115" s="117"/>
      <c r="D115" s="124"/>
      <c r="E115" s="124"/>
      <c r="F115" s="124"/>
      <c r="G115" s="127"/>
      <c r="H115" s="124"/>
      <c r="I115" s="127"/>
      <c r="J115" s="124"/>
      <c r="K115" s="124"/>
      <c r="L115" s="124"/>
      <c r="M115" s="131"/>
    </row>
    <row r="116" spans="3:13">
      <c r="C116" s="117"/>
      <c r="D116" s="124"/>
      <c r="E116" s="124"/>
      <c r="F116" s="124"/>
      <c r="G116" s="127"/>
      <c r="H116" s="124"/>
      <c r="I116" s="127"/>
      <c r="J116" s="124"/>
      <c r="K116" s="124"/>
      <c r="L116" s="124"/>
      <c r="M116" s="131"/>
    </row>
    <row r="117" spans="3:13" ht="15.9">
      <c r="C117" s="117"/>
      <c r="D117" s="124"/>
      <c r="E117" s="124"/>
      <c r="F117" s="124"/>
      <c r="G117" s="127"/>
      <c r="H117" s="124"/>
      <c r="I117" s="127"/>
      <c r="J117" s="16"/>
      <c r="K117" s="16"/>
      <c r="L117" s="16"/>
      <c r="M117" s="88"/>
    </row>
    <row r="118" spans="3:13">
      <c r="C118" s="117"/>
      <c r="D118" s="124"/>
      <c r="E118" s="124"/>
      <c r="F118" s="124"/>
      <c r="G118" s="127"/>
      <c r="H118" s="124"/>
      <c r="I118" s="127"/>
      <c r="J118" s="124"/>
      <c r="K118" s="124"/>
      <c r="L118" s="124"/>
      <c r="M118" s="124"/>
    </row>
    <row r="119" spans="3:13" ht="15.9">
      <c r="C119" s="86"/>
      <c r="D119" s="130"/>
      <c r="E119" s="16"/>
      <c r="F119" s="16"/>
      <c r="G119" s="127"/>
      <c r="H119" s="16"/>
      <c r="I119" s="87"/>
      <c r="J119" s="16"/>
      <c r="K119" s="16"/>
      <c r="L119" s="16"/>
      <c r="M119" s="88"/>
    </row>
    <row r="120" spans="3:13">
      <c r="C120" s="117"/>
      <c r="D120" s="124"/>
      <c r="E120" s="124"/>
      <c r="F120" s="124"/>
      <c r="G120" s="127"/>
      <c r="H120" s="124"/>
      <c r="I120" s="127"/>
      <c r="J120" s="124"/>
      <c r="K120" s="124"/>
      <c r="L120" s="124"/>
      <c r="M120" s="124"/>
    </row>
    <row r="121" spans="3:13" ht="15.9">
      <c r="C121" s="86"/>
      <c r="D121" s="130"/>
      <c r="E121" s="16"/>
      <c r="F121" s="16"/>
      <c r="G121" s="127"/>
      <c r="H121" s="16"/>
      <c r="I121" s="85"/>
    </row>
    <row r="122" spans="3:13" ht="15.9">
      <c r="C122" s="17"/>
      <c r="D122" s="124"/>
      <c r="E122" s="124"/>
      <c r="F122" s="124"/>
      <c r="G122" s="85"/>
      <c r="H122" s="124"/>
      <c r="I122" s="127"/>
    </row>
    <row r="123" spans="3:13">
      <c r="C123" s="118"/>
      <c r="G123" s="118"/>
      <c r="I123" s="127"/>
    </row>
    <row r="124" spans="3:13">
      <c r="I124" s="127"/>
    </row>
    <row r="125" spans="3:13">
      <c r="C125" s="118"/>
      <c r="D125" s="118"/>
      <c r="E125" s="118"/>
      <c r="F125" s="118"/>
      <c r="G125" s="118"/>
      <c r="I125" s="127"/>
    </row>
  </sheetData>
  <phoneticPr fontId="0" type="noConversion"/>
  <pageMargins left="0.75" right="0.75" top="1" bottom="1" header="0.5" footer="0.5"/>
  <pageSetup scale="7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63"/>
  <sheetViews>
    <sheetView view="pageBreakPreview" topLeftCell="H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style="44" customWidth="1"/>
    <col min="12" max="12" width="17.83984375" customWidth="1"/>
    <col min="13" max="13" width="10.68359375" bestFit="1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63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364"/>
      <c r="L5" s="20"/>
      <c r="M5" s="20"/>
      <c r="N5" s="20"/>
    </row>
    <row r="6" spans="1:14" ht="15">
      <c r="A6" s="472" t="s">
        <v>569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365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366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366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367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368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Proforma'!H176</f>
        <v>4038872.4825251354</v>
      </c>
      <c r="E14" s="333">
        <f>'Allocation Proforma'!H125+'Allocation Proforma'!H126+'Allocation Proforma'!H127</f>
        <v>1645546.2246159038</v>
      </c>
      <c r="F14" s="333">
        <f>'Allocation Proforma'!H128</f>
        <v>75472.225527909322</v>
      </c>
      <c r="G14" s="333">
        <f>'Allocation Proforma'!H137</f>
        <v>501782.3069340756</v>
      </c>
      <c r="H14" s="333">
        <f>'Allocation Proforma'!H147+'Allocation Proforma'!H149+'Allocation Proforma'!H154+'Allocation Proforma'!H143</f>
        <v>751044.84630325472</v>
      </c>
      <c r="I14" s="333">
        <f>'Allocation Proforma'!H148+'Allocation Proforma'!H150+'Allocation Proforma'!H155+'Allocation Proforma'!H159+'Allocation Proforma'!H162+'Allocation Proforma'!H165</f>
        <v>1054436.1942070469</v>
      </c>
      <c r="J14" s="333">
        <f>'Allocation Proforma'!H168+'Allocation Proforma'!H171</f>
        <v>10590.684936945683</v>
      </c>
      <c r="K14" s="269">
        <f>SUM(E14:J14)</f>
        <v>4038872.4825251359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4038872.4825251354</v>
      </c>
      <c r="E16" s="333">
        <f t="shared" ref="E16:K16" si="1">E14+E15</f>
        <v>1645546.2246159038</v>
      </c>
      <c r="F16" s="333">
        <f t="shared" si="1"/>
        <v>75472.225527909322</v>
      </c>
      <c r="G16" s="333">
        <f t="shared" si="1"/>
        <v>501782.3069340756</v>
      </c>
      <c r="H16" s="333">
        <f t="shared" si="1"/>
        <v>751044.84630325472</v>
      </c>
      <c r="I16" s="333">
        <f t="shared" si="1"/>
        <v>1054436.1942070469</v>
      </c>
      <c r="J16" s="333">
        <f t="shared" si="1"/>
        <v>10590.684936945683</v>
      </c>
      <c r="K16" s="269">
        <f t="shared" si="1"/>
        <v>4038872.4825251359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Proforma'!H946</f>
        <v>4.7684283189809483E-3</v>
      </c>
      <c r="E18" s="335">
        <f t="shared" ref="E18:J18" si="2">D18</f>
        <v>4.7684283189809483E-3</v>
      </c>
      <c r="F18" s="335">
        <f t="shared" si="2"/>
        <v>4.7684283189809483E-3</v>
      </c>
      <c r="G18" s="335">
        <f t="shared" si="2"/>
        <v>4.7684283189809483E-3</v>
      </c>
      <c r="H18" s="335">
        <f t="shared" si="2"/>
        <v>4.7684283189809483E-3</v>
      </c>
      <c r="I18" s="335">
        <f t="shared" si="2"/>
        <v>4.7684283189809483E-3</v>
      </c>
      <c r="J18" s="335">
        <f t="shared" si="2"/>
        <v>4.7684283189809483E-3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19259.073922425741</v>
      </c>
      <c r="E20" s="352">
        <f t="shared" ref="E20:J20" si="3">E18*E16</f>
        <v>7846.6692176506604</v>
      </c>
      <c r="F20" s="352">
        <f t="shared" si="3"/>
        <v>359.88389750379969</v>
      </c>
      <c r="G20" s="352">
        <f t="shared" si="3"/>
        <v>2392.7129623480364</v>
      </c>
      <c r="H20" s="352">
        <f t="shared" si="3"/>
        <v>3581.3035139371336</v>
      </c>
      <c r="I20" s="352">
        <f t="shared" si="3"/>
        <v>5028.0034090153777</v>
      </c>
      <c r="J20" s="352">
        <f t="shared" si="3"/>
        <v>50.500921970736755</v>
      </c>
      <c r="K20" s="269">
        <f>SUM(E20:J20)</f>
        <v>19259.073922425741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Proforma'!H738</f>
        <v>87583.183463206195</v>
      </c>
      <c r="E22" s="352">
        <f t="shared" ref="E22:J22" si="4">(E14/$D$14)*$D$22</f>
        <v>35683.765088224493</v>
      </c>
      <c r="F22" s="352">
        <f t="shared" si="4"/>
        <v>1636.6195772179146</v>
      </c>
      <c r="G22" s="352">
        <f t="shared" si="4"/>
        <v>10881.178357807805</v>
      </c>
      <c r="H22" s="352">
        <f t="shared" si="4"/>
        <v>16286.450945771865</v>
      </c>
      <c r="I22" s="352">
        <f t="shared" si="4"/>
        <v>22865.509878574376</v>
      </c>
      <c r="J22" s="352">
        <f t="shared" si="4"/>
        <v>229.65961560975217</v>
      </c>
      <c r="K22" s="269">
        <f>SUM(E22:J22)</f>
        <v>87583.183463206209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-68324.109540780453</v>
      </c>
      <c r="E24" s="352">
        <f t="shared" ref="E24:J24" si="5">E20-E22</f>
        <v>-27837.09587057383</v>
      </c>
      <c r="F24" s="352">
        <f t="shared" si="5"/>
        <v>-1276.7356797141149</v>
      </c>
      <c r="G24" s="352">
        <f t="shared" si="5"/>
        <v>-8488.4653954597688</v>
      </c>
      <c r="H24" s="352">
        <f t="shared" si="5"/>
        <v>-12705.147431834732</v>
      </c>
      <c r="I24" s="352">
        <f t="shared" si="5"/>
        <v>-17837.506469558997</v>
      </c>
      <c r="J24" s="352">
        <f t="shared" si="5"/>
        <v>-179.15869363901541</v>
      </c>
      <c r="K24" s="269">
        <f>SUM(E24:J24)</f>
        <v>-68324.109540780453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Proforma'!H767+'Allocation Proforma'!H937</f>
        <v>45683.60778810193</v>
      </c>
      <c r="E26" s="352">
        <f t="shared" ref="E26:J26" si="6">$D$26*(E24/$K$24)</f>
        <v>18612.741216218132</v>
      </c>
      <c r="F26" s="352">
        <f t="shared" si="6"/>
        <v>853.66486929950418</v>
      </c>
      <c r="G26" s="352">
        <f t="shared" si="6"/>
        <v>5675.6498760895529</v>
      </c>
      <c r="H26" s="352">
        <f t="shared" si="6"/>
        <v>8495.0535918732494</v>
      </c>
      <c r="I26" s="352">
        <f t="shared" si="6"/>
        <v>11926.707204090049</v>
      </c>
      <c r="J26" s="352">
        <f t="shared" si="6"/>
        <v>119.791030531446</v>
      </c>
      <c r="K26" s="269">
        <f>SUM(E26:J26)</f>
        <v>45683.60778810193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Proforma'!H758</f>
        <v>707494.56579689239</v>
      </c>
      <c r="E28" s="352">
        <f>'Allocation Proforma'!H182+'Allocation Proforma'!H183+'Allocation Proforma'!H184</f>
        <v>91726.149735686369</v>
      </c>
      <c r="F28" s="352">
        <f>'Allocation Proforma'!H185</f>
        <v>382818.91015363374</v>
      </c>
      <c r="G28" s="352">
        <f>'Allocation Proforma'!H194</f>
        <v>49857.366756886047</v>
      </c>
      <c r="H28" s="352">
        <f>'Allocation Proforma'!H200+'Allocation Proforma'!H204+'Allocation Proforma'!H206+'Allocation Proforma'!H211</f>
        <v>44209.649691175255</v>
      </c>
      <c r="I28" s="352">
        <f>'Allocation Proforma'!H205+'Allocation Proforma'!H207+'Allocation Proforma'!H212+'Allocation Proforma'!H216+'Allocation Proforma'!H219</f>
        <v>87997.560445840849</v>
      </c>
      <c r="J28" s="352">
        <f>'Allocation Proforma'!H225+'Allocation Proforma'!H228</f>
        <v>50884.929013670146</v>
      </c>
      <c r="K28" s="269">
        <f t="shared" ref="K28:K39" si="7">SUM(E28:J28)</f>
        <v>707494.56579689239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Proforma'!H759</f>
        <v>283469.76320816984</v>
      </c>
      <c r="E29" s="348">
        <f>'Allocation Proforma'!H302</f>
        <v>174330.74043004954</v>
      </c>
      <c r="F29" s="348">
        <v>0</v>
      </c>
      <c r="G29" s="348">
        <f>'Allocation Proforma'!H308</f>
        <v>21081.970078313836</v>
      </c>
      <c r="H29" s="348">
        <f>'Allocation Proforma'!H314+'Allocation Proforma'!H318+'Allocation Proforma'!H320+'Allocation Proforma'!H325</f>
        <v>36775.748572074532</v>
      </c>
      <c r="I29" s="348">
        <f>'Allocation Proforma'!H319+'Allocation Proforma'!H321+'Allocation Proforma'!H326+'Allocation Proforma'!H330+'Allocation Proforma'!H333</f>
        <v>51281.304127732001</v>
      </c>
      <c r="J29" s="348">
        <v>0</v>
      </c>
      <c r="K29" s="269">
        <f t="shared" si="7"/>
        <v>283469.7632081699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Proforma'!H764+'Allocation Proforma'!H765</f>
        <v>48095.204769482763</v>
      </c>
      <c r="E30" s="348">
        <f>'Allocation Proforma'!H417+'Allocation Proforma'!H474+'Allocation Proforma'!H359+'Allocation Proforma'!H531+'Allocation Proforma'!H589</f>
        <v>20639.220626950555</v>
      </c>
      <c r="F30" s="348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48">
        <f>'Allocation Proforma'!H365+'Allocation Proforma'!H423+'Allocation Proforma'!H480+'Allocation Proforma'!H537+'Allocation Proforma'!H595</f>
        <v>5768.7649460248922</v>
      </c>
      <c r="H30" s="348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9056.0681250261787</v>
      </c>
      <c r="I30" s="348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12631.151071481128</v>
      </c>
      <c r="J30" s="348">
        <v>0</v>
      </c>
      <c r="K30" s="269">
        <f t="shared" si="7"/>
        <v>48095.204769482756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Proforma'!H771</f>
        <v>-254.41712725459215</v>
      </c>
      <c r="E31" s="348">
        <f t="shared" ref="E31:J31" si="8">$D$31*(E14/$K$14)</f>
        <v>-103.65644001953521</v>
      </c>
      <c r="F31" s="348">
        <f t="shared" si="8"/>
        <v>-4.7541552473863931</v>
      </c>
      <c r="G31" s="348">
        <f t="shared" si="8"/>
        <v>-31.608329698375176</v>
      </c>
      <c r="H31" s="348">
        <f t="shared" si="8"/>
        <v>-47.309904698049991</v>
      </c>
      <c r="I31" s="348">
        <f t="shared" si="8"/>
        <v>-66.421167928456015</v>
      </c>
      <c r="J31" s="348">
        <f t="shared" si="8"/>
        <v>-0.6671296627893557</v>
      </c>
      <c r="K31" s="269">
        <f t="shared" si="7"/>
        <v>-254.41712725459215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Proforma'!H934+'Allocation Proforma'!H935</f>
        <v>563.13892720548324</v>
      </c>
      <c r="E36" s="348">
        <f t="shared" ref="E36:J36" si="10">(E14/($D$14)*$D$36)</f>
        <v>229.43807698971247</v>
      </c>
      <c r="F36" s="348">
        <f t="shared" si="10"/>
        <v>10.523072541033768</v>
      </c>
      <c r="G36" s="348">
        <f t="shared" si="10"/>
        <v>69.963374986496447</v>
      </c>
      <c r="H36" s="348">
        <f t="shared" si="10"/>
        <v>104.71798524473216</v>
      </c>
      <c r="I36" s="348">
        <f t="shared" si="10"/>
        <v>147.01976103022301</v>
      </c>
      <c r="J36" s="348">
        <f t="shared" si="10"/>
        <v>1.4766564132854487</v>
      </c>
      <c r="K36" s="269">
        <f t="shared" si="7"/>
        <v>563.13892720548336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7">
        <f t="shared" ref="E37:J37" si="11">(E14/($D$14)*$D$37)</f>
        <v>0</v>
      </c>
      <c r="F37" s="347">
        <f t="shared" si="11"/>
        <v>0</v>
      </c>
      <c r="G37" s="347">
        <f t="shared" si="11"/>
        <v>0</v>
      </c>
      <c r="H37" s="347">
        <f t="shared" si="11"/>
        <v>0</v>
      </c>
      <c r="I37" s="347">
        <f t="shared" si="11"/>
        <v>0</v>
      </c>
      <c r="J37" s="347">
        <f t="shared" si="11"/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2">SUM(D32:D37)</f>
        <v>563.13892720548324</v>
      </c>
      <c r="E39" s="333">
        <f t="shared" si="12"/>
        <v>229.43807698971247</v>
      </c>
      <c r="F39" s="333">
        <f t="shared" si="12"/>
        <v>10.523072541033768</v>
      </c>
      <c r="G39" s="333">
        <f t="shared" si="12"/>
        <v>69.963374986496447</v>
      </c>
      <c r="H39" s="333">
        <f t="shared" si="12"/>
        <v>104.71798524473216</v>
      </c>
      <c r="I39" s="333">
        <f t="shared" si="12"/>
        <v>147.01976103022301</v>
      </c>
      <c r="J39" s="333">
        <f t="shared" si="12"/>
        <v>1.4766564132854487</v>
      </c>
      <c r="K39" s="269">
        <f t="shared" si="7"/>
        <v>563.13892720548336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3">SUM(D28:D31)+D22+D26+D39+D24</f>
        <v>1104310.9372850235</v>
      </c>
      <c r="E41" s="352">
        <f t="shared" si="13"/>
        <v>313281.30286352546</v>
      </c>
      <c r="F41" s="352">
        <f t="shared" si="13"/>
        <v>384038.22783773066</v>
      </c>
      <c r="G41" s="352">
        <f t="shared" si="13"/>
        <v>84814.819664950483</v>
      </c>
      <c r="H41" s="352">
        <f t="shared" si="13"/>
        <v>102175.23157463303</v>
      </c>
      <c r="I41" s="352">
        <f t="shared" si="13"/>
        <v>168945.32485126116</v>
      </c>
      <c r="J41" s="352">
        <f t="shared" si="13"/>
        <v>51056.030492922822</v>
      </c>
      <c r="K41" s="269">
        <f>SUM(E41:J41)</f>
        <v>1104310.9372850235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Proforma'!H700</f>
        <v>-545.63676673410816</v>
      </c>
      <c r="E43" s="294">
        <f>D43</f>
        <v>-545.63676673410816</v>
      </c>
      <c r="F43" s="294"/>
      <c r="G43" s="294"/>
      <c r="H43" s="294"/>
      <c r="I43" s="294"/>
      <c r="J43" s="294"/>
      <c r="K43" s="269">
        <f>SUM(E43:J43)</f>
        <v>-545.63676673410816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Proforma'!H698</f>
        <v>-33135.367869727699</v>
      </c>
      <c r="E44" s="348">
        <v>0</v>
      </c>
      <c r="F44" s="348">
        <f>D44</f>
        <v>-33135.367869727699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-33135.367869727699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Proforma'!H699</f>
        <v>-17495.546061153746</v>
      </c>
      <c r="E45" s="348">
        <v>0</v>
      </c>
      <c r="F45" s="348">
        <v>0</v>
      </c>
      <c r="G45" s="348">
        <f>D45</f>
        <v>-17495.546061153746</v>
      </c>
      <c r="H45" s="348">
        <v>0</v>
      </c>
      <c r="I45" s="348">
        <v>0</v>
      </c>
      <c r="J45" s="348">
        <v>0</v>
      </c>
      <c r="K45" s="269">
        <f>SUM(E45:J45)</f>
        <v>-17495.546061153746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Proforma'!H702-'Allocation Proforma'!H703-'Allocation Proforma'!H704-'Allocation Proforma'!H705</f>
        <v>-14130.908571697049</v>
      </c>
      <c r="E46" s="348">
        <f>-(E14/($D$14)*('Allocation Proforma'!H702+'Allocation Proforma'!H703+'Allocation Proforma'!H704+'Allocation Proforma'!H705))</f>
        <v>-5757.3155258446268</v>
      </c>
      <c r="F46" s="348">
        <f>(F14/($D$14)*-('Allocation Proforma'!H702+'Allocation Proforma'!H703+'Allocation Proforma'!H704+'Allocation Proforma'!H705))</f>
        <v>-264.05664532657096</v>
      </c>
      <c r="G46" s="348">
        <f>(G14/($D$14)*-('Allocation Proforma'!H702+'Allocation Proforma'!H703+'Allocation Proforma'!H704+'Allocation Proforma'!H705))</f>
        <v>-1755.5988541008662</v>
      </c>
      <c r="H46" s="348">
        <f>(H14/($D$14)*-('Allocation Proforma'!H702+'Allocation Proforma'!H703+'Allocation Proforma'!H704+'Allocation Proforma'!H705))</f>
        <v>-2627.7002064992789</v>
      </c>
      <c r="I46" s="348">
        <f>(I14/($D$14)*-('Allocation Proforma'!H702+'Allocation Proforma'!H703+'Allocation Proforma'!H704+'Allocation Proforma'!H705))</f>
        <v>-3689.1834341133458</v>
      </c>
      <c r="J46" s="348">
        <f>(J14/($D$14)*-('Allocation Proforma'!H702+'Allocation Proforma'!H703+'Allocation Proforma'!H704+'Allocation Proforma'!H705))</f>
        <v>-37.053905812362373</v>
      </c>
      <c r="K46" s="269">
        <f>SUM(E46:J46)</f>
        <v>-14130.908571697051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-65307.459269312611</v>
      </c>
      <c r="E47" s="142">
        <f>SUM(E43:E46)</f>
        <v>-6302.9522925787351</v>
      </c>
      <c r="F47" s="142">
        <f t="shared" ref="F47:I47" si="14">SUM(F43:F46)</f>
        <v>-33399.42451505427</v>
      </c>
      <c r="G47" s="142">
        <f t="shared" si="14"/>
        <v>-19251.144915254612</v>
      </c>
      <c r="H47" s="142">
        <f t="shared" si="14"/>
        <v>-2627.7002064992789</v>
      </c>
      <c r="I47" s="142">
        <f t="shared" si="14"/>
        <v>-3689.1834341133458</v>
      </c>
      <c r="J47" s="142">
        <f>SUM(J43:J46)</f>
        <v>-37.053905812362373</v>
      </c>
      <c r="K47" s="269">
        <f>SUM(E47:J47)</f>
        <v>-65307.459269312596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3">
      <c r="A49" s="201" t="s">
        <v>1151</v>
      </c>
      <c r="B49" s="206" t="s">
        <v>1148</v>
      </c>
      <c r="C49" s="209" t="e">
        <f>'Allocation Proforma'!H926-SUM('Allocation Proforma'!H699:H705)-'Allocation Proforma'!#REF!-'Allocation Proforma'!H920-'Allocation Proforma'!H924</f>
        <v>#REF!</v>
      </c>
      <c r="D49" s="259">
        <f t="shared" ref="D49:J49" si="15">D41+D47</f>
        <v>1039003.4780157109</v>
      </c>
      <c r="E49" s="333">
        <f t="shared" si="15"/>
        <v>306978.3505709467</v>
      </c>
      <c r="F49" s="333">
        <f t="shared" si="15"/>
        <v>350638.80332267639</v>
      </c>
      <c r="G49" s="333">
        <f t="shared" si="15"/>
        <v>65563.674749695871</v>
      </c>
      <c r="H49" s="333">
        <f t="shared" si="15"/>
        <v>99547.531368133743</v>
      </c>
      <c r="I49" s="333">
        <f t="shared" si="15"/>
        <v>165256.14141714782</v>
      </c>
      <c r="J49" s="333">
        <f t="shared" si="15"/>
        <v>51018.976587110461</v>
      </c>
      <c r="K49" s="269">
        <f>SUM(E49:J49)</f>
        <v>1039003.4780157109</v>
      </c>
      <c r="L49" s="200" t="str">
        <f>IF(ABS(K49-D49)&lt;0.01,"ok","err")</f>
        <v>ok</v>
      </c>
    </row>
    <row r="50" spans="1:13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3">
      <c r="A51" s="201" t="s">
        <v>1237</v>
      </c>
      <c r="B51" s="206" t="s">
        <v>1150</v>
      </c>
      <c r="C51" s="199"/>
      <c r="D51" s="263"/>
      <c r="E51" s="349">
        <f>'Allocation Proforma'!H964</f>
        <v>10848960.050802249</v>
      </c>
      <c r="F51" s="349">
        <f>'Allocation Proforma'!H964</f>
        <v>10848960.050802249</v>
      </c>
      <c r="G51" s="349">
        <f>'Allocation Proforma'!H964</f>
        <v>10848960.050802249</v>
      </c>
      <c r="H51" s="349">
        <f>'Allocation Proforma'!H964</f>
        <v>10848960.050802249</v>
      </c>
      <c r="I51" s="349">
        <f>'Allocation Proforma'!$H$980*12</f>
        <v>11157</v>
      </c>
      <c r="J51" s="349">
        <f>'Allocation Proforma'!$H$980*12</f>
        <v>11157</v>
      </c>
      <c r="K51" s="369"/>
      <c r="L51" s="204"/>
    </row>
    <row r="52" spans="1:13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3" ht="14.4" thickBot="1">
      <c r="A53" s="210" t="s">
        <v>1372</v>
      </c>
      <c r="B53" s="361" t="s">
        <v>1152</v>
      </c>
      <c r="C53" s="211"/>
      <c r="D53" s="265"/>
      <c r="E53" s="350">
        <f t="shared" ref="E53:J53" si="16">E49/E51</f>
        <v>2.8295647613546752E-2</v>
      </c>
      <c r="F53" s="350">
        <f t="shared" si="16"/>
        <v>3.2320038204652402E-2</v>
      </c>
      <c r="G53" s="350">
        <f t="shared" si="16"/>
        <v>6.0433142386626844E-3</v>
      </c>
      <c r="H53" s="350">
        <f t="shared" si="16"/>
        <v>9.1757671612748247E-3</v>
      </c>
      <c r="I53" s="351">
        <f t="shared" si="16"/>
        <v>14.811879664528801</v>
      </c>
      <c r="J53" s="351">
        <f t="shared" si="16"/>
        <v>4.5728221374124285</v>
      </c>
      <c r="K53" s="362">
        <f>I53+J53</f>
        <v>19.38470180194123</v>
      </c>
      <c r="L53" s="449">
        <f>ROUND(K53/30.5,2)</f>
        <v>0.64</v>
      </c>
    </row>
    <row r="54" spans="1:13">
      <c r="L54" s="1" t="s">
        <v>1378</v>
      </c>
      <c r="M54" s="1" t="s">
        <v>1379</v>
      </c>
    </row>
    <row r="55" spans="1:13">
      <c r="D55" s="246"/>
      <c r="F55" s="291"/>
      <c r="J55" s="213" t="s">
        <v>1224</v>
      </c>
      <c r="K55" s="370">
        <f>I53+J53</f>
        <v>19.38470180194123</v>
      </c>
      <c r="L55" s="425">
        <v>347288</v>
      </c>
      <c r="M55" s="426">
        <f>I51-L55</f>
        <v>-336131</v>
      </c>
    </row>
    <row r="56" spans="1:13">
      <c r="D56" s="246"/>
      <c r="I56" s="19"/>
      <c r="J56" s="213" t="s">
        <v>1238</v>
      </c>
      <c r="K56" s="371">
        <f>E53+G53+H53</f>
        <v>4.3514729013484257E-2</v>
      </c>
      <c r="L56" s="427">
        <f>L55/I51</f>
        <v>31.127363986734785</v>
      </c>
      <c r="M56" s="427">
        <f>M55/J51</f>
        <v>-30.127363986734785</v>
      </c>
    </row>
    <row r="57" spans="1:13" ht="15.3">
      <c r="J57" s="213" t="s">
        <v>1223</v>
      </c>
      <c r="K57" s="371">
        <f>F53</f>
        <v>3.2320038204652402E-2</v>
      </c>
      <c r="L57" s="429">
        <f>L56*K53</f>
        <v>603.39466876333836</v>
      </c>
      <c r="M57" s="429">
        <f>M56*K53</f>
        <v>-584.00996696139714</v>
      </c>
    </row>
    <row r="58" spans="1:13">
      <c r="I58" s="7"/>
      <c r="J58" s="226"/>
      <c r="K58" s="372"/>
      <c r="L58" s="1"/>
      <c r="M58" s="1"/>
    </row>
    <row r="59" spans="1:13">
      <c r="J59" s="338" t="s">
        <v>1232</v>
      </c>
      <c r="K59" s="301">
        <v>42.79</v>
      </c>
      <c r="L59" s="428">
        <f>L56*31.5</f>
        <v>980.51196558214576</v>
      </c>
      <c r="M59" s="428">
        <f>M56*50.4</f>
        <v>-1518.419144931433</v>
      </c>
    </row>
    <row r="60" spans="1:13">
      <c r="J60" s="338" t="s">
        <v>1233</v>
      </c>
      <c r="K60" s="294">
        <f>(K55-K59)*I51</f>
        <v>-261132.91199574168</v>
      </c>
    </row>
    <row r="61" spans="1:13">
      <c r="J61" s="338" t="s">
        <v>1234</v>
      </c>
      <c r="K61" s="373">
        <f>K60/H51</f>
        <v>-2.4069856536749958E-2</v>
      </c>
    </row>
    <row r="62" spans="1:13">
      <c r="J62" s="338" t="s">
        <v>1240</v>
      </c>
      <c r="K62" s="60">
        <v>0</v>
      </c>
    </row>
    <row r="63" spans="1:13">
      <c r="J63" s="338" t="s">
        <v>1241</v>
      </c>
      <c r="K63" s="374">
        <f>K61+K62+K56</f>
        <v>1.94448724767343E-2</v>
      </c>
      <c r="L63" s="343">
        <f>K63+K57</f>
        <v>5.1764910681386701E-2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67"/>
  <sheetViews>
    <sheetView view="pageBreakPreview" topLeftCell="A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1210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Proforma'!J176</f>
        <v>22814218.96311127</v>
      </c>
      <c r="E14" s="333">
        <f>'Allocation Proforma'!J125+'Allocation Proforma'!J126+'Allocation Proforma'!J127</f>
        <v>16642024.782784197</v>
      </c>
      <c r="F14" s="333">
        <f>'Allocation Proforma'!J128</f>
        <v>705536.78388060012</v>
      </c>
      <c r="G14" s="333">
        <f>'Allocation Proforma'!J137</f>
        <v>2631170.7880544295</v>
      </c>
      <c r="H14" s="333">
        <f>'Allocation Proforma'!J147+'Allocation Proforma'!J149+'Allocation Proforma'!J154+'Allocation Proforma'!J143</f>
        <v>2580283.2748249155</v>
      </c>
      <c r="I14" s="333">
        <f>'Allocation Proforma'!J148+'Allocation Proforma'!J150+'Allocation Proforma'!J155+'Allocation Proforma'!J159+'Allocation Proforma'!J162+'Allocation Proforma'!J165</f>
        <v>251868.1242089197</v>
      </c>
      <c r="J14" s="333">
        <f>'Allocation Proforma'!J168+'Allocation Proforma'!J171</f>
        <v>3335.209358212473</v>
      </c>
      <c r="K14" s="269">
        <f>SUM(E14:J14)</f>
        <v>22814218.96311127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22814218.96311127</v>
      </c>
      <c r="E16" s="333">
        <f t="shared" ref="E16:K16" si="1">E14+E15</f>
        <v>16642024.782784197</v>
      </c>
      <c r="F16" s="333">
        <f t="shared" si="1"/>
        <v>705536.78388060012</v>
      </c>
      <c r="G16" s="333">
        <f t="shared" si="1"/>
        <v>2631170.7880544295</v>
      </c>
      <c r="H16" s="333">
        <f t="shared" si="1"/>
        <v>2580283.2748249155</v>
      </c>
      <c r="I16" s="333">
        <f t="shared" si="1"/>
        <v>251868.1242089197</v>
      </c>
      <c r="J16" s="333">
        <f t="shared" si="1"/>
        <v>3335.209358212473</v>
      </c>
      <c r="K16" s="269">
        <f t="shared" si="1"/>
        <v>22814218.96311127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Proforma'!J946</f>
        <v>0.16697050197744731</v>
      </c>
      <c r="E18" s="335">
        <f t="shared" ref="E18:J18" si="2">D18</f>
        <v>0.16697050197744731</v>
      </c>
      <c r="F18" s="335">
        <f t="shared" si="2"/>
        <v>0.16697050197744731</v>
      </c>
      <c r="G18" s="335">
        <f t="shared" si="2"/>
        <v>0.16697050197744731</v>
      </c>
      <c r="H18" s="335">
        <f t="shared" si="2"/>
        <v>0.16697050197744731</v>
      </c>
      <c r="I18" s="335">
        <f t="shared" si="2"/>
        <v>0.16697050197744731</v>
      </c>
      <c r="J18" s="335">
        <f t="shared" si="2"/>
        <v>0.16697050197744731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3809301.5924940864</v>
      </c>
      <c r="E20" s="352">
        <f t="shared" ref="E20:J20" si="3">E18*E16</f>
        <v>2778727.2319025961</v>
      </c>
      <c r="F20" s="352">
        <f t="shared" si="3"/>
        <v>117803.83096809757</v>
      </c>
      <c r="G20" s="352">
        <f t="shared" si="3"/>
        <v>439327.90726984374</v>
      </c>
      <c r="H20" s="352">
        <f t="shared" si="3"/>
        <v>430831.19364152779</v>
      </c>
      <c r="I20" s="352">
        <f t="shared" si="3"/>
        <v>42054.547131281375</v>
      </c>
      <c r="J20" s="352">
        <f t="shared" si="3"/>
        <v>556.88158074061653</v>
      </c>
      <c r="K20" s="269">
        <f>SUM(E20:J20)</f>
        <v>3809301.5924940878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Proforma'!J738</f>
        <v>496467.5142994732</v>
      </c>
      <c r="E22" s="352">
        <f t="shared" ref="E22:J22" si="4">(E14/$D$14)*$D$22</f>
        <v>362152.4230208557</v>
      </c>
      <c r="F22" s="352">
        <f t="shared" si="4"/>
        <v>15353.411567865376</v>
      </c>
      <c r="G22" s="352">
        <f t="shared" si="4"/>
        <v>57257.748904528984</v>
      </c>
      <c r="H22" s="352">
        <f t="shared" si="4"/>
        <v>56150.369456528228</v>
      </c>
      <c r="I22" s="352">
        <f t="shared" si="4"/>
        <v>5480.9827923305129</v>
      </c>
      <c r="J22" s="352">
        <f t="shared" si="4"/>
        <v>72.57855736448478</v>
      </c>
      <c r="K22" s="269">
        <f>SUM(E22:J22)</f>
        <v>496467.5142994732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3312834.0781946131</v>
      </c>
      <c r="E24" s="352">
        <f t="shared" ref="E24:J24" si="5">E20-E22</f>
        <v>2416574.8088817406</v>
      </c>
      <c r="F24" s="352">
        <f t="shared" si="5"/>
        <v>102450.41940023219</v>
      </c>
      <c r="G24" s="352">
        <f t="shared" si="5"/>
        <v>382070.15836531477</v>
      </c>
      <c r="H24" s="352">
        <f t="shared" si="5"/>
        <v>374680.82418499957</v>
      </c>
      <c r="I24" s="352">
        <f t="shared" si="5"/>
        <v>36573.564338950862</v>
      </c>
      <c r="J24" s="352">
        <f t="shared" si="5"/>
        <v>484.30302337613176</v>
      </c>
      <c r="K24" s="269">
        <f>SUM(E24:J24)</f>
        <v>3312834.0781946145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Proforma'!J767+'Allocation Proforma'!J937</f>
        <v>554627.06872439967</v>
      </c>
      <c r="E26" s="352">
        <f t="shared" ref="E26:J26" si="6">$D$26*(E24/$K$24)</f>
        <v>404577.40139334847</v>
      </c>
      <c r="F26" s="352">
        <f t="shared" si="6"/>
        <v>17152.013792523572</v>
      </c>
      <c r="G26" s="352">
        <f t="shared" si="6"/>
        <v>63965.307944641689</v>
      </c>
      <c r="H26" s="352">
        <f t="shared" si="6"/>
        <v>62728.202596315074</v>
      </c>
      <c r="I26" s="352">
        <f t="shared" si="6"/>
        <v>6123.0620982895834</v>
      </c>
      <c r="J26" s="352">
        <f t="shared" si="6"/>
        <v>81.08089928121322</v>
      </c>
      <c r="K26" s="269">
        <f>SUM(E26:J26)</f>
        <v>554627.06872439967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Proforma'!J758</f>
        <v>5054451.6343531748</v>
      </c>
      <c r="E28" s="352">
        <f>'Allocation Proforma'!J182+'Allocation Proforma'!J183+'Allocation Proforma'!J184</f>
        <v>927660.87898076372</v>
      </c>
      <c r="F28" s="352">
        <f>'Allocation Proforma'!J185</f>
        <v>3578704.8916238984</v>
      </c>
      <c r="G28" s="352">
        <f>'Allocation Proforma'!J194</f>
        <v>261434.58062834703</v>
      </c>
      <c r="H28" s="352">
        <f>'Allocation Proforma'!J200+'Allocation Proforma'!J204+'Allocation Proforma'!J206+'Allocation Proforma'!J211</f>
        <v>170447.40078157873</v>
      </c>
      <c r="I28" s="352">
        <f>'Allocation Proforma'!J205+'Allocation Proforma'!J207+'Allocation Proforma'!J212+'Allocation Proforma'!J216+'Allocation Proforma'!J219</f>
        <v>100161.08496024799</v>
      </c>
      <c r="J28" s="352">
        <f>'Allocation Proforma'!J225+'Allocation Proforma'!J228</f>
        <v>16042.797378338597</v>
      </c>
      <c r="K28" s="269">
        <f t="shared" ref="K28:K39" si="7">SUM(E28:J28)</f>
        <v>5054451.6343531748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Proforma'!J759</f>
        <v>2010393.9631165694</v>
      </c>
      <c r="E29" s="348">
        <f>'Allocation Proforma'!J302</f>
        <v>1763072.0178129254</v>
      </c>
      <c r="F29" s="348">
        <v>0</v>
      </c>
      <c r="G29" s="348">
        <f>'Allocation Proforma'!J308</f>
        <v>110546.47216165123</v>
      </c>
      <c r="H29" s="348">
        <f>'Allocation Proforma'!J314+'Allocation Proforma'!J318+'Allocation Proforma'!J320+'Allocation Proforma'!J325</f>
        <v>126176.77869649378</v>
      </c>
      <c r="I29" s="348">
        <f>'Allocation Proforma'!J319+'Allocation Proforma'!J321+'Allocation Proforma'!J326+'Allocation Proforma'!J330+'Allocation Proforma'!J333</f>
        <v>10598.694445499183</v>
      </c>
      <c r="J29" s="348">
        <v>0</v>
      </c>
      <c r="K29" s="269">
        <f t="shared" si="7"/>
        <v>2010393.9631165694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Proforma'!J764+'Allocation Proforma'!J765</f>
        <v>272675.33469150786</v>
      </c>
      <c r="E30" s="348">
        <f>'Allocation Proforma'!J417+'Allocation Proforma'!J474+'Allocation Proforma'!J359+'Allocation Proforma'!J531+'Allocation Proforma'!J589</f>
        <v>208732.16202190556</v>
      </c>
      <c r="F30" s="348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348">
        <f>'Allocation Proforma'!J365+'Allocation Proforma'!J423+'Allocation Proforma'!J480+'Allocation Proforma'!J537+'Allocation Proforma'!J595</f>
        <v>30249.38424368808</v>
      </c>
      <c r="H30" s="348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31071.169127457997</v>
      </c>
      <c r="I30" s="348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2622.619298456154</v>
      </c>
      <c r="J30" s="348">
        <v>0</v>
      </c>
      <c r="K30" s="269">
        <f t="shared" si="7"/>
        <v>272675.3346915078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Proforma'!J771</f>
        <v>-2378.3668822773448</v>
      </c>
      <c r="E31" s="348">
        <f t="shared" ref="E31:J31" si="8">$D$31*(E14/$K$14)</f>
        <v>-1734.9198173915902</v>
      </c>
      <c r="F31" s="348">
        <f t="shared" si="8"/>
        <v>-73.551732089681337</v>
      </c>
      <c r="G31" s="348">
        <f t="shared" si="8"/>
        <v>-274.29777342116046</v>
      </c>
      <c r="H31" s="348">
        <f t="shared" si="8"/>
        <v>-268.99278461649345</v>
      </c>
      <c r="I31" s="348">
        <f t="shared" si="8"/>
        <v>-26.2570814406753</v>
      </c>
      <c r="J31" s="348">
        <f t="shared" si="8"/>
        <v>-0.34769331774451662</v>
      </c>
      <c r="K31" s="269">
        <f t="shared" si="7"/>
        <v>-2378.3668822773452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Proforma'!J934+'Allocation Proforma'!J935</f>
        <v>4681.9787154567839</v>
      </c>
      <c r="E36" s="348">
        <f t="shared" ref="E36:J36" si="10">(E14/($D$14)*$D$36)</f>
        <v>3415.3089326041068</v>
      </c>
      <c r="F36" s="348">
        <f t="shared" si="10"/>
        <v>144.79164114458541</v>
      </c>
      <c r="G36" s="348">
        <f t="shared" si="10"/>
        <v>539.97402437144342</v>
      </c>
      <c r="H36" s="348">
        <f t="shared" si="10"/>
        <v>529.53078920269411</v>
      </c>
      <c r="I36" s="348">
        <f t="shared" si="10"/>
        <v>51.688869934794802</v>
      </c>
      <c r="J36" s="348">
        <f t="shared" si="10"/>
        <v>0.68445819916043904</v>
      </c>
      <c r="K36" s="269">
        <f t="shared" si="7"/>
        <v>4681.9787154567848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4681.9787154567839</v>
      </c>
      <c r="E39" s="333">
        <f t="shared" si="11"/>
        <v>3415.3089326041068</v>
      </c>
      <c r="F39" s="333">
        <f t="shared" si="11"/>
        <v>144.79164114458541</v>
      </c>
      <c r="G39" s="333">
        <f t="shared" si="11"/>
        <v>539.97402437144342</v>
      </c>
      <c r="H39" s="333">
        <f t="shared" si="11"/>
        <v>529.53078920269411</v>
      </c>
      <c r="I39" s="333">
        <f t="shared" si="11"/>
        <v>51.688869934794802</v>
      </c>
      <c r="J39" s="333">
        <f t="shared" si="11"/>
        <v>0.68445819916043904</v>
      </c>
      <c r="K39" s="269">
        <f t="shared" si="7"/>
        <v>4681.9787154567848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11703753.205212915</v>
      </c>
      <c r="E41" s="352">
        <f t="shared" si="12"/>
        <v>6084450.0812267512</v>
      </c>
      <c r="F41" s="352">
        <f t="shared" si="12"/>
        <v>3713731.9762935746</v>
      </c>
      <c r="G41" s="352">
        <f t="shared" si="12"/>
        <v>905789.32849912206</v>
      </c>
      <c r="H41" s="352">
        <f t="shared" si="12"/>
        <v>821515.28284795955</v>
      </c>
      <c r="I41" s="352">
        <f t="shared" si="12"/>
        <v>161585.43972226838</v>
      </c>
      <c r="J41" s="352">
        <f t="shared" si="12"/>
        <v>16681.096623241843</v>
      </c>
      <c r="K41" s="269">
        <f>SUM(E41:J41)</f>
        <v>11703753.205212917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Proforma'!J700</f>
        <v>-5518.2288157883859</v>
      </c>
      <c r="E43" s="294">
        <f>D43</f>
        <v>-5518.2288157883859</v>
      </c>
      <c r="F43" s="294"/>
      <c r="G43" s="294"/>
      <c r="H43" s="294"/>
      <c r="I43" s="294"/>
      <c r="J43" s="294"/>
      <c r="K43" s="269">
        <f>SUM(E43:J43)</f>
        <v>-5518.2288157883859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Proforma'!J698</f>
        <v>-309759.26197993307</v>
      </c>
      <c r="E44" s="348">
        <v>0</v>
      </c>
      <c r="F44" s="348">
        <f>D44</f>
        <v>-309759.26197993307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-309759.26197993307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Proforma'!J699</f>
        <v>-91740.519904812856</v>
      </c>
      <c r="E45" s="348">
        <v>0</v>
      </c>
      <c r="F45" s="348">
        <v>0</v>
      </c>
      <c r="G45" s="348">
        <f>D45</f>
        <v>-91740.519904812856</v>
      </c>
      <c r="H45" s="348">
        <v>0</v>
      </c>
      <c r="I45" s="348">
        <v>0</v>
      </c>
      <c r="J45" s="348">
        <v>0</v>
      </c>
      <c r="K45" s="269">
        <f>SUM(E45:J45)</f>
        <v>-91740.519904812856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Proforma'!J702-'Allocation Proforma'!J703-'Allocation Proforma'!J704-'Allocation Proforma'!J705</f>
        <v>-36690.055477955742</v>
      </c>
      <c r="E46" s="348">
        <f>-(E14/($D$14)*('Allocation Proforma'!J702+'Allocation Proforma'!J703+'Allocation Proforma'!J704+'Allocation Proforma'!J705))</f>
        <v>-26763.870967187253</v>
      </c>
      <c r="F46" s="348">
        <f>(F14/($D$14)*-('Allocation Proforma'!J702+'Allocation Proforma'!J703+'Allocation Proforma'!J704+'Allocation Proforma'!J705))</f>
        <v>-1134.6513235528043</v>
      </c>
      <c r="G46" s="348">
        <f>(G14/($D$14)*-('Allocation Proforma'!J702+'Allocation Proforma'!J703+'Allocation Proforma'!J704+'Allocation Proforma'!J705))</f>
        <v>-4231.4752191073158</v>
      </c>
      <c r="H46" s="348">
        <f>(H14/($D$14)*-('Allocation Proforma'!J702+'Allocation Proforma'!J703+'Allocation Proforma'!J704+'Allocation Proforma'!J705))</f>
        <v>-4149.6374105658542</v>
      </c>
      <c r="I46" s="348">
        <f>(I14/($D$14)*-('Allocation Proforma'!J702+'Allocation Proforma'!J703+'Allocation Proforma'!J704+'Allocation Proforma'!J705))</f>
        <v>-405.05684044217969</v>
      </c>
      <c r="J46" s="348">
        <f>(J14/($D$14)*-('Allocation Proforma'!J702+'Allocation Proforma'!J703+'Allocation Proforma'!J704+'Allocation Proforma'!J705))</f>
        <v>-5.3637171003431456</v>
      </c>
      <c r="K46" s="269">
        <f>SUM(E46:J46)</f>
        <v>-36690.05547795575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-443708.06617849006</v>
      </c>
      <c r="E47" s="142">
        <f>SUM(E43:E46)</f>
        <v>-32282.099782975638</v>
      </c>
      <c r="F47" s="142">
        <f t="shared" ref="F47:I47" si="13">SUM(F43:F46)</f>
        <v>-310893.9133034859</v>
      </c>
      <c r="G47" s="142">
        <f t="shared" si="13"/>
        <v>-95971.995123920176</v>
      </c>
      <c r="H47" s="142">
        <f t="shared" si="13"/>
        <v>-4149.6374105658542</v>
      </c>
      <c r="I47" s="142">
        <f t="shared" si="13"/>
        <v>-405.05684044217969</v>
      </c>
      <c r="J47" s="142">
        <f>SUM(J43:J46)</f>
        <v>-5.3637171003431456</v>
      </c>
      <c r="K47" s="269">
        <f>SUM(E47:J47)</f>
        <v>-443708.06617849012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>
        <f t="shared" ref="D49:J49" si="14">D41+D47</f>
        <v>11260045.139034426</v>
      </c>
      <c r="E49" s="333">
        <f t="shared" si="14"/>
        <v>6052167.9814437758</v>
      </c>
      <c r="F49" s="333">
        <f t="shared" si="14"/>
        <v>3402838.0629900885</v>
      </c>
      <c r="G49" s="333">
        <f t="shared" si="14"/>
        <v>809817.33337520191</v>
      </c>
      <c r="H49" s="333">
        <f t="shared" si="14"/>
        <v>817365.64543739369</v>
      </c>
      <c r="I49" s="333">
        <f t="shared" si="14"/>
        <v>161180.3828818262</v>
      </c>
      <c r="J49" s="333">
        <f t="shared" si="14"/>
        <v>16675.7329061415</v>
      </c>
      <c r="K49" s="269">
        <f>SUM(E49:J49)</f>
        <v>11260045.139034428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4774578.4218267137</v>
      </c>
      <c r="F51" s="349">
        <f>'Allocation Proforma'!J964</f>
        <v>103621086</v>
      </c>
      <c r="G51" s="349">
        <f>E51</f>
        <v>4774578.4218267137</v>
      </c>
      <c r="H51" s="349">
        <f>E51</f>
        <v>4774578.4218267137</v>
      </c>
      <c r="I51" s="349">
        <f>'Allocation Proforma'!$J$980*12</f>
        <v>840</v>
      </c>
      <c r="J51" s="349">
        <f>'Allocation Proforma'!$J$980*12</f>
        <v>840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1.2675816473715531</v>
      </c>
      <c r="F53" s="430">
        <f t="shared" si="15"/>
        <v>3.283924338517441E-2</v>
      </c>
      <c r="G53" s="351">
        <f t="shared" si="15"/>
        <v>0.16961022771626663</v>
      </c>
      <c r="H53" s="351">
        <f t="shared" si="15"/>
        <v>0.1711911656327296</v>
      </c>
      <c r="I53" s="351">
        <f t="shared" si="15"/>
        <v>191.88140819265024</v>
      </c>
      <c r="J53" s="351">
        <f t="shared" si="15"/>
        <v>19.852062983501785</v>
      </c>
      <c r="K53" s="362">
        <f>I53+J53</f>
        <v>211.73347117615202</v>
      </c>
      <c r="L53" s="212"/>
    </row>
    <row r="55" spans="1:12">
      <c r="D55" s="246"/>
      <c r="F55" s="291"/>
      <c r="J55" s="345" t="s">
        <v>1224</v>
      </c>
      <c r="K55" s="214">
        <f>I53+J53</f>
        <v>211.73347117615202</v>
      </c>
      <c r="L55">
        <f>ROUND(K55/30.5,2)</f>
        <v>6.94</v>
      </c>
    </row>
    <row r="56" spans="1:12">
      <c r="D56" s="246"/>
      <c r="I56" s="19"/>
      <c r="J56" s="345" t="s">
        <v>1242</v>
      </c>
      <c r="K56" s="3">
        <f>E53+G53+H53</f>
        <v>1.6083830407205493</v>
      </c>
    </row>
    <row r="57" spans="1:12">
      <c r="J57" s="345" t="s">
        <v>1243</v>
      </c>
      <c r="K57" s="8">
        <f>F53</f>
        <v>3.283924338517441E-2</v>
      </c>
    </row>
    <row r="58" spans="1:12">
      <c r="I58" s="7"/>
      <c r="J58" s="226"/>
      <c r="K58" s="330"/>
    </row>
    <row r="59" spans="1:12">
      <c r="J59" s="338"/>
      <c r="K59" s="289"/>
    </row>
    <row r="60" spans="1:12">
      <c r="J60" s="338"/>
      <c r="K60" s="35"/>
    </row>
    <row r="61" spans="1:12">
      <c r="J61" s="338"/>
      <c r="K61" s="344"/>
    </row>
    <row r="62" spans="1:12">
      <c r="J62" s="338"/>
    </row>
    <row r="63" spans="1:12">
      <c r="J63" s="338"/>
      <c r="K63" s="343"/>
    </row>
    <row r="67" spans="5:5">
      <c r="E67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65"/>
  <sheetViews>
    <sheetView view="pageBreakPreview" topLeftCell="A25" zoomScale="85" zoomScaleNormal="100" zoomScaleSheetLayoutView="85" workbookViewId="0">
      <selection activeCell="F28" sqref="F28"/>
    </sheetView>
  </sheetViews>
  <sheetFormatPr defaultRowHeight="14.1"/>
  <cols>
    <col min="1" max="1" width="4.578125" customWidth="1"/>
    <col min="2" max="2" width="41.15625" style="213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227"/>
      <c r="B2" s="346"/>
      <c r="C2" s="227"/>
      <c r="D2" s="227"/>
      <c r="E2" s="227"/>
      <c r="F2" s="227"/>
      <c r="G2" s="227"/>
      <c r="H2" s="227"/>
      <c r="I2" s="227"/>
      <c r="J2" s="227"/>
      <c r="K2" s="227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1102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356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251" t="s">
        <v>1103</v>
      </c>
      <c r="K9" s="182"/>
      <c r="L9" s="253"/>
    </row>
    <row r="10" spans="1:14">
      <c r="A10" s="185"/>
      <c r="B10" s="357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357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358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359"/>
      <c r="C13" s="194"/>
      <c r="D13" s="399"/>
      <c r="E13" s="400"/>
      <c r="F13" s="400"/>
      <c r="G13" s="400"/>
      <c r="H13" s="400"/>
      <c r="I13" s="400"/>
      <c r="J13" s="400"/>
      <c r="K13" s="253"/>
      <c r="L13" s="254"/>
    </row>
    <row r="14" spans="1:14">
      <c r="A14" s="197" t="s">
        <v>1109</v>
      </c>
      <c r="B14" s="206" t="s">
        <v>889</v>
      </c>
      <c r="C14" s="199"/>
      <c r="D14" s="223">
        <f>'Allocation Proforma'!G176</f>
        <v>1748092633.3997715</v>
      </c>
      <c r="E14" s="401">
        <f>'Allocation Proforma'!G125+'Allocation Proforma'!G126+'Allocation Proforma'!G127</f>
        <v>877696322.81446397</v>
      </c>
      <c r="F14" s="401">
        <f>'Allocation Proforma'!G128</f>
        <v>28092693.148098722</v>
      </c>
      <c r="G14" s="401">
        <f>'Allocation Proforma'!G137</f>
        <v>163636131.76868039</v>
      </c>
      <c r="H14" s="401">
        <f>'Allocation Proforma'!G147+'Allocation Proforma'!G149+'Allocation Proforma'!G154+'Allocation Proforma'!G143</f>
        <v>247237409.53093976</v>
      </c>
      <c r="I14" s="401">
        <f>'Allocation Proforma'!G148+'Allocation Proforma'!G150+'Allocation Proforma'!G155+'Allocation Proforma'!G159+'Allocation Proforma'!G162+'Allocation Proforma'!G165</f>
        <v>427139954.5528422</v>
      </c>
      <c r="J14" s="401">
        <f>'Allocation Proforma'!G168+'Allocation Proforma'!G171</f>
        <v>4290121.5847467342</v>
      </c>
      <c r="K14" s="270">
        <f>SUM(E14:J14)</f>
        <v>1748092633.3997719</v>
      </c>
      <c r="L14" s="422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23">
        <v>0</v>
      </c>
      <c r="E15" s="401">
        <f t="shared" ref="E15:J15" si="0">(E14/$D$14)*$D$15</f>
        <v>0</v>
      </c>
      <c r="F15" s="401">
        <f t="shared" si="0"/>
        <v>0</v>
      </c>
      <c r="G15" s="401">
        <f t="shared" si="0"/>
        <v>0</v>
      </c>
      <c r="H15" s="401">
        <f t="shared" si="0"/>
        <v>0</v>
      </c>
      <c r="I15" s="401">
        <f t="shared" si="0"/>
        <v>0</v>
      </c>
      <c r="J15" s="401">
        <f t="shared" si="0"/>
        <v>0</v>
      </c>
      <c r="K15" s="270">
        <f>SUM(E15:J15)</f>
        <v>0</v>
      </c>
      <c r="L15" s="422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23">
        <f>D14+D15</f>
        <v>1748092633.3997715</v>
      </c>
      <c r="E16" s="401">
        <f t="shared" ref="E16:K16" si="1">E14+E15</f>
        <v>877696322.81446397</v>
      </c>
      <c r="F16" s="401">
        <f t="shared" si="1"/>
        <v>28092693.148098722</v>
      </c>
      <c r="G16" s="401">
        <f t="shared" si="1"/>
        <v>163636131.76868039</v>
      </c>
      <c r="H16" s="401">
        <f t="shared" si="1"/>
        <v>247237409.53093976</v>
      </c>
      <c r="I16" s="401">
        <f t="shared" si="1"/>
        <v>427139954.5528422</v>
      </c>
      <c r="J16" s="401">
        <f t="shared" si="1"/>
        <v>4290121.5847467342</v>
      </c>
      <c r="K16" s="270">
        <f t="shared" si="1"/>
        <v>1748092633.3997719</v>
      </c>
      <c r="L16" s="422" t="str">
        <f>IF(ABS(K16-D16)&lt;0.01,"ok","err")</f>
        <v>ok</v>
      </c>
    </row>
    <row r="17" spans="1:12">
      <c r="A17" s="201"/>
      <c r="B17" s="360"/>
      <c r="C17" s="203"/>
      <c r="D17" s="258"/>
      <c r="E17" s="226"/>
      <c r="F17" s="226"/>
      <c r="G17" s="226"/>
      <c r="H17" s="226"/>
      <c r="I17" s="226"/>
      <c r="J17" s="226"/>
      <c r="K17" s="270"/>
      <c r="L17" s="402"/>
    </row>
    <row r="18" spans="1:12">
      <c r="A18" s="201" t="s">
        <v>1114</v>
      </c>
      <c r="B18" s="206" t="s">
        <v>1044</v>
      </c>
      <c r="C18" s="199"/>
      <c r="D18" s="403">
        <f>'Allocation Proforma'!G946</f>
        <v>3.5950739298222838E-2</v>
      </c>
      <c r="E18" s="404">
        <f t="shared" ref="E18:J18" si="2">D18</f>
        <v>3.5950739298222838E-2</v>
      </c>
      <c r="F18" s="404">
        <f t="shared" si="2"/>
        <v>3.5950739298222838E-2</v>
      </c>
      <c r="G18" s="404">
        <f t="shared" si="2"/>
        <v>3.5950739298222838E-2</v>
      </c>
      <c r="H18" s="404">
        <f t="shared" si="2"/>
        <v>3.5950739298222838E-2</v>
      </c>
      <c r="I18" s="404">
        <f t="shared" si="2"/>
        <v>3.5950739298222838E-2</v>
      </c>
      <c r="J18" s="404">
        <f t="shared" si="2"/>
        <v>3.5950739298222838E-2</v>
      </c>
      <c r="K18" s="270"/>
      <c r="L18" s="422"/>
    </row>
    <row r="19" spans="1:12">
      <c r="A19" s="205"/>
      <c r="B19" s="206"/>
      <c r="C19" s="203"/>
      <c r="D19" s="258"/>
      <c r="E19" s="226"/>
      <c r="F19" s="226"/>
      <c r="G19" s="226"/>
      <c r="H19" s="226"/>
      <c r="I19" s="226"/>
      <c r="J19" s="226"/>
      <c r="K19" s="270"/>
      <c r="L19" s="402"/>
    </row>
    <row r="20" spans="1:12">
      <c r="A20" s="201" t="s">
        <v>1115</v>
      </c>
      <c r="B20" s="206" t="s">
        <v>1116</v>
      </c>
      <c r="C20" s="199"/>
      <c r="D20" s="223">
        <f>D18*D16</f>
        <v>62845222.532499015</v>
      </c>
      <c r="E20" s="224">
        <f t="shared" ref="E20:J20" si="3">E18*E16</f>
        <v>31553831.684511628</v>
      </c>
      <c r="F20" s="224">
        <f t="shared" si="3"/>
        <v>1009953.0875522682</v>
      </c>
      <c r="G20" s="224">
        <f t="shared" si="3"/>
        <v>5882839.9129854692</v>
      </c>
      <c r="H20" s="224">
        <f t="shared" si="3"/>
        <v>8888367.6548147704</v>
      </c>
      <c r="I20" s="224">
        <f t="shared" si="3"/>
        <v>15355997.149983982</v>
      </c>
      <c r="J20" s="224">
        <f t="shared" si="3"/>
        <v>154233.04265090846</v>
      </c>
      <c r="K20" s="270">
        <f>SUM(E20:J20)</f>
        <v>62845222.532499023</v>
      </c>
      <c r="L20" s="422" t="str">
        <f>IF(ABS(K20-D20)&lt;0.01,"ok","err")</f>
        <v>ok</v>
      </c>
    </row>
    <row r="21" spans="1:12">
      <c r="A21" s="205"/>
      <c r="B21" s="206"/>
      <c r="C21" s="203"/>
      <c r="D21" s="258"/>
      <c r="E21" s="226"/>
      <c r="F21" s="226"/>
      <c r="G21" s="226"/>
      <c r="H21" s="226"/>
      <c r="I21" s="226"/>
      <c r="J21" s="226"/>
      <c r="K21" s="270"/>
      <c r="L21" s="402"/>
    </row>
    <row r="22" spans="1:12">
      <c r="A22" s="201" t="s">
        <v>1117</v>
      </c>
      <c r="B22" s="206" t="s">
        <v>764</v>
      </c>
      <c r="C22" s="199"/>
      <c r="D22" s="223">
        <f>'Allocation Proforma'!G738</f>
        <v>38218541.898882881</v>
      </c>
      <c r="E22" s="224">
        <f t="shared" ref="E22:J22" si="4">(E14/$D$14)*$D$22</f>
        <v>19189071.017787866</v>
      </c>
      <c r="F22" s="224">
        <f t="shared" si="4"/>
        <v>614190.43225699314</v>
      </c>
      <c r="G22" s="224">
        <f t="shared" si="4"/>
        <v>3577576.0612922958</v>
      </c>
      <c r="H22" s="224">
        <f t="shared" si="4"/>
        <v>5405350.4457326904</v>
      </c>
      <c r="I22" s="224">
        <f t="shared" si="4"/>
        <v>9338559.0316319577</v>
      </c>
      <c r="J22" s="224">
        <f t="shared" si="4"/>
        <v>93794.910181083265</v>
      </c>
      <c r="K22" s="270">
        <f>SUM(E22:J22)</f>
        <v>38218541.898882888</v>
      </c>
      <c r="L22" s="422" t="str">
        <f>IF(ABS(K22-D22)&lt;0.01,"ok","err")</f>
        <v>ok</v>
      </c>
    </row>
    <row r="23" spans="1:12">
      <c r="A23" s="205"/>
      <c r="B23" s="206"/>
      <c r="C23" s="203"/>
      <c r="D23" s="258"/>
      <c r="E23" s="226"/>
      <c r="F23" s="226"/>
      <c r="G23" s="226"/>
      <c r="H23" s="226"/>
      <c r="I23" s="226"/>
      <c r="J23" s="226"/>
      <c r="K23" s="270"/>
      <c r="L23" s="402"/>
    </row>
    <row r="24" spans="1:12">
      <c r="A24" s="201" t="s">
        <v>1118</v>
      </c>
      <c r="B24" s="206" t="s">
        <v>1119</v>
      </c>
      <c r="C24" s="199"/>
      <c r="D24" s="223">
        <f>D20-D22</f>
        <v>24626680.633616135</v>
      </c>
      <c r="E24" s="224">
        <f t="shared" ref="E24:J24" si="5">E20-E22</f>
        <v>12364760.666723762</v>
      </c>
      <c r="F24" s="224">
        <f t="shared" si="5"/>
        <v>395762.65529527504</v>
      </c>
      <c r="G24" s="224">
        <f t="shared" si="5"/>
        <v>2305263.8516931734</v>
      </c>
      <c r="H24" s="224">
        <f t="shared" si="5"/>
        <v>3483017.2090820801</v>
      </c>
      <c r="I24" s="224">
        <f t="shared" si="5"/>
        <v>6017438.1183520239</v>
      </c>
      <c r="J24" s="224">
        <f t="shared" si="5"/>
        <v>60438.132469825199</v>
      </c>
      <c r="K24" s="270">
        <f>SUM(E24:J24)</f>
        <v>24626680.633616142</v>
      </c>
      <c r="L24" s="422" t="str">
        <f>IF(ABS(K24-D24)&lt;0.01,"ok","err")</f>
        <v>ok</v>
      </c>
    </row>
    <row r="25" spans="1:12">
      <c r="A25" s="205"/>
      <c r="B25" s="206"/>
      <c r="C25" s="203"/>
      <c r="D25" s="258"/>
      <c r="E25" s="226"/>
      <c r="F25" s="226"/>
      <c r="G25" s="226"/>
      <c r="H25" s="226"/>
      <c r="I25" s="226"/>
      <c r="J25" s="226"/>
      <c r="K25" s="270"/>
      <c r="L25" s="402"/>
    </row>
    <row r="26" spans="1:12">
      <c r="A26" s="201" t="s">
        <v>1120</v>
      </c>
      <c r="B26" s="206" t="s">
        <v>1121</v>
      </c>
      <c r="C26" s="203"/>
      <c r="D26" s="223">
        <f>'Allocation Proforma'!G767+'Allocation Proforma'!G937</f>
        <v>11735152.653281739</v>
      </c>
      <c r="E26" s="224">
        <f t="shared" ref="E26:J26" si="6">$D$26*(E24/$K$24)</f>
        <v>5892079.2494960958</v>
      </c>
      <c r="F26" s="224">
        <f t="shared" si="6"/>
        <v>188589.5725637713</v>
      </c>
      <c r="G26" s="224">
        <f t="shared" si="6"/>
        <v>1098508.7112708157</v>
      </c>
      <c r="H26" s="224">
        <f t="shared" si="6"/>
        <v>1659733.9792026894</v>
      </c>
      <c r="I26" s="224">
        <f t="shared" si="6"/>
        <v>2867441.0470140716</v>
      </c>
      <c r="J26" s="224">
        <f t="shared" si="6"/>
        <v>28800.093734293787</v>
      </c>
      <c r="K26" s="270">
        <f>SUM(E26:J26)</f>
        <v>11735152.653281737</v>
      </c>
      <c r="L26" s="422" t="str">
        <f>IF(ABS(K26-D26)&lt;0.01,"ok","err")</f>
        <v>ok</v>
      </c>
    </row>
    <row r="27" spans="1:12">
      <c r="A27" s="205"/>
      <c r="B27" s="206"/>
      <c r="C27" s="203"/>
      <c r="D27" s="258"/>
      <c r="E27" s="226"/>
      <c r="F27" s="226"/>
      <c r="G27" s="226"/>
      <c r="H27" s="226"/>
      <c r="I27" s="226"/>
      <c r="J27" s="226"/>
      <c r="K27" s="270"/>
      <c r="L27" s="402"/>
    </row>
    <row r="28" spans="1:12">
      <c r="A28" s="201" t="s">
        <v>1122</v>
      </c>
      <c r="B28" s="206" t="s">
        <v>899</v>
      </c>
      <c r="C28" s="199"/>
      <c r="D28" s="223">
        <f>'Allocation Proforma'!G758</f>
        <v>278465752.40621531</v>
      </c>
      <c r="E28" s="224">
        <f>'Allocation Proforma'!G182+'Allocation Proforma'!G183+'Allocation Proforma'!G184</f>
        <v>48924608.20888371</v>
      </c>
      <c r="F28" s="224">
        <f>'Allocation Proforma'!G185</f>
        <v>142494992.01873499</v>
      </c>
      <c r="G28" s="224">
        <f>'Allocation Proforma'!G194</f>
        <v>16258976.300137052</v>
      </c>
      <c r="H28" s="224">
        <f>'Allocation Proforma'!G200+'Allocation Proforma'!G204+'Allocation Proforma'!G206+'Allocation Proforma'!G211</f>
        <v>14521797.285451781</v>
      </c>
      <c r="I28" s="224">
        <f>'Allocation Proforma'!G205+'Allocation Proforma'!G207+'Allocation Proforma'!G212+'Allocation Proforma'!G216+'Allocation Proforma'!G219</f>
        <v>35650398.210854158</v>
      </c>
      <c r="J28" s="224">
        <f>'Allocation Proforma'!G225+'Allocation Proforma'!G228</f>
        <v>20614980.382153634</v>
      </c>
      <c r="K28" s="270">
        <f t="shared" ref="K28:K32" si="7">SUM(E28:J28)</f>
        <v>278465752.40621531</v>
      </c>
      <c r="L28" s="422" t="str">
        <f>IF(ABS(K28-D28)&lt;0.01,"ok","err")</f>
        <v>ok</v>
      </c>
    </row>
    <row r="29" spans="1:12">
      <c r="A29" s="201" t="s">
        <v>1123</v>
      </c>
      <c r="B29" s="206" t="s">
        <v>995</v>
      </c>
      <c r="C29" s="199"/>
      <c r="D29" s="405">
        <f>'Allocation Proforma'!G759</f>
        <v>132741133.13643135</v>
      </c>
      <c r="E29" s="347">
        <f>'Allocation Proforma'!G302</f>
        <v>92983987.651086539</v>
      </c>
      <c r="F29" s="347">
        <v>0</v>
      </c>
      <c r="G29" s="347">
        <f>'Allocation Proforma'!G308</f>
        <v>6875037.2143583233</v>
      </c>
      <c r="H29" s="347">
        <f>'Allocation Proforma'!G314+'Allocation Proforma'!G318+'Allocation Proforma'!G320+'Allocation Proforma'!G325</f>
        <v>12106544.679644059</v>
      </c>
      <c r="I29" s="347">
        <f>'Allocation Proforma'!G319+'Allocation Proforma'!G321+'Allocation Proforma'!G326+'Allocation Proforma'!G330+'Allocation Proforma'!G333</f>
        <v>20775563.591342423</v>
      </c>
      <c r="J29" s="347">
        <v>0</v>
      </c>
      <c r="K29" s="270">
        <f t="shared" si="7"/>
        <v>132741133.13643135</v>
      </c>
      <c r="L29" s="422" t="str">
        <f>IF(ABS(K29-D29)&lt;0.01,"ok","err")</f>
        <v>ok</v>
      </c>
    </row>
    <row r="30" spans="1:12">
      <c r="A30" s="201" t="s">
        <v>1124</v>
      </c>
      <c r="B30" s="206" t="s">
        <v>1125</v>
      </c>
      <c r="C30" s="199"/>
      <c r="D30" s="405">
        <f>'Allocation Proforma'!G764+'Allocation Proforma'!G765</f>
        <v>20988234.447683796</v>
      </c>
      <c r="E30" s="347">
        <f>'Allocation Proforma'!G417+'Allocation Proforma'!G474+'Allocation Proforma'!G359+'Allocation Proforma'!G531+'Allocation Proforma'!G589</f>
        <v>11008483.249541808</v>
      </c>
      <c r="F30" s="347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47">
        <f>'Allocation Proforma'!G365+'Allocation Proforma'!G423+'Allocation Proforma'!G480+'Allocation Proforma'!G537+'Allocation Proforma'!G595</f>
        <v>1881250.8289063568</v>
      </c>
      <c r="H30" s="347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2981249.8082168926</v>
      </c>
      <c r="I30" s="347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5117250.5610187408</v>
      </c>
      <c r="J30" s="347">
        <v>0</v>
      </c>
      <c r="K30" s="270">
        <f t="shared" si="7"/>
        <v>20988234.447683796</v>
      </c>
      <c r="L30" s="422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405">
        <f>'Allocation Proforma'!G771</f>
        <v>-94700.563519768126</v>
      </c>
      <c r="E31" s="406">
        <f t="shared" ref="E31:J31" si="8">$D$31*(E14/$K$14)</f>
        <v>-47548.015924136496</v>
      </c>
      <c r="F31" s="406">
        <f t="shared" si="8"/>
        <v>-1521.8838070033048</v>
      </c>
      <c r="G31" s="406">
        <f t="shared" si="8"/>
        <v>-8864.7670006771204</v>
      </c>
      <c r="H31" s="406">
        <f t="shared" si="8"/>
        <v>-13393.753602297367</v>
      </c>
      <c r="I31" s="406">
        <f t="shared" si="8"/>
        <v>-23139.731628118869</v>
      </c>
      <c r="J31" s="406">
        <f t="shared" si="8"/>
        <v>-232.41155753496321</v>
      </c>
      <c r="K31" s="270">
        <f t="shared" si="7"/>
        <v>-94700.563519768111</v>
      </c>
      <c r="L31" s="422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257">
        <v>0</v>
      </c>
      <c r="E32" s="347">
        <f>D32</f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270">
        <f t="shared" si="7"/>
        <v>0</v>
      </c>
      <c r="L32" s="422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257">
        <v>0</v>
      </c>
      <c r="E33" s="347">
        <v>0</v>
      </c>
      <c r="F33" s="347">
        <f>D33</f>
        <v>0</v>
      </c>
      <c r="G33" s="347">
        <v>0</v>
      </c>
      <c r="H33" s="347">
        <v>0</v>
      </c>
      <c r="I33" s="347">
        <v>0</v>
      </c>
      <c r="J33" s="347">
        <v>0</v>
      </c>
      <c r="K33" s="270">
        <f t="shared" ref="K33:K39" si="10">SUM(E33:J33)</f>
        <v>0</v>
      </c>
      <c r="L33" s="422" t="str">
        <f t="shared" si="9"/>
        <v>ok</v>
      </c>
    </row>
    <row r="34" spans="1:12">
      <c r="A34" s="201" t="s">
        <v>1131</v>
      </c>
      <c r="B34" s="206" t="s">
        <v>1132</v>
      </c>
      <c r="C34" s="199"/>
      <c r="D34" s="257">
        <v>0</v>
      </c>
      <c r="E34" s="347">
        <v>0</v>
      </c>
      <c r="F34" s="347">
        <v>0</v>
      </c>
      <c r="G34" s="347">
        <f>D34</f>
        <v>0</v>
      </c>
      <c r="H34" s="347">
        <v>0</v>
      </c>
      <c r="I34" s="347">
        <v>0</v>
      </c>
      <c r="J34" s="347">
        <v>0</v>
      </c>
      <c r="K34" s="270">
        <f t="shared" si="10"/>
        <v>0</v>
      </c>
      <c r="L34" s="422" t="str">
        <f t="shared" si="9"/>
        <v>ok</v>
      </c>
    </row>
    <row r="35" spans="1:12">
      <c r="A35" s="201" t="s">
        <v>1133</v>
      </c>
      <c r="B35" s="206" t="s">
        <v>1134</v>
      </c>
      <c r="C35" s="199"/>
      <c r="D35" s="257">
        <v>0</v>
      </c>
      <c r="E35" s="347">
        <v>0</v>
      </c>
      <c r="F35" s="347">
        <v>0</v>
      </c>
      <c r="G35" s="347">
        <v>0</v>
      </c>
      <c r="H35" s="347">
        <f>(H14/($I$14+$H$14)*$D$35)</f>
        <v>0</v>
      </c>
      <c r="I35" s="347">
        <f>(I14/($I$14+$H$14)*$D$35)</f>
        <v>0</v>
      </c>
      <c r="J35" s="347">
        <v>0</v>
      </c>
      <c r="K35" s="270">
        <f t="shared" si="10"/>
        <v>0</v>
      </c>
      <c r="L35" s="422" t="str">
        <f t="shared" si="9"/>
        <v>ok</v>
      </c>
    </row>
    <row r="36" spans="1:12">
      <c r="A36" s="207" t="s">
        <v>1135</v>
      </c>
      <c r="B36" s="206" t="s">
        <v>1136</v>
      </c>
      <c r="C36" s="199"/>
      <c r="D36" s="405">
        <f>'Allocation Proforma'!G934+'Allocation Proforma'!G935</f>
        <v>202828.72435543622</v>
      </c>
      <c r="E36" s="347">
        <f t="shared" ref="E36:J36" si="11">(E14/($D$14)*$D$36)</f>
        <v>101837.86724258965</v>
      </c>
      <c r="F36" s="347">
        <f t="shared" si="11"/>
        <v>3259.5555899436654</v>
      </c>
      <c r="G36" s="347">
        <f t="shared" si="11"/>
        <v>18986.469727608117</v>
      </c>
      <c r="H36" s="347">
        <f t="shared" si="11"/>
        <v>28686.608152209399</v>
      </c>
      <c r="I36" s="347">
        <f t="shared" si="11"/>
        <v>49560.446882438824</v>
      </c>
      <c r="J36" s="347">
        <f t="shared" si="11"/>
        <v>497.77676064658846</v>
      </c>
      <c r="K36" s="270">
        <f t="shared" si="10"/>
        <v>202828.72435543622</v>
      </c>
      <c r="L36" s="422" t="str">
        <f t="shared" si="9"/>
        <v>ok</v>
      </c>
    </row>
    <row r="37" spans="1:12">
      <c r="A37" s="207" t="s">
        <v>1137</v>
      </c>
      <c r="B37" s="206" t="s">
        <v>1376</v>
      </c>
      <c r="C37" s="342"/>
      <c r="D37" s="405">
        <v>0</v>
      </c>
      <c r="E37" s="347">
        <f t="shared" ref="E37:J37" si="12">(E14/($D$14)*$D$37)</f>
        <v>0</v>
      </c>
      <c r="F37" s="347">
        <f t="shared" si="12"/>
        <v>0</v>
      </c>
      <c r="G37" s="347">
        <f t="shared" si="12"/>
        <v>0</v>
      </c>
      <c r="H37" s="347">
        <f t="shared" si="12"/>
        <v>0</v>
      </c>
      <c r="I37" s="347">
        <f t="shared" si="12"/>
        <v>0</v>
      </c>
      <c r="J37" s="347">
        <f t="shared" si="12"/>
        <v>0</v>
      </c>
      <c r="K37" s="270">
        <f t="shared" si="10"/>
        <v>0</v>
      </c>
      <c r="L37" s="422" t="str">
        <f t="shared" si="9"/>
        <v>ok</v>
      </c>
    </row>
    <row r="38" spans="1:12">
      <c r="A38" s="201"/>
      <c r="B38" s="206"/>
      <c r="D38" s="223"/>
      <c r="E38" s="224"/>
      <c r="F38" s="224"/>
      <c r="G38" s="224"/>
      <c r="H38" s="224"/>
      <c r="I38" s="224"/>
      <c r="J38" s="224"/>
      <c r="K38" s="270"/>
      <c r="L38" s="422"/>
    </row>
    <row r="39" spans="1:12" s="44" customFormat="1">
      <c r="A39" s="201" t="s">
        <v>1138</v>
      </c>
      <c r="B39" s="206" t="s">
        <v>1236</v>
      </c>
      <c r="C39" s="199"/>
      <c r="D39" s="223">
        <f t="shared" ref="D39:J39" si="13">SUM(D32:D37)</f>
        <v>202828.72435543622</v>
      </c>
      <c r="E39" s="401">
        <f t="shared" si="13"/>
        <v>101837.86724258965</v>
      </c>
      <c r="F39" s="401">
        <f t="shared" si="13"/>
        <v>3259.5555899436654</v>
      </c>
      <c r="G39" s="401">
        <f t="shared" si="13"/>
        <v>18986.469727608117</v>
      </c>
      <c r="H39" s="401">
        <f t="shared" si="13"/>
        <v>28686.608152209399</v>
      </c>
      <c r="I39" s="401">
        <f t="shared" si="13"/>
        <v>49560.446882438824</v>
      </c>
      <c r="J39" s="401">
        <f t="shared" si="13"/>
        <v>497.77676064658846</v>
      </c>
      <c r="K39" s="270">
        <f t="shared" si="10"/>
        <v>202828.72435543622</v>
      </c>
      <c r="L39" s="422" t="str">
        <f t="shared" si="9"/>
        <v>ok</v>
      </c>
    </row>
    <row r="40" spans="1:12">
      <c r="A40" s="205"/>
      <c r="B40" s="206"/>
      <c r="C40" s="203"/>
      <c r="D40" s="223"/>
      <c r="E40" s="226"/>
      <c r="F40" s="226"/>
      <c r="G40" s="226"/>
      <c r="H40" s="226"/>
      <c r="I40" s="226"/>
      <c r="J40" s="226"/>
      <c r="K40" s="270"/>
      <c r="L40" s="402"/>
    </row>
    <row r="41" spans="1:12" s="44" customFormat="1">
      <c r="A41" s="201" t="s">
        <v>1140</v>
      </c>
      <c r="B41" s="206" t="s">
        <v>1139</v>
      </c>
      <c r="C41" s="208"/>
      <c r="D41" s="223">
        <f t="shared" ref="D41:J41" si="14">SUM(D28:D31)+D22+D26+D39+D24</f>
        <v>506883623.3369469</v>
      </c>
      <c r="E41" s="224">
        <f t="shared" si="14"/>
        <v>190417279.89483827</v>
      </c>
      <c r="F41" s="224">
        <f t="shared" si="14"/>
        <v>143695272.35063398</v>
      </c>
      <c r="G41" s="224">
        <f t="shared" si="14"/>
        <v>32006734.670384947</v>
      </c>
      <c r="H41" s="224">
        <f t="shared" si="14"/>
        <v>40172986.261880107</v>
      </c>
      <c r="I41" s="224">
        <f t="shared" si="14"/>
        <v>79793071.275467694</v>
      </c>
      <c r="J41" s="224">
        <f t="shared" si="14"/>
        <v>20798278.883741945</v>
      </c>
      <c r="K41" s="270">
        <f>SUM(E41:J41)</f>
        <v>506883623.33694696</v>
      </c>
      <c r="L41" s="422" t="str">
        <f>IF(ABS(K41-D41)&lt;0.01,"ok","err")</f>
        <v>ok</v>
      </c>
    </row>
    <row r="42" spans="1:12">
      <c r="A42" s="205"/>
      <c r="B42" s="206"/>
      <c r="C42" s="203"/>
      <c r="D42" s="260"/>
      <c r="E42" s="226"/>
      <c r="F42" s="226"/>
      <c r="G42" s="226"/>
      <c r="H42" s="226"/>
      <c r="I42" s="226"/>
      <c r="J42" s="226"/>
      <c r="K42" s="270"/>
      <c r="L42" s="402"/>
    </row>
    <row r="43" spans="1:12">
      <c r="A43" s="201" t="s">
        <v>1141</v>
      </c>
      <c r="B43" s="206" t="s">
        <v>1244</v>
      </c>
      <c r="C43" s="203"/>
      <c r="D43" s="223">
        <f>-'Allocation Proforma'!G700</f>
        <v>-291030.04011126078</v>
      </c>
      <c r="E43" s="407">
        <f>D43</f>
        <v>-291030.04011126078</v>
      </c>
      <c r="F43" s="407"/>
      <c r="G43" s="407"/>
      <c r="H43" s="407"/>
      <c r="I43" s="407"/>
      <c r="J43" s="407"/>
      <c r="K43" s="270">
        <f>SUM(E43:J43)</f>
        <v>-291030.04011126078</v>
      </c>
      <c r="L43" s="422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405">
        <f>-'Allocation Proforma'!G698</f>
        <v>-12333831.623520909</v>
      </c>
      <c r="E44" s="347">
        <v>0</v>
      </c>
      <c r="F44" s="347">
        <f>D44</f>
        <v>-12333831.623520909</v>
      </c>
      <c r="G44" s="347">
        <v>0</v>
      </c>
      <c r="H44" s="347">
        <v>0</v>
      </c>
      <c r="I44" s="347">
        <v>0</v>
      </c>
      <c r="J44" s="347">
        <v>0</v>
      </c>
      <c r="K44" s="270">
        <f>SUM(E44:J44)</f>
        <v>-12333831.623520909</v>
      </c>
      <c r="L44" s="422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405">
        <f>-'Allocation Proforma'!G699</f>
        <v>-5705469.1667398736</v>
      </c>
      <c r="E45" s="347">
        <v>0</v>
      </c>
      <c r="F45" s="347">
        <v>0</v>
      </c>
      <c r="G45" s="347">
        <f>D45</f>
        <v>-5705469.1667398736</v>
      </c>
      <c r="H45" s="347">
        <v>0</v>
      </c>
      <c r="I45" s="347">
        <v>0</v>
      </c>
      <c r="J45" s="347">
        <v>0</v>
      </c>
      <c r="K45" s="270">
        <f>SUM(E45:J45)</f>
        <v>-5705469.1667398736</v>
      </c>
      <c r="L45" s="422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257">
        <f>-('Allocation Proforma'!G702+'Allocation Proforma'!G703+'Allocation Proforma'!G704+'Allocation Proforma'!G705)</f>
        <v>-5869155.291234985</v>
      </c>
      <c r="E46" s="347">
        <f>-(E14/($D$14)*('Allocation Proforma'!G702+'Allocation Proforma'!G703+'Allocation Proforma'!G704+'Allocation Proforma'!G705))</f>
        <v>-2946832.4039129689</v>
      </c>
      <c r="F46" s="347">
        <f>(F14/($D$14)*-('Allocation Proforma'!G702+'Allocation Proforma'!G703+'Allocation Proforma'!G704+'Allocation Proforma'!G705))</f>
        <v>-94320.161005734262</v>
      </c>
      <c r="G46" s="347">
        <f>(G14/($D$14)*-('Allocation Proforma'!G702+'Allocation Proforma'!G703+'Allocation Proforma'!G704+'Allocation Proforma'!G705))</f>
        <v>-549402.1599642199</v>
      </c>
      <c r="H46" s="347">
        <f>(H14/($D$14)*-('Allocation Proforma'!G702+'Allocation Proforma'!G703+'Allocation Proforma'!G704+'Allocation Proforma'!G705))</f>
        <v>-830090.30678061303</v>
      </c>
      <c r="I46" s="347">
        <f>(I14/($D$14)*-('Allocation Proforma'!G702+'Allocation Proforma'!G703+'Allocation Proforma'!G704+'Allocation Proforma'!G705))</f>
        <v>-1434106.3376521706</v>
      </c>
      <c r="J46" s="347">
        <f>(J14/($D$14)*-('Allocation Proforma'!G702+'Allocation Proforma'!G703+'Allocation Proforma'!G704+'Allocation Proforma'!G705))</f>
        <v>-14403.921919279341</v>
      </c>
      <c r="K46" s="270">
        <f>SUM(E46:J46)</f>
        <v>-5869155.2912349859</v>
      </c>
      <c r="L46" s="422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257">
        <f>SUM(D43:D46)</f>
        <v>-24199486.121607028</v>
      </c>
      <c r="E47" s="408">
        <f>SUM(E43:E46)</f>
        <v>-3237862.4440242299</v>
      </c>
      <c r="F47" s="408">
        <f t="shared" ref="F47:J47" si="15">SUM(F44:F46)</f>
        <v>-12428151.784526642</v>
      </c>
      <c r="G47" s="408">
        <f t="shared" si="15"/>
        <v>-6254871.3267040933</v>
      </c>
      <c r="H47" s="408">
        <f t="shared" si="15"/>
        <v>-830090.30678061303</v>
      </c>
      <c r="I47" s="408">
        <f t="shared" si="15"/>
        <v>-1434106.3376521706</v>
      </c>
      <c r="J47" s="408">
        <f t="shared" si="15"/>
        <v>-14403.921919279341</v>
      </c>
      <c r="K47" s="270">
        <f>SUM(E47:J47)</f>
        <v>-24199486.121607028</v>
      </c>
      <c r="L47" s="422" t="str">
        <f>IF(ABS(K47-D47)&lt;0.01,"ok","err")</f>
        <v>ok</v>
      </c>
    </row>
    <row r="48" spans="1:12">
      <c r="A48" s="205"/>
      <c r="B48" s="206"/>
      <c r="D48" s="261"/>
      <c r="E48" s="226"/>
      <c r="F48" s="226"/>
      <c r="G48" s="226"/>
      <c r="H48" s="226"/>
      <c r="I48" s="226"/>
      <c r="J48" s="226"/>
      <c r="K48" s="270"/>
      <c r="L48" s="402"/>
    </row>
    <row r="49" spans="1:15">
      <c r="A49" s="201" t="s">
        <v>1151</v>
      </c>
      <c r="B49" s="206" t="s">
        <v>1148</v>
      </c>
      <c r="C49" s="209" t="e">
        <f>'Allocation Proforma'!G926-SUM('Allocation Proforma'!G699:G705)-'Allocation Proforma'!#REF!-'Allocation Proforma'!G920-'Allocation Proforma'!G924</f>
        <v>#REF!</v>
      </c>
      <c r="D49" s="223">
        <f t="shared" ref="D49:J49" si="16">D41+D47</f>
        <v>482684137.2153399</v>
      </c>
      <c r="E49" s="401">
        <f t="shared" si="16"/>
        <v>187179417.45081404</v>
      </c>
      <c r="F49" s="401">
        <f t="shared" si="16"/>
        <v>131267120.56610733</v>
      </c>
      <c r="G49" s="401">
        <f t="shared" si="16"/>
        <v>25751863.343680855</v>
      </c>
      <c r="H49" s="401">
        <f t="shared" si="16"/>
        <v>39342895.955099493</v>
      </c>
      <c r="I49" s="401">
        <f t="shared" si="16"/>
        <v>78358964.937815517</v>
      </c>
      <c r="J49" s="401">
        <f t="shared" si="16"/>
        <v>20783874.961822666</v>
      </c>
      <c r="K49" s="270">
        <f>SUM(E49:J49)</f>
        <v>482684137.21533996</v>
      </c>
      <c r="L49" s="422" t="str">
        <f>IF(ABS(K49-D49)&lt;0.01,"ok","err")</f>
        <v>ok</v>
      </c>
    </row>
    <row r="50" spans="1:15">
      <c r="A50" s="205"/>
      <c r="B50" s="206"/>
      <c r="C50" s="203"/>
      <c r="D50" s="262"/>
      <c r="E50" s="226"/>
      <c r="F50" s="226"/>
      <c r="G50" s="226"/>
      <c r="H50" s="226"/>
      <c r="I50" s="226"/>
      <c r="J50" s="226"/>
      <c r="K50" s="270"/>
      <c r="L50" s="402"/>
    </row>
    <row r="51" spans="1:15">
      <c r="A51" s="201" t="s">
        <v>1237</v>
      </c>
      <c r="B51" s="206" t="s">
        <v>1150</v>
      </c>
      <c r="C51" s="199"/>
      <c r="D51" s="261"/>
      <c r="E51" s="264">
        <f>'Allocation Proforma'!G964</f>
        <v>4038260479.9491978</v>
      </c>
      <c r="F51" s="264">
        <f>'Allocation Proforma'!G964</f>
        <v>4038260479.9491978</v>
      </c>
      <c r="G51" s="264">
        <f>'Allocation Proforma'!G964</f>
        <v>4038260479.9491978</v>
      </c>
      <c r="H51" s="264">
        <f>'Allocation Proforma'!G964</f>
        <v>4038260479.9491978</v>
      </c>
      <c r="I51" s="264">
        <f>'Allocation Proforma'!$G$980*12</f>
        <v>4519527</v>
      </c>
      <c r="J51" s="264">
        <f>'Allocation Proforma'!$G$980*12</f>
        <v>4519527</v>
      </c>
      <c r="K51" s="254"/>
      <c r="L51" s="402"/>
    </row>
    <row r="52" spans="1:15" ht="14.4" thickBot="1">
      <c r="A52" s="205"/>
      <c r="B52" s="206"/>
      <c r="C52" s="203"/>
      <c r="D52" s="261"/>
      <c r="E52" s="226"/>
      <c r="F52" s="226"/>
      <c r="G52" s="226"/>
      <c r="H52" s="226"/>
      <c r="I52" s="226"/>
      <c r="J52" s="226"/>
      <c r="K52" s="254"/>
      <c r="L52" s="402"/>
    </row>
    <row r="53" spans="1:15" ht="14.4" thickBot="1">
      <c r="A53" s="210" t="s">
        <v>1372</v>
      </c>
      <c r="B53" s="361" t="s">
        <v>1152</v>
      </c>
      <c r="C53" s="211"/>
      <c r="D53" s="409"/>
      <c r="E53" s="266">
        <f t="shared" ref="E53:J53" si="17">E49/E51</f>
        <v>4.635149673484381E-2</v>
      </c>
      <c r="F53" s="266">
        <f t="shared" si="17"/>
        <v>3.2505857712219373E-2</v>
      </c>
      <c r="G53" s="266">
        <f t="shared" si="17"/>
        <v>6.3769693588475052E-3</v>
      </c>
      <c r="H53" s="266">
        <f t="shared" si="17"/>
        <v>9.7425354680425267E-3</v>
      </c>
      <c r="I53" s="267">
        <f t="shared" si="17"/>
        <v>17.33786852867911</v>
      </c>
      <c r="J53" s="267">
        <f t="shared" si="17"/>
        <v>4.5986836591135898</v>
      </c>
      <c r="K53" s="252">
        <f>I53+J53</f>
        <v>21.936552187792699</v>
      </c>
      <c r="L53" s="410"/>
    </row>
    <row r="54" spans="1:15">
      <c r="D54" s="213"/>
      <c r="E54" s="213"/>
      <c r="F54" s="213"/>
      <c r="G54" s="213"/>
      <c r="H54" s="213"/>
      <c r="I54" s="213"/>
      <c r="J54" s="213"/>
      <c r="K54" s="213"/>
      <c r="L54" s="213"/>
    </row>
    <row r="55" spans="1:15">
      <c r="D55" s="411"/>
      <c r="E55" s="213"/>
      <c r="F55" s="412"/>
      <c r="G55" s="213"/>
      <c r="H55" s="213"/>
      <c r="I55" s="213"/>
      <c r="J55" s="213" t="s">
        <v>1224</v>
      </c>
      <c r="K55" s="413">
        <f>I53+J53</f>
        <v>21.936552187792699</v>
      </c>
      <c r="L55" s="414">
        <f>ROUND(K55/30.5, 2)</f>
        <v>0.72</v>
      </c>
    </row>
    <row r="56" spans="1:15">
      <c r="D56" s="411"/>
      <c r="E56" s="213"/>
      <c r="F56" s="213"/>
      <c r="G56" s="213"/>
      <c r="H56" s="213"/>
      <c r="I56" s="415"/>
      <c r="J56" s="213" t="s">
        <v>1238</v>
      </c>
      <c r="K56" s="416">
        <f>E53+G53+H53</f>
        <v>6.2471001561733838E-2</v>
      </c>
      <c r="L56" s="414"/>
      <c r="N56" t="s">
        <v>855</v>
      </c>
      <c r="O56" s="18">
        <f>(I49+J49)/K49</f>
        <v>0.20539900165686936</v>
      </c>
    </row>
    <row r="57" spans="1:15">
      <c r="D57" s="213"/>
      <c r="E57" s="213"/>
      <c r="F57" s="213"/>
      <c r="G57" s="213"/>
      <c r="H57" s="213"/>
      <c r="I57" s="213"/>
      <c r="J57" s="213" t="s">
        <v>1223</v>
      </c>
      <c r="K57" s="416">
        <f>F53</f>
        <v>3.2505857712219373E-2</v>
      </c>
      <c r="L57" s="213"/>
      <c r="N57" t="s">
        <v>853</v>
      </c>
      <c r="O57" s="18">
        <f>(E49+G49+H49)/K49</f>
        <v>0.52264857553636002</v>
      </c>
    </row>
    <row r="58" spans="1:15">
      <c r="D58" s="213"/>
      <c r="E58" s="213"/>
      <c r="F58" s="213"/>
      <c r="G58" s="213"/>
      <c r="H58" s="213"/>
      <c r="I58" s="417"/>
      <c r="J58" s="226"/>
      <c r="K58" s="418"/>
      <c r="L58" s="213"/>
      <c r="N58" t="s">
        <v>854</v>
      </c>
      <c r="O58" s="18">
        <f>F49/K49</f>
        <v>0.27195242280677046</v>
      </c>
    </row>
    <row r="59" spans="1:15">
      <c r="D59" s="213"/>
      <c r="E59" s="213"/>
      <c r="F59" s="213"/>
      <c r="G59" s="213"/>
      <c r="H59" s="213"/>
      <c r="I59" s="213"/>
      <c r="J59" s="338" t="s">
        <v>1232</v>
      </c>
      <c r="K59" s="419">
        <v>18.3</v>
      </c>
      <c r="L59" s="213"/>
      <c r="O59" s="437">
        <f>SUM(O56:O58)</f>
        <v>0.99999999999999978</v>
      </c>
    </row>
    <row r="60" spans="1:15">
      <c r="D60" s="213"/>
      <c r="E60" s="213"/>
      <c r="F60" s="213"/>
      <c r="G60" s="213"/>
      <c r="H60" s="213"/>
      <c r="I60" s="213"/>
      <c r="J60" s="338" t="s">
        <v>1233</v>
      </c>
      <c r="K60" s="407">
        <f>(K55-K59)*I51</f>
        <v>16435495.799638173</v>
      </c>
      <c r="L60" s="213"/>
    </row>
    <row r="61" spans="1:15">
      <c r="D61" s="213"/>
      <c r="E61" s="213"/>
      <c r="F61" s="213"/>
      <c r="G61" s="213"/>
      <c r="H61" s="213"/>
      <c r="I61" s="213"/>
      <c r="J61" s="338" t="s">
        <v>1234</v>
      </c>
      <c r="K61" s="420">
        <f>K60/H51</f>
        <v>4.0699444429708838E-3</v>
      </c>
      <c r="L61" s="213"/>
    </row>
    <row r="62" spans="1:15">
      <c r="D62" s="213"/>
      <c r="E62" s="213"/>
      <c r="F62" s="213"/>
      <c r="G62" s="213"/>
      <c r="H62" s="213"/>
      <c r="I62" s="213"/>
      <c r="J62" s="338" t="s">
        <v>1240</v>
      </c>
      <c r="K62" s="213">
        <v>6.9100000000000003E-3</v>
      </c>
      <c r="L62" s="213"/>
    </row>
    <row r="63" spans="1:15">
      <c r="D63" s="213"/>
      <c r="E63" s="213"/>
      <c r="F63" s="213"/>
      <c r="G63" s="213"/>
      <c r="H63" s="213"/>
      <c r="I63" s="213"/>
      <c r="J63" s="338" t="s">
        <v>1241</v>
      </c>
      <c r="K63" s="421">
        <f>K61+K62+K56</f>
        <v>7.3450946004704726E-2</v>
      </c>
      <c r="L63" s="421">
        <f>K63+K57</f>
        <v>0.10595680371692409</v>
      </c>
    </row>
    <row r="65" spans="11:11">
      <c r="K65" s="246">
        <f>K49-484980728</f>
        <v>-2296590.7846600413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65"/>
  <sheetViews>
    <sheetView view="pageBreakPreview" topLeftCell="B22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1211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423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Proforma'!I176</f>
        <v>403486900.96194375</v>
      </c>
      <c r="E14" s="333">
        <f>'Allocation Proforma'!I125+'Allocation Proforma'!I126+'Allocation Proforma'!I127</f>
        <v>245587138.06649747</v>
      </c>
      <c r="F14" s="333">
        <f>'Allocation Proforma'!I128</f>
        <v>8327707.1263278788</v>
      </c>
      <c r="G14" s="333">
        <f>'Allocation Proforma'!I137</f>
        <v>40082952.396583527</v>
      </c>
      <c r="H14" s="333">
        <f>'Allocation Proforma'!I147+'Allocation Proforma'!I149+'Allocation Proforma'!I154+'Allocation Proforma'!I143</f>
        <v>53213351.631203786</v>
      </c>
      <c r="I14" s="333">
        <f>'Allocation Proforma'!I148+'Allocation Proforma'!I150+'Allocation Proforma'!I155+'Allocation Proforma'!I159+'Allocation Proforma'!I162+'Allocation Proforma'!I165</f>
        <v>55348502.295769937</v>
      </c>
      <c r="J14" s="333">
        <f>'Allocation Proforma'!I168+'Allocation Proforma'!I171</f>
        <v>927249.44556108629</v>
      </c>
      <c r="K14" s="269">
        <f>SUM(E14:J14)</f>
        <v>403486900.96194369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403486900.96194375</v>
      </c>
      <c r="E16" s="333">
        <f t="shared" ref="E16:K16" si="1">E14+E15</f>
        <v>245587138.06649747</v>
      </c>
      <c r="F16" s="333">
        <f t="shared" si="1"/>
        <v>8327707.1263278788</v>
      </c>
      <c r="G16" s="333">
        <f t="shared" si="1"/>
        <v>40082952.396583527</v>
      </c>
      <c r="H16" s="333">
        <f t="shared" si="1"/>
        <v>53213351.631203786</v>
      </c>
      <c r="I16" s="333">
        <f t="shared" si="1"/>
        <v>55348502.295769937</v>
      </c>
      <c r="J16" s="333">
        <f t="shared" si="1"/>
        <v>927249.44556108629</v>
      </c>
      <c r="K16" s="269">
        <f t="shared" si="1"/>
        <v>403486900.96194369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Proforma'!I946</f>
        <v>0.13220346882745992</v>
      </c>
      <c r="E18" s="335">
        <f t="shared" ref="E18:J18" si="2">D18</f>
        <v>0.13220346882745992</v>
      </c>
      <c r="F18" s="335">
        <f t="shared" si="2"/>
        <v>0.13220346882745992</v>
      </c>
      <c r="G18" s="335">
        <f t="shared" si="2"/>
        <v>0.13220346882745992</v>
      </c>
      <c r="H18" s="335">
        <f t="shared" si="2"/>
        <v>0.13220346882745992</v>
      </c>
      <c r="I18" s="335">
        <f t="shared" si="2"/>
        <v>0.13220346882745992</v>
      </c>
      <c r="J18" s="335">
        <f t="shared" si="2"/>
        <v>0.13220346882745992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53342367.933610737</v>
      </c>
      <c r="E20" s="352">
        <f t="shared" ref="E20:J20" si="3">E18*E16</f>
        <v>32467471.551799297</v>
      </c>
      <c r="F20" s="352">
        <f t="shared" si="3"/>
        <v>1100951.7694797036</v>
      </c>
      <c r="G20" s="352">
        <f t="shared" si="3"/>
        <v>5299105.3476742906</v>
      </c>
      <c r="H20" s="352">
        <f t="shared" si="3"/>
        <v>7034989.6735805133</v>
      </c>
      <c r="I20" s="352">
        <f t="shared" si="3"/>
        <v>7317263.9979054146</v>
      </c>
      <c r="J20" s="352">
        <f t="shared" si="3"/>
        <v>122585.59317151457</v>
      </c>
      <c r="K20" s="269">
        <f>SUM(E20:J20)</f>
        <v>53342367.93361073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Proforma'!I738</f>
        <v>8816711.3252257481</v>
      </c>
      <c r="E22" s="352">
        <f t="shared" ref="E22:J22" si="4">(E14/$D$14)*$D$22</f>
        <v>5366397.0165041192</v>
      </c>
      <c r="F22" s="352">
        <f t="shared" si="4"/>
        <v>181971.18557953712</v>
      </c>
      <c r="G22" s="352">
        <f t="shared" si="4"/>
        <v>875864.41964016727</v>
      </c>
      <c r="H22" s="352">
        <f t="shared" si="4"/>
        <v>1162780.6475539228</v>
      </c>
      <c r="I22" s="352">
        <f t="shared" si="4"/>
        <v>1209436.4547200624</v>
      </c>
      <c r="J22" s="352">
        <f t="shared" si="4"/>
        <v>20261.601227938765</v>
      </c>
      <c r="K22" s="269">
        <f>SUM(E22:J22)</f>
        <v>8816711.3252257481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44525656.608384989</v>
      </c>
      <c r="E24" s="352">
        <f t="shared" ref="E24:J24" si="5">E20-E22</f>
        <v>27101074.535295177</v>
      </c>
      <c r="F24" s="352">
        <f t="shared" si="5"/>
        <v>918980.58390016644</v>
      </c>
      <c r="G24" s="352">
        <f t="shared" si="5"/>
        <v>4423240.928034123</v>
      </c>
      <c r="H24" s="352">
        <f t="shared" si="5"/>
        <v>5872209.0260265907</v>
      </c>
      <c r="I24" s="352">
        <f t="shared" si="5"/>
        <v>6107827.5431853523</v>
      </c>
      <c r="J24" s="352">
        <f t="shared" si="5"/>
        <v>102323.99194357581</v>
      </c>
      <c r="K24" s="269">
        <f>SUM(E24:J24)</f>
        <v>44525656.608384982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Proforma'!I767+'Allocation Proforma'!I937</f>
        <v>7908604.664228864</v>
      </c>
      <c r="E26" s="352">
        <f t="shared" ref="E26:J26" si="6">$D$26*(E24/$K$24)</f>
        <v>4813667.0136176506</v>
      </c>
      <c r="F26" s="352">
        <f t="shared" si="6"/>
        <v>163228.45491289068</v>
      </c>
      <c r="G26" s="352">
        <f t="shared" si="6"/>
        <v>785651.83534813952</v>
      </c>
      <c r="H26" s="352">
        <f t="shared" si="6"/>
        <v>1043016.1670836553</v>
      </c>
      <c r="I26" s="352">
        <f t="shared" si="6"/>
        <v>1084866.5034003027</v>
      </c>
      <c r="J26" s="352">
        <f t="shared" si="6"/>
        <v>18174.689866226159</v>
      </c>
      <c r="K26" s="269">
        <f>SUM(E26:J26)</f>
        <v>7908604.6642288649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Proforma'!I758</f>
        <v>73711390.713541612</v>
      </c>
      <c r="E28" s="352">
        <f>'Allocation Proforma'!I182+'Allocation Proforma'!I183+'Allocation Proforma'!I184</f>
        <v>13689534.977787893</v>
      </c>
      <c r="F28" s="352">
        <f>'Allocation Proforma'!I185</f>
        <v>42240754.713143803</v>
      </c>
      <c r="G28" s="352">
        <f>'Allocation Proforma'!I194</f>
        <v>3982664.256429879</v>
      </c>
      <c r="H28" s="352">
        <f>'Allocation Proforma'!I200+'Allocation Proforma'!I204+'Allocation Proforma'!I206+'Allocation Proforma'!I211</f>
        <v>3225047.8947438495</v>
      </c>
      <c r="I28" s="352">
        <f>'Allocation Proforma'!I205+'Allocation Proforma'!I207+'Allocation Proforma'!I212+'Allocation Proforma'!I216+'Allocation Proforma'!I219</f>
        <v>6112618.2019007504</v>
      </c>
      <c r="J28" s="352">
        <f>'Allocation Proforma'!I225+'Allocation Proforma'!I228</f>
        <v>4460770.6695354497</v>
      </c>
      <c r="K28" s="269">
        <f t="shared" ref="K28:K39" si="7">SUM(E28:J28)</f>
        <v>73711390.713541612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Proforma'!I759</f>
        <v>32982691.122442532</v>
      </c>
      <c r="E29" s="348">
        <f>'Allocation Proforma'!I302</f>
        <v>26017736.225685559</v>
      </c>
      <c r="F29" s="348">
        <v>0</v>
      </c>
      <c r="G29" s="348">
        <f>'Allocation Proforma'!I308</f>
        <v>1684052.2102870238</v>
      </c>
      <c r="H29" s="348">
        <f>'Allocation Proforma'!I314+'Allocation Proforma'!I318+'Allocation Proforma'!I320+'Allocation Proforma'!I325</f>
        <v>2604803.8500004751</v>
      </c>
      <c r="I29" s="348">
        <f>'Allocation Proforma'!I319+'Allocation Proforma'!I321+'Allocation Proforma'!I326+'Allocation Proforma'!I330+'Allocation Proforma'!I333</f>
        <v>2676098.8364694733</v>
      </c>
      <c r="J29" s="348">
        <v>0</v>
      </c>
      <c r="K29" s="269">
        <f t="shared" si="7"/>
        <v>32982691.122442529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Proforma'!I764+'Allocation Proforma'!I765</f>
        <v>4841901.8530396288</v>
      </c>
      <c r="E30" s="348">
        <f>'Allocation Proforma'!I417+'Allocation Proforma'!I474+'Allocation Proforma'!I359+'Allocation Proforma'!I531+'Allocation Proforma'!I589</f>
        <v>3080270.2773536053</v>
      </c>
      <c r="F30" s="348">
        <f>'Allocation Proforma'!I356+'Allocation Proforma'!I357+'Allocation Proforma'!I358+'Allocation Proforma'!I414+'Allocation Proforma'!I415+'Allocation Proforma'!I416+'Allocation Proforma'!I471+'Allocation Proforma'!I472+'Allocation Proforma'!I473+'Allocation Proforma'!I528+'Allocation Proforma'!I529+'Allocation Proforma'!I530+'Allocation Proforma'!I586+'Allocation Proforma'!I587+'Allocation Proforma'!I588</f>
        <v>0</v>
      </c>
      <c r="G30" s="348">
        <f>'Allocation Proforma'!I365+'Allocation Proforma'!I423+'Allocation Proforma'!I480+'Allocation Proforma'!I537+'Allocation Proforma'!I595</f>
        <v>460815.63164596487</v>
      </c>
      <c r="H30" s="348">
        <f>'Allocation Proforma'!I371+'Allocation Proforma'!I375+'Allocation Proforma'!I377+'Allocation Proforma'!I382+'Allocation Proforma'!I429+'Allocation Proforma'!I433+'Allocation Proforma'!I435+'Allocation Proforma'!I440+'Allocation Proforma'!I486+'Allocation Proforma'!I490+'Allocation Proforma'!I492+'Allocation Proforma'!I497+'Allocation Proforma'!I543+'Allocation Proforma'!I547+'Allocation Proforma'!I549+'Allocation Proforma'!I554+'Allocation Proforma'!I601+'Allocation Proforma'!I605+'Allocation Proforma'!I607+'Allocation Proforma'!I612</f>
        <v>641435.78401140077</v>
      </c>
      <c r="I30" s="348">
        <f>'Allocation Proforma'!I376+'Allocation Proforma'!I378+'Allocation Proforma'!I383+'Allocation Proforma'!I387+'Allocation Proforma'!I391+'Allocation Proforma'!I434+'Allocation Proforma'!I436+'Allocation Proforma'!I441+'Allocation Proforma'!I445+'Allocation Proforma'!I448+'Allocation Proforma'!I491+'Allocation Proforma'!I493+'Allocation Proforma'!I498+'Allocation Proforma'!I502+'Allocation Proforma'!I505+'Allocation Proforma'!I548+'Allocation Proforma'!I550+'Allocation Proforma'!I555+'Allocation Proforma'!I559+'Allocation Proforma'!I562+'Allocation Proforma'!I606+'Allocation Proforma'!I608+'Allocation Proforma'!I613+'Allocation Proforma'!I617+'Allocation Proforma'!I620</f>
        <v>659380.16002865764</v>
      </c>
      <c r="J30" s="348">
        <v>0</v>
      </c>
      <c r="K30" s="269">
        <f t="shared" si="7"/>
        <v>4841901.8530396288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Proforma'!I771</f>
        <v>-28072.72885989619</v>
      </c>
      <c r="E31" s="348">
        <f t="shared" ref="E31:J31" si="8">$D$31*(E14/$K$14)</f>
        <v>-17086.802872614036</v>
      </c>
      <c r="F31" s="348">
        <f t="shared" si="8"/>
        <v>-579.40285948484302</v>
      </c>
      <c r="G31" s="348">
        <f t="shared" si="8"/>
        <v>-2788.7841014188125</v>
      </c>
      <c r="H31" s="348">
        <f t="shared" si="8"/>
        <v>-3702.3357846504064</v>
      </c>
      <c r="I31" s="348">
        <f t="shared" si="8"/>
        <v>-3850.8895680284841</v>
      </c>
      <c r="J31" s="348">
        <f t="shared" si="8"/>
        <v>-64.513673699609399</v>
      </c>
      <c r="K31" s="269">
        <f t="shared" si="7"/>
        <v>-28072.728859896193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Proforma'!I934+'Allocation Proforma'!I935</f>
        <v>72999.470372847049</v>
      </c>
      <c r="E36" s="348">
        <f t="shared" ref="E36:J36" si="10">(E14/($D$14)*$D$36)</f>
        <v>44432.002542081274</v>
      </c>
      <c r="F36" s="348">
        <f t="shared" si="10"/>
        <v>1506.6615748684667</v>
      </c>
      <c r="G36" s="348">
        <f t="shared" si="10"/>
        <v>7251.8693641720402</v>
      </c>
      <c r="H36" s="348">
        <f t="shared" si="10"/>
        <v>9627.4413780990053</v>
      </c>
      <c r="I36" s="348">
        <f t="shared" si="10"/>
        <v>10013.736118542793</v>
      </c>
      <c r="J36" s="348">
        <f t="shared" si="10"/>
        <v>167.7593950834594</v>
      </c>
      <c r="K36" s="269">
        <f t="shared" si="7"/>
        <v>72999.470372847034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72999.470372847049</v>
      </c>
      <c r="E39" s="333">
        <f t="shared" si="11"/>
        <v>44432.002542081274</v>
      </c>
      <c r="F39" s="333">
        <f t="shared" si="11"/>
        <v>1506.6615748684667</v>
      </c>
      <c r="G39" s="333">
        <f t="shared" si="11"/>
        <v>7251.8693641720402</v>
      </c>
      <c r="H39" s="333">
        <f t="shared" si="11"/>
        <v>9627.4413780990053</v>
      </c>
      <c r="I39" s="333">
        <f t="shared" si="11"/>
        <v>10013.736118542793</v>
      </c>
      <c r="J39" s="333">
        <f t="shared" si="11"/>
        <v>167.7593950834594</v>
      </c>
      <c r="K39" s="269">
        <f t="shared" si="7"/>
        <v>72999.470372847034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172831883.02837628</v>
      </c>
      <c r="E41" s="352">
        <f t="shared" si="12"/>
        <v>80096025.245913461</v>
      </c>
      <c r="F41" s="352">
        <f t="shared" si="12"/>
        <v>43505862.196251787</v>
      </c>
      <c r="G41" s="352">
        <f t="shared" si="12"/>
        <v>12216752.36664805</v>
      </c>
      <c r="H41" s="352">
        <f t="shared" si="12"/>
        <v>14555218.475013345</v>
      </c>
      <c r="I41" s="352">
        <f t="shared" si="12"/>
        <v>17856390.546255112</v>
      </c>
      <c r="J41" s="352">
        <f t="shared" si="12"/>
        <v>4601634.1982945744</v>
      </c>
      <c r="K41" s="269">
        <f>SUM(E41:J41)</f>
        <v>172831883.02837634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Proforma'!I700</f>
        <v>-81432.760721969215</v>
      </c>
      <c r="E43" s="294">
        <f>D43</f>
        <v>-81432.760721969215</v>
      </c>
      <c r="F43" s="294"/>
      <c r="G43" s="294"/>
      <c r="H43" s="294"/>
      <c r="I43" s="294"/>
      <c r="J43" s="294"/>
      <c r="K43" s="269">
        <f>SUM(E43:J43)</f>
        <v>-81432.760721969215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Proforma'!I698</f>
        <v>-3656201.1682057143</v>
      </c>
      <c r="E44" s="348">
        <v>0</v>
      </c>
      <c r="F44" s="348">
        <f>D44</f>
        <v>-3656201.1682057143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-3656201.1682057143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Proforma'!I699</f>
        <v>-1397564.5020373219</v>
      </c>
      <c r="E45" s="348">
        <v>0</v>
      </c>
      <c r="F45" s="348">
        <v>0</v>
      </c>
      <c r="G45" s="348">
        <f>D45</f>
        <v>-1397564.5020373219</v>
      </c>
      <c r="H45" s="348">
        <v>0</v>
      </c>
      <c r="I45" s="348">
        <v>0</v>
      </c>
      <c r="J45" s="348">
        <v>0</v>
      </c>
      <c r="K45" s="269">
        <f>SUM(E45:J45)</f>
        <v>-1397564.5020373219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Proforma'!I702-'Allocation Proforma'!I703-'Allocation Proforma'!I704-'Allocation Proforma'!I705</f>
        <v>-788297.45533079922</v>
      </c>
      <c r="E46" s="348">
        <f>-(E14/($D$14)*('Allocation Proforma'!I702+'Allocation Proforma'!I703+'Allocation Proforma'!I704+'Allocation Proforma'!I705))</f>
        <v>-479806.69394284318</v>
      </c>
      <c r="F46" s="348">
        <f>(F14/($D$14)*-('Allocation Proforma'!I702+'Allocation Proforma'!I703+'Allocation Proforma'!I704+'Allocation Proforma'!I705))</f>
        <v>-16269.94660984943</v>
      </c>
      <c r="G46" s="348">
        <f>(G14/($D$14)*-('Allocation Proforma'!I702+'Allocation Proforma'!I703+'Allocation Proforma'!I704+'Allocation Proforma'!I705))</f>
        <v>-78310.570432502253</v>
      </c>
      <c r="H46" s="348">
        <f>(H14/($D$14)*-('Allocation Proforma'!I702+'Allocation Proforma'!I703+'Allocation Proforma'!I704+'Allocation Proforma'!I705))</f>
        <v>-103963.59728282093</v>
      </c>
      <c r="I46" s="348">
        <f>(I14/($D$14)*-('Allocation Proforma'!I702+'Allocation Proforma'!I703+'Allocation Proforma'!I704+'Allocation Proforma'!I705))</f>
        <v>-108135.06810780348</v>
      </c>
      <c r="J46" s="348">
        <f>(J14/($D$14)*-('Allocation Proforma'!I702+'Allocation Proforma'!I703+'Allocation Proforma'!I704+'Allocation Proforma'!I705))</f>
        <v>-1811.5789549798562</v>
      </c>
      <c r="K46" s="269">
        <f>SUM(E46:J46)</f>
        <v>-788297.45533079922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-5923495.8862958048</v>
      </c>
      <c r="E47" s="142">
        <f>SUM(E43:E46)</f>
        <v>-561239.45466481242</v>
      </c>
      <c r="F47" s="142">
        <f t="shared" ref="F47:I47" si="13">SUM(F43:F46)</f>
        <v>-3672471.1148155639</v>
      </c>
      <c r="G47" s="142">
        <f t="shared" si="13"/>
        <v>-1475875.0724698242</v>
      </c>
      <c r="H47" s="142">
        <f t="shared" si="13"/>
        <v>-103963.59728282093</v>
      </c>
      <c r="I47" s="142">
        <f t="shared" si="13"/>
        <v>-108135.06810780348</v>
      </c>
      <c r="J47" s="142">
        <f>SUM(J43:J46)</f>
        <v>-1811.5789549798562</v>
      </c>
      <c r="K47" s="269">
        <f>SUM(E47:J47)</f>
        <v>-5923495.8862958048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59">
        <f t="shared" ref="D49:J49" si="14">D41+D47</f>
        <v>166908387.14208049</v>
      </c>
      <c r="E49" s="333">
        <f t="shared" si="14"/>
        <v>79534785.791248649</v>
      </c>
      <c r="F49" s="333">
        <f t="shared" si="14"/>
        <v>39833391.081436224</v>
      </c>
      <c r="G49" s="333">
        <f t="shared" si="14"/>
        <v>10740877.294178225</v>
      </c>
      <c r="H49" s="333">
        <f t="shared" si="14"/>
        <v>14451254.877730524</v>
      </c>
      <c r="I49" s="333">
        <f t="shared" si="14"/>
        <v>17748255.478147309</v>
      </c>
      <c r="J49" s="333">
        <f t="shared" si="14"/>
        <v>4599822.6193395946</v>
      </c>
      <c r="K49" s="269">
        <f>SUM(E49:J49)</f>
        <v>166908387.14208049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283163</v>
      </c>
      <c r="F51" s="349">
        <f>'Allocation Proforma'!I964</f>
        <v>1197088880</v>
      </c>
      <c r="G51" s="349">
        <f>E51</f>
        <v>283163</v>
      </c>
      <c r="H51" s="349">
        <f>E51</f>
        <v>283163</v>
      </c>
      <c r="I51" s="349">
        <f>'Allocation Proforma'!$I$980*12</f>
        <v>543984</v>
      </c>
      <c r="J51" s="349">
        <f>'Allocation Proforma'!$I$980*12</f>
        <v>543984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280.8798670421229</v>
      </c>
      <c r="F53" s="350">
        <f t="shared" si="15"/>
        <v>3.3275216023589009E-2</v>
      </c>
      <c r="G53" s="351">
        <f t="shared" si="15"/>
        <v>37.931782380389478</v>
      </c>
      <c r="H53" s="351">
        <f t="shared" si="15"/>
        <v>51.035110087583917</v>
      </c>
      <c r="I53" s="351">
        <f t="shared" si="15"/>
        <v>32.626429229806959</v>
      </c>
      <c r="J53" s="351">
        <f t="shared" si="15"/>
        <v>8.4558049856973643</v>
      </c>
      <c r="K53" s="362">
        <f>I53+J53</f>
        <v>41.082234215504322</v>
      </c>
      <c r="L53" s="212"/>
    </row>
    <row r="55" spans="1:12">
      <c r="D55" s="246"/>
      <c r="F55" s="291"/>
      <c r="J55" s="345" t="s">
        <v>1224</v>
      </c>
      <c r="K55" s="214">
        <f>I53+J53</f>
        <v>41.082234215504322</v>
      </c>
      <c r="L55" s="214">
        <f>ROUND(K55/30.5,2)</f>
        <v>1.35</v>
      </c>
    </row>
    <row r="56" spans="1:12">
      <c r="D56" s="246"/>
      <c r="I56" s="19"/>
      <c r="J56" s="345" t="s">
        <v>1242</v>
      </c>
      <c r="K56" s="3">
        <f>E53+G53+H53</f>
        <v>369.84675951009626</v>
      </c>
    </row>
    <row r="57" spans="1:12">
      <c r="J57" s="345" t="s">
        <v>1243</v>
      </c>
      <c r="K57" s="8">
        <f>F53</f>
        <v>3.3275216023589009E-2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5">
      <c r="E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69"/>
  <sheetViews>
    <sheetView view="pageBreakPreview" topLeftCell="A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Proforma'!L176</f>
        <v>335323415.21704251</v>
      </c>
      <c r="E14" s="333">
        <f>'Allocation Proforma'!L125+'Allocation Proforma'!L126+'Allocation Proforma'!L127</f>
        <v>247146897.23319376</v>
      </c>
      <c r="F14" s="333">
        <f>'Allocation Proforma'!L128</f>
        <v>13568786.402307633</v>
      </c>
      <c r="G14" s="333">
        <f>'Allocation Proforma'!L137</f>
        <v>37402607.781119116</v>
      </c>
      <c r="H14" s="333">
        <f>'Allocation Proforma'!L147+'Allocation Proforma'!L149+'Allocation Proforma'!L154+'Allocation Proforma'!L143</f>
        <v>36679231.819770977</v>
      </c>
      <c r="I14" s="333">
        <f>'Allocation Proforma'!L148+'Allocation Proforma'!L150+'Allocation Proforma'!L155+'Allocation Proforma'!L159+'Allocation Proforma'!L162+'Allocation Proforma'!L165</f>
        <v>495674.45997575624</v>
      </c>
      <c r="J14" s="333">
        <f>'Allocation Proforma'!L168+'Allocation Proforma'!L171</f>
        <v>30217.520675222408</v>
      </c>
      <c r="K14" s="269">
        <f>SUM(E14:J14)</f>
        <v>335323415.21704251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335323415.21704251</v>
      </c>
      <c r="E16" s="333">
        <f t="shared" ref="E16:K16" si="1">E14+E15</f>
        <v>247146897.23319376</v>
      </c>
      <c r="F16" s="333">
        <f t="shared" si="1"/>
        <v>13568786.402307633</v>
      </c>
      <c r="G16" s="333">
        <f t="shared" si="1"/>
        <v>37402607.781119116</v>
      </c>
      <c r="H16" s="333">
        <f t="shared" si="1"/>
        <v>36679231.819770977</v>
      </c>
      <c r="I16" s="333">
        <f t="shared" si="1"/>
        <v>495674.45997575624</v>
      </c>
      <c r="J16" s="333">
        <f t="shared" si="1"/>
        <v>30217.520675222408</v>
      </c>
      <c r="K16" s="269">
        <f t="shared" si="1"/>
        <v>335323415.21704251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Proforma'!L946</f>
        <v>9.6816198751796673E-2</v>
      </c>
      <c r="E18" s="335">
        <f t="shared" ref="E18:J18" si="2">D18</f>
        <v>9.6816198751796673E-2</v>
      </c>
      <c r="F18" s="335">
        <f t="shared" si="2"/>
        <v>9.6816198751796673E-2</v>
      </c>
      <c r="G18" s="335">
        <f t="shared" si="2"/>
        <v>9.6816198751796673E-2</v>
      </c>
      <c r="H18" s="335">
        <f t="shared" si="2"/>
        <v>9.6816198751796673E-2</v>
      </c>
      <c r="I18" s="335">
        <f t="shared" si="2"/>
        <v>9.6816198751796673E-2</v>
      </c>
      <c r="J18" s="335">
        <f t="shared" si="2"/>
        <v>9.6816198751796673E-2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32464738.413784429</v>
      </c>
      <c r="E20" s="352">
        <f t="shared" ref="E20:J20" si="3">E18*E16</f>
        <v>23927823.123418752</v>
      </c>
      <c r="F20" s="352">
        <f t="shared" si="3"/>
        <v>1313678.3211464919</v>
      </c>
      <c r="G20" s="352">
        <f t="shared" si="3"/>
        <v>3621178.3087723251</v>
      </c>
      <c r="H20" s="352">
        <f t="shared" si="3"/>
        <v>3551143.7979261717</v>
      </c>
      <c r="I20" s="352">
        <f t="shared" si="3"/>
        <v>47989.3170332023</v>
      </c>
      <c r="J20" s="352">
        <f t="shared" si="3"/>
        <v>2925.5454874788579</v>
      </c>
      <c r="K20" s="269">
        <f>SUM(E20:J20)</f>
        <v>32464738.413784422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Proforma'!L738</f>
        <v>7239985.428351243</v>
      </c>
      <c r="E22" s="352">
        <f t="shared" ref="E22:J22" si="4">(E14/$D$14)*$D$22</f>
        <v>5336161.6082562292</v>
      </c>
      <c r="F22" s="352">
        <f t="shared" si="4"/>
        <v>292964.37819450221</v>
      </c>
      <c r="G22" s="352">
        <f t="shared" si="4"/>
        <v>807561.66443779063</v>
      </c>
      <c r="H22" s="352">
        <f t="shared" si="4"/>
        <v>791943.21615260234</v>
      </c>
      <c r="I22" s="352">
        <f t="shared" si="4"/>
        <v>10702.133237869859</v>
      </c>
      <c r="J22" s="352">
        <f t="shared" si="4"/>
        <v>652.42807224752869</v>
      </c>
      <c r="K22" s="269">
        <f>SUM(E22:J22)</f>
        <v>7239985.4283512412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25224752.985433187</v>
      </c>
      <c r="E24" s="352">
        <f t="shared" ref="E24:J24" si="5">E20-E22</f>
        <v>18591661.515162524</v>
      </c>
      <c r="F24" s="352">
        <f t="shared" si="5"/>
        <v>1020713.9429519897</v>
      </c>
      <c r="G24" s="352">
        <f t="shared" si="5"/>
        <v>2813616.6443345342</v>
      </c>
      <c r="H24" s="352">
        <f t="shared" si="5"/>
        <v>2759200.5817735693</v>
      </c>
      <c r="I24" s="352">
        <f t="shared" si="5"/>
        <v>37287.183795332443</v>
      </c>
      <c r="J24" s="352">
        <f t="shared" si="5"/>
        <v>2273.1174152313292</v>
      </c>
      <c r="K24" s="269">
        <f>SUM(E24:J24)</f>
        <v>25224752.985433176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Proforma'!L767+'Allocation Proforma'!L937</f>
        <v>5423296.0566128148</v>
      </c>
      <c r="E26" s="352">
        <f t="shared" ref="E26:J26" si="6">$D$26*(E24/$K$24)</f>
        <v>3997188.1841335562</v>
      </c>
      <c r="F26" s="352">
        <f t="shared" si="6"/>
        <v>219452.45231689556</v>
      </c>
      <c r="G26" s="352">
        <f t="shared" si="6"/>
        <v>604924.69681869587</v>
      </c>
      <c r="H26" s="352">
        <f t="shared" si="6"/>
        <v>593225.29910115642</v>
      </c>
      <c r="I26" s="352">
        <f t="shared" si="6"/>
        <v>8016.7063263692471</v>
      </c>
      <c r="J26" s="352">
        <f t="shared" si="6"/>
        <v>488.71791614217392</v>
      </c>
      <c r="K26" s="269">
        <f>SUM(E26:J26)</f>
        <v>5423296.0566128148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Proforma'!L758</f>
        <v>89085516.423879668</v>
      </c>
      <c r="E28" s="352">
        <f>'Allocation Proforma'!L182+'Allocation Proforma'!L183+'Allocation Proforma'!L184</f>
        <v>13776479.179497808</v>
      </c>
      <c r="F28" s="352">
        <f>'Allocation Proforma'!L185</f>
        <v>68825160.332896098</v>
      </c>
      <c r="G28" s="352">
        <f>'Allocation Proforma'!L194</f>
        <v>3716343.7371900268</v>
      </c>
      <c r="H28" s="352">
        <f>'Allocation Proforma'!L200+'Allocation Proforma'!L204+'Allocation Proforma'!L206+'Allocation Proforma'!L211</f>
        <v>2422943.1657146867</v>
      </c>
      <c r="I28" s="352">
        <f>'Allocation Proforma'!L205+'Allocation Proforma'!L207+'Allocation Proforma'!L212+'Allocation Proforma'!L216+'Allocation Proforma'!L219</f>
        <v>199645.42532075944</v>
      </c>
      <c r="J28" s="352">
        <f>'Allocation Proforma'!L225+'Allocation Proforma'!L228</f>
        <v>144944.58326029649</v>
      </c>
      <c r="K28" s="269">
        <f t="shared" ref="K28:K39" si="7">SUM(E28:J28)</f>
        <v>89085516.423879668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Proforma'!L759</f>
        <v>29568921.879067402</v>
      </c>
      <c r="E29" s="348">
        <f>'Allocation Proforma'!L302</f>
        <v>26182978.603174038</v>
      </c>
      <c r="F29" s="348">
        <v>0</v>
      </c>
      <c r="G29" s="348">
        <f>'Allocation Proforma'!L308</f>
        <v>1571439.7402937082</v>
      </c>
      <c r="H29" s="348">
        <f>'Allocation Proforma'!L314+'Allocation Proforma'!L318+'Allocation Proforma'!L320+'Allocation Proforma'!L325</f>
        <v>1793627.6071838168</v>
      </c>
      <c r="I29" s="348">
        <f>'Allocation Proforma'!L319+'Allocation Proforma'!L321+'Allocation Proforma'!L326+'Allocation Proforma'!L330+'Allocation Proforma'!L333</f>
        <v>20875.928415836788</v>
      </c>
      <c r="J29" s="348">
        <v>0</v>
      </c>
      <c r="K29" s="269">
        <f t="shared" si="7"/>
        <v>29568921.879067402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Proforma'!L764+'Allocation Proforma'!L765</f>
        <v>3976683.230781192</v>
      </c>
      <c r="E30" s="348">
        <f>'Allocation Proforma'!L417+'Allocation Proforma'!L474+'Allocation Proforma'!L359+'Allocation Proforma'!L531+'Allocation Proforma'!L589</f>
        <v>3099833.5160428542</v>
      </c>
      <c r="F30" s="348">
        <f>'Allocation Proforma'!L356+'Allocation Proforma'!L357+'Allocation Proforma'!L358+'Allocation Proforma'!L414+'Allocation Proforma'!L415+'Allocation Proforma'!L416+'Allocation Proforma'!L471+'Allocation Proforma'!L472+'Allocation Proforma'!L473+'Allocation Proforma'!L528+'Allocation Proforma'!L529+'Allocation Proforma'!L530+'Allocation Proforma'!L586+'Allocation Proforma'!L587+'Allocation Proforma'!L588</f>
        <v>0</v>
      </c>
      <c r="G30" s="348">
        <f>'Allocation Proforma'!L365+'Allocation Proforma'!L423+'Allocation Proforma'!L480+'Allocation Proforma'!L537+'Allocation Proforma'!L595</f>
        <v>430000.91807937215</v>
      </c>
      <c r="H30" s="348">
        <f>'Allocation Proforma'!L371+'Allocation Proforma'!L375+'Allocation Proforma'!L377+'Allocation Proforma'!L382+'Allocation Proforma'!L429+'Allocation Proforma'!L433+'Allocation Proforma'!L435+'Allocation Proforma'!L440+'Allocation Proforma'!L486+'Allocation Proforma'!L490+'Allocation Proforma'!L492+'Allocation Proforma'!L497+'Allocation Proforma'!L543+'Allocation Proforma'!L547+'Allocation Proforma'!L549+'Allocation Proforma'!L554+'Allocation Proforma'!L601+'Allocation Proforma'!L605+'Allocation Proforma'!L607+'Allocation Proforma'!L612</f>
        <v>441682.75105944515</v>
      </c>
      <c r="I30" s="348">
        <f>'Allocation Proforma'!L376+'Allocation Proforma'!L378+'Allocation Proforma'!L383+'Allocation Proforma'!L387+'Allocation Proforma'!L391+'Allocation Proforma'!L434+'Allocation Proforma'!L436+'Allocation Proforma'!L441+'Allocation Proforma'!L445+'Allocation Proforma'!L448+'Allocation Proforma'!L491+'Allocation Proforma'!L493+'Allocation Proforma'!L498+'Allocation Proforma'!L502+'Allocation Proforma'!L505+'Allocation Proforma'!L548+'Allocation Proforma'!L550+'Allocation Proforma'!L555+'Allocation Proforma'!L559+'Allocation Proforma'!L562+'Allocation Proforma'!L606+'Allocation Proforma'!L608+'Allocation Proforma'!L613+'Allocation Proforma'!L617+'Allocation Proforma'!L620</f>
        <v>5166.0455995201492</v>
      </c>
      <c r="J30" s="348">
        <v>0</v>
      </c>
      <c r="K30" s="269">
        <f t="shared" si="7"/>
        <v>3976683.2307811915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Proforma'!L771</f>
        <v>-45740.424807397481</v>
      </c>
      <c r="E31" s="348">
        <f t="shared" ref="E31:J31" si="8">$D$31*(E14/$K$14)</f>
        <v>-33712.540062135049</v>
      </c>
      <c r="F31" s="348">
        <f t="shared" si="8"/>
        <v>-1850.8759782273805</v>
      </c>
      <c r="G31" s="348">
        <f t="shared" si="8"/>
        <v>-5101.9734715081368</v>
      </c>
      <c r="H31" s="348">
        <f t="shared" si="8"/>
        <v>-5003.3000050396322</v>
      </c>
      <c r="I31" s="348">
        <f t="shared" si="8"/>
        <v>-67.613412414976878</v>
      </c>
      <c r="J31" s="348">
        <f t="shared" si="8"/>
        <v>-4.1218780722973571</v>
      </c>
      <c r="K31" s="269">
        <f t="shared" si="7"/>
        <v>-45740.424807397467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Proforma'!L934+'Allocation Proforma'!L935</f>
        <v>62503.234869535343</v>
      </c>
      <c r="E36" s="348">
        <f t="shared" ref="E36:J36" si="10">(E14/($D$14)*$D$36)</f>
        <v>46067.407953138725</v>
      </c>
      <c r="F36" s="348">
        <f t="shared" si="10"/>
        <v>2529.1793084269166</v>
      </c>
      <c r="G36" s="348">
        <f t="shared" si="10"/>
        <v>6971.7290018749109</v>
      </c>
      <c r="H36" s="348">
        <f t="shared" si="10"/>
        <v>6836.8939872015289</v>
      </c>
      <c r="I36" s="348">
        <f t="shared" si="10"/>
        <v>92.39216763506289</v>
      </c>
      <c r="J36" s="348">
        <f t="shared" si="10"/>
        <v>5.632451258186026</v>
      </c>
      <c r="K36" s="269">
        <f t="shared" si="7"/>
        <v>62503.234869535328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62503.234869535343</v>
      </c>
      <c r="E39" s="333">
        <f t="shared" si="11"/>
        <v>46067.407953138725</v>
      </c>
      <c r="F39" s="333">
        <f t="shared" si="11"/>
        <v>2529.1793084269166</v>
      </c>
      <c r="G39" s="333">
        <f t="shared" si="11"/>
        <v>6971.7290018749109</v>
      </c>
      <c r="H39" s="333">
        <f t="shared" si="11"/>
        <v>6836.8939872015289</v>
      </c>
      <c r="I39" s="333">
        <f t="shared" si="11"/>
        <v>92.39216763506289</v>
      </c>
      <c r="J39" s="333">
        <f t="shared" si="11"/>
        <v>5.632451258186026</v>
      </c>
      <c r="K39" s="269">
        <f t="shared" si="7"/>
        <v>62503.234869535328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160535918.81418765</v>
      </c>
      <c r="E41" s="352">
        <f t="shared" si="12"/>
        <v>70996657.474158004</v>
      </c>
      <c r="F41" s="352">
        <f t="shared" si="12"/>
        <v>70358969.40968968</v>
      </c>
      <c r="G41" s="352">
        <f t="shared" si="12"/>
        <v>9945757.1566844955</v>
      </c>
      <c r="H41" s="352">
        <f t="shared" si="12"/>
        <v>8804456.214967439</v>
      </c>
      <c r="I41" s="352">
        <f t="shared" si="12"/>
        <v>281718.20145090803</v>
      </c>
      <c r="J41" s="352">
        <f t="shared" si="12"/>
        <v>148360.35723710342</v>
      </c>
      <c r="K41" s="269">
        <f>SUM(E41:J41)</f>
        <v>160535918.81418762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Proforma'!L700</f>
        <v>-81949.9518745901</v>
      </c>
      <c r="E43" s="294">
        <f>D43</f>
        <v>-81949.9518745901</v>
      </c>
      <c r="F43" s="294"/>
      <c r="G43" s="294"/>
      <c r="H43" s="294"/>
      <c r="I43" s="294"/>
      <c r="J43" s="294"/>
      <c r="K43" s="269">
        <f>SUM(E43:J43)</f>
        <v>-81949.9518745901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Proforma'!L698</f>
        <v>-5957247.5283633946</v>
      </c>
      <c r="E44" s="348">
        <v>0</v>
      </c>
      <c r="F44" s="348">
        <f>D44</f>
        <v>-5957247.5283633946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-5957247.5283633946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Proforma'!L699</f>
        <v>-1304109.4478602444</v>
      </c>
      <c r="E45" s="348">
        <v>0</v>
      </c>
      <c r="F45" s="348">
        <v>0</v>
      </c>
      <c r="G45" s="348">
        <f>D45</f>
        <v>-1304109.4478602444</v>
      </c>
      <c r="H45" s="348">
        <v>0</v>
      </c>
      <c r="I45" s="348">
        <v>0</v>
      </c>
      <c r="J45" s="348">
        <v>0</v>
      </c>
      <c r="K45" s="269">
        <f>SUM(E45:J45)</f>
        <v>-1304109.4478602444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Proforma'!L702-'Allocation Proforma'!L703-'Allocation Proforma'!L704-'Allocation Proforma'!L705</f>
        <v>-446352.1122391005</v>
      </c>
      <c r="E46" s="348">
        <f>-(E14/($D$14)*('Allocation Proforma'!L702+'Allocation Proforma'!L703+'Allocation Proforma'!L704+'Allocation Proforma'!L705))</f>
        <v>-328979.53023045941</v>
      </c>
      <c r="F46" s="348">
        <f>(F14/($D$14)*-('Allocation Proforma'!L702+'Allocation Proforma'!L703+'Allocation Proforma'!L704+'Allocation Proforma'!L705))</f>
        <v>-18061.537597280749</v>
      </c>
      <c r="G46" s="348">
        <f>(G14/($D$14)*-('Allocation Proforma'!L702+'Allocation Proforma'!L703+'Allocation Proforma'!L704+'Allocation Proforma'!L705))</f>
        <v>-49786.958586077999</v>
      </c>
      <c r="H46" s="348">
        <f>(H14/($D$14)*-('Allocation Proforma'!L702+'Allocation Proforma'!L703+'Allocation Proforma'!L704+'Allocation Proforma'!L705))</f>
        <v>-48824.066125729703</v>
      </c>
      <c r="I46" s="348">
        <f>(I14/($D$14)*-('Allocation Proforma'!L702+'Allocation Proforma'!L703+'Allocation Proforma'!L704+'Allocation Proforma'!L705))</f>
        <v>-659.79687714307192</v>
      </c>
      <c r="J46" s="348">
        <f>(J14/($D$14)*-('Allocation Proforma'!L702+'Allocation Proforma'!L703+'Allocation Proforma'!L704+'Allocation Proforma'!L705))</f>
        <v>-40.222822409476386</v>
      </c>
      <c r="K46" s="269">
        <f>SUM(E46:J46)</f>
        <v>-446352.11223910045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-7789659.0403373297</v>
      </c>
      <c r="E47" s="142">
        <f>SUM(E43:E46)</f>
        <v>-410929.48210504954</v>
      </c>
      <c r="F47" s="142">
        <f t="shared" ref="F47:I47" si="13">SUM(F43:F46)</f>
        <v>-5975309.0659606755</v>
      </c>
      <c r="G47" s="142">
        <f t="shared" si="13"/>
        <v>-1353896.4064463223</v>
      </c>
      <c r="H47" s="142">
        <f t="shared" si="13"/>
        <v>-48824.066125729703</v>
      </c>
      <c r="I47" s="142">
        <f t="shared" si="13"/>
        <v>-659.79687714307192</v>
      </c>
      <c r="J47" s="142">
        <f>SUM(J43:J46)</f>
        <v>-40.222822409476386</v>
      </c>
      <c r="K47" s="269">
        <f>SUM(E47:J47)</f>
        <v>-7789659.0403373288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>
        <f t="shared" ref="D49:J49" si="14">D41+D47</f>
        <v>152746259.77385032</v>
      </c>
      <c r="E49" s="333">
        <f t="shared" si="14"/>
        <v>70585727.992052957</v>
      </c>
      <c r="F49" s="333">
        <f t="shared" si="14"/>
        <v>64383660.343729004</v>
      </c>
      <c r="G49" s="333">
        <f t="shared" si="14"/>
        <v>8591860.7502381727</v>
      </c>
      <c r="H49" s="333">
        <f t="shared" si="14"/>
        <v>8755632.1488417089</v>
      </c>
      <c r="I49" s="333">
        <f t="shared" si="14"/>
        <v>281058.40457376494</v>
      </c>
      <c r="J49" s="333">
        <f t="shared" si="14"/>
        <v>148320.13441469395</v>
      </c>
      <c r="K49" s="269">
        <f>SUM(E49:J49)</f>
        <v>152746259.77385032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142">
        <v>3183736</v>
      </c>
      <c r="F51" s="349">
        <f>'Allocation Proforma'!L964</f>
        <v>1992826476</v>
      </c>
      <c r="G51" s="349">
        <v>4406484</v>
      </c>
      <c r="H51" s="349">
        <f>G51</f>
        <v>4406484</v>
      </c>
      <c r="I51" s="349">
        <f>'Allocation Proforma'!$L$980*12</f>
        <v>1584</v>
      </c>
      <c r="J51" s="349">
        <f>'Allocation Proforma'!$L$980*12</f>
        <v>1584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22.170722695617023</v>
      </c>
      <c r="F53" s="430">
        <f t="shared" si="15"/>
        <v>3.230771023925768E-2</v>
      </c>
      <c r="G53" s="351">
        <f t="shared" si="15"/>
        <v>1.9498222960160918</v>
      </c>
      <c r="H53" s="351">
        <f t="shared" si="15"/>
        <v>1.9869882992521268</v>
      </c>
      <c r="I53" s="351">
        <f t="shared" si="15"/>
        <v>177.43586147333644</v>
      </c>
      <c r="J53" s="351">
        <f t="shared" si="15"/>
        <v>93.636448494124963</v>
      </c>
      <c r="K53" s="362">
        <f>I53+J53</f>
        <v>271.07230996746142</v>
      </c>
      <c r="L53" s="212"/>
    </row>
    <row r="55" spans="1:12">
      <c r="D55" s="246"/>
      <c r="F55" s="291"/>
      <c r="J55" s="345" t="s">
        <v>1224</v>
      </c>
      <c r="K55" s="214">
        <f>I53+J53</f>
        <v>271.07230996746142</v>
      </c>
      <c r="L55">
        <f>ROUND(K55/30.5,2)</f>
        <v>8.89</v>
      </c>
    </row>
    <row r="56" spans="1:12">
      <c r="D56" s="246"/>
      <c r="I56" s="19"/>
      <c r="J56" s="345" t="s">
        <v>1242</v>
      </c>
      <c r="K56" s="3">
        <f>E53+G53+H53</f>
        <v>26.10753329088524</v>
      </c>
    </row>
    <row r="57" spans="1:12">
      <c r="J57" s="345" t="s">
        <v>1243</v>
      </c>
      <c r="K57" s="8">
        <f>F53</f>
        <v>3.230771023925768E-2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39"/>
    </row>
    <row r="61" spans="1:12">
      <c r="J61" s="338"/>
      <c r="K61" s="3"/>
    </row>
    <row r="69" spans="5:6">
      <c r="E69" s="264"/>
      <c r="F69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CE5AA-6664-45D6-9F21-E272353805C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9e1b56-1bc3-4bb6-83f9-6df8fea7da2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D81EDF-6E11-4D57-A015-6B4E476E04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C956E-73F1-46D7-A4D7-3F6A3A19B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Functional Assignment</vt:lpstr>
      <vt:lpstr>Allocation Proforma</vt:lpstr>
      <vt:lpstr>Summary of Returns</vt:lpstr>
      <vt:lpstr>Billing Det</vt:lpstr>
      <vt:lpstr>GS</vt:lpstr>
      <vt:lpstr>PS Sec</vt:lpstr>
      <vt:lpstr>RS</vt:lpstr>
      <vt:lpstr>PS Pri</vt:lpstr>
      <vt:lpstr>TOD Sec</vt:lpstr>
      <vt:lpstr>TOD Pri</vt:lpstr>
      <vt:lpstr>RTS</vt:lpstr>
      <vt:lpstr>Special Contract</vt:lpstr>
      <vt:lpstr>Meters</vt:lpstr>
      <vt:lpstr>Services</vt:lpstr>
      <vt:lpstr>'Allocation Proforma'!Print_Area</vt:lpstr>
      <vt:lpstr>'Billing Det'!Print_Area</vt:lpstr>
      <vt:lpstr>'Functional Assignment'!Print_Area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Jeff Wernert</cp:lastModifiedBy>
  <cp:lastPrinted>2018-09-20T03:28:29Z</cp:lastPrinted>
  <dcterms:created xsi:type="dcterms:W3CDTF">1999-02-10T22:20:33Z</dcterms:created>
  <dcterms:modified xsi:type="dcterms:W3CDTF">2021-04-12T17:31:41Z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