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ate Case 2020\Cost of Service\Data Requests\Draft Responses from Seelye\LGE PSC\"/>
    </mc:Choice>
  </mc:AlternateContent>
  <xr:revisionPtr revIDLastSave="0" documentId="13_ncr:1_{6133F9E2-3CBF-439C-B6E8-135670B311D8}" xr6:coauthVersionLast="45" xr6:coauthVersionMax="45" xr10:uidLastSave="{00000000-0000-0000-0000-000000000000}"/>
  <bookViews>
    <workbookView xWindow="-110" yWindow="-110" windowWidth="19420" windowHeight="9800" xr2:uid="{F2FED1D2-E383-4501-A1EE-8D5BDED7371C}"/>
  </bookViews>
  <sheets>
    <sheet name="LG&amp;E-E Meter Pulse" sheetId="1" r:id="rId1"/>
    <sheet name="LGE-E Meter Pulse - 5-Year" sheetId="2" r:id="rId2"/>
    <sheet name="LGE-E Meter Pu WACOC-Tax Table" sheetId="3" r:id="rId3"/>
    <sheet name="LGE-E Meter Pulse - NPV" sheetId="4" r:id="rId4"/>
  </sheets>
  <externalReferences>
    <externalReference r:id="rId5"/>
  </externalReferences>
  <definedNames>
    <definedName name="_xlnm.Print_Area" localSheetId="1">'LGE-E Meter Pulse - 5-Year'!$A$1:$I$46</definedName>
    <definedName name="_xlnm.Print_Area" localSheetId="3">'LGE-E Meter Pulse - NPV'!$A$1:$Q$72</definedName>
    <definedName name="_xlnm.Print_Titles" localSheetId="3">'LGE-E Meter Pulse - NPV'!$A:$A</definedName>
    <definedName name="WACC">'[1]LookUp Ranges'!$L$12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5" i="4" l="1"/>
  <c r="L64" i="4"/>
  <c r="L63" i="4"/>
  <c r="L62" i="4"/>
  <c r="L61" i="4"/>
  <c r="E61" i="4"/>
  <c r="L60" i="4"/>
  <c r="L59" i="4"/>
  <c r="L58" i="4"/>
  <c r="L57" i="4"/>
  <c r="E57" i="4"/>
  <c r="L56" i="4"/>
  <c r="L55" i="4"/>
  <c r="E55" i="4"/>
  <c r="L54" i="4"/>
  <c r="L53" i="4"/>
  <c r="E53" i="4"/>
  <c r="L52" i="4"/>
  <c r="L51" i="4"/>
  <c r="E51" i="4"/>
  <c r="L50" i="4"/>
  <c r="E50" i="4"/>
  <c r="L49" i="4"/>
  <c r="E49" i="4"/>
  <c r="L48" i="4"/>
  <c r="L47" i="4"/>
  <c r="E47" i="4"/>
  <c r="L46" i="4"/>
  <c r="L45" i="4"/>
  <c r="E45" i="4"/>
  <c r="L44" i="4"/>
  <c r="L43" i="4"/>
  <c r="E43" i="4"/>
  <c r="L42" i="4"/>
  <c r="L41" i="4"/>
  <c r="E41" i="4"/>
  <c r="L40" i="4"/>
  <c r="E40" i="4"/>
  <c r="L39" i="4"/>
  <c r="E39" i="4"/>
  <c r="L38" i="4"/>
  <c r="E38" i="4"/>
  <c r="L37" i="4"/>
  <c r="E37" i="4"/>
  <c r="L36" i="4"/>
  <c r="L35" i="4"/>
  <c r="E35" i="4"/>
  <c r="L34" i="4"/>
  <c r="E34" i="4"/>
  <c r="L33" i="4"/>
  <c r="E33" i="4"/>
  <c r="L32" i="4"/>
  <c r="L31" i="4"/>
  <c r="E31" i="4"/>
  <c r="C31" i="4"/>
  <c r="G31" i="4" s="1"/>
  <c r="H31" i="4" s="1"/>
  <c r="M30" i="4"/>
  <c r="B30" i="4"/>
  <c r="E65" i="4" s="1"/>
  <c r="L21" i="4"/>
  <c r="L20" i="4"/>
  <c r="L19" i="4"/>
  <c r="L18" i="4"/>
  <c r="O14" i="4"/>
  <c r="O13" i="4"/>
  <c r="O12" i="4"/>
  <c r="E11" i="4"/>
  <c r="O10" i="4"/>
  <c r="O9" i="4"/>
  <c r="O8" i="4"/>
  <c r="G12" i="3"/>
  <c r="E12" i="3"/>
  <c r="F11" i="3"/>
  <c r="E11" i="3"/>
  <c r="E10" i="3"/>
  <c r="G37" i="2"/>
  <c r="C20" i="2"/>
  <c r="C19" i="2"/>
  <c r="C18" i="2"/>
  <c r="D17" i="2"/>
  <c r="D18" i="2" s="1"/>
  <c r="D19" i="2" s="1"/>
  <c r="D20" i="2" s="1"/>
  <c r="C17" i="2"/>
  <c r="C16" i="2"/>
  <c r="D16" i="2" s="1"/>
  <c r="D18" i="1"/>
  <c r="G10" i="3" l="1"/>
  <c r="E13" i="3"/>
  <c r="J30" i="4"/>
  <c r="G11" i="3"/>
  <c r="K30" i="4"/>
  <c r="D31" i="4"/>
  <c r="D15" i="1"/>
  <c r="B20" i="1"/>
  <c r="E18" i="1" s="1"/>
  <c r="E46" i="4"/>
  <c r="E58" i="4"/>
  <c r="E68" i="4"/>
  <c r="E63" i="4"/>
  <c r="N30" i="4"/>
  <c r="E32" i="4"/>
  <c r="E44" i="4"/>
  <c r="E56" i="4"/>
  <c r="E42" i="4"/>
  <c r="E54" i="4"/>
  <c r="E66" i="4"/>
  <c r="E69" i="4"/>
  <c r="E59" i="4"/>
  <c r="O11" i="4"/>
  <c r="E52" i="4"/>
  <c r="E64" i="4"/>
  <c r="E62" i="4"/>
  <c r="E67" i="4"/>
  <c r="E70" i="4"/>
  <c r="F31" i="4"/>
  <c r="E36" i="4"/>
  <c r="E48" i="4"/>
  <c r="E60" i="4"/>
  <c r="M31" i="4" l="1"/>
  <c r="I31" i="4"/>
  <c r="C32" i="4"/>
  <c r="E15" i="1"/>
  <c r="F20" i="1" s="1"/>
  <c r="B22" i="1" s="1"/>
  <c r="G13" i="3"/>
  <c r="G10" i="2" s="1"/>
  <c r="O30" i="4"/>
  <c r="P58" i="4"/>
  <c r="P46" i="4"/>
  <c r="P68" i="4"/>
  <c r="P65" i="4"/>
  <c r="P53" i="4"/>
  <c r="P41" i="4"/>
  <c r="P48" i="4"/>
  <c r="P36" i="4"/>
  <c r="P60" i="4"/>
  <c r="P55" i="4"/>
  <c r="P43" i="4"/>
  <c r="P62" i="4"/>
  <c r="P50" i="4"/>
  <c r="P70" i="4"/>
  <c r="P67" i="4"/>
  <c r="P57" i="4"/>
  <c r="P45" i="4"/>
  <c r="P33" i="4"/>
  <c r="P64" i="4"/>
  <c r="P52" i="4"/>
  <c r="P40" i="4"/>
  <c r="P59" i="4"/>
  <c r="P47" i="4"/>
  <c r="P35" i="4"/>
  <c r="P30" i="4"/>
  <c r="P54" i="4"/>
  <c r="P42" i="4"/>
  <c r="P69" i="4"/>
  <c r="P66" i="4"/>
  <c r="P61" i="4"/>
  <c r="P49" i="4"/>
  <c r="P37" i="4"/>
  <c r="P44" i="4"/>
  <c r="P32" i="4"/>
  <c r="P56" i="4"/>
  <c r="P34" i="4"/>
  <c r="P63" i="4"/>
  <c r="P51" i="4"/>
  <c r="P39" i="4"/>
  <c r="P38" i="4"/>
  <c r="P31" i="4"/>
  <c r="F32" i="4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K31" i="4" l="1"/>
  <c r="N31" i="4" s="1"/>
  <c r="J31" i="4"/>
  <c r="D32" i="4"/>
  <c r="Q30" i="4"/>
  <c r="G19" i="2"/>
  <c r="G20" i="2"/>
  <c r="G16" i="2"/>
  <c r="G18" i="2"/>
  <c r="G17" i="2"/>
  <c r="G32" i="4"/>
  <c r="H32" i="4" s="1"/>
  <c r="E10" i="2"/>
  <c r="B23" i="1"/>
  <c r="G44" i="2" s="1"/>
  <c r="H17" i="2" l="1"/>
  <c r="E17" i="2"/>
  <c r="F17" i="2" s="1"/>
  <c r="E20" i="2"/>
  <c r="F20" i="2" s="1"/>
  <c r="E18" i="2"/>
  <c r="F18" i="2" s="1"/>
  <c r="H18" i="2" s="1"/>
  <c r="E16" i="2"/>
  <c r="F16" i="2" s="1"/>
  <c r="E19" i="2"/>
  <c r="F19" i="2" s="1"/>
  <c r="H19" i="2"/>
  <c r="H16" i="2"/>
  <c r="I16" i="2" s="1"/>
  <c r="I17" i="2" s="1"/>
  <c r="H20" i="2"/>
  <c r="R30" i="4"/>
  <c r="M32" i="4"/>
  <c r="I32" i="4"/>
  <c r="C33" i="4"/>
  <c r="O31" i="4"/>
  <c r="G33" i="4" l="1"/>
  <c r="H33" i="4" s="1"/>
  <c r="I18" i="2"/>
  <c r="I19" i="2" s="1"/>
  <c r="I20" i="2" s="1"/>
  <c r="I22" i="2" s="1"/>
  <c r="G27" i="2" s="1"/>
  <c r="G31" i="2" s="1"/>
  <c r="K32" i="4"/>
  <c r="N32" i="4" s="1"/>
  <c r="J32" i="4"/>
  <c r="O32" i="4" s="1"/>
  <c r="Q31" i="4"/>
  <c r="S31" i="4"/>
  <c r="D33" i="4"/>
  <c r="R31" i="4"/>
  <c r="C34" i="4" l="1"/>
  <c r="M33" i="4"/>
  <c r="D34" i="4"/>
  <c r="I33" i="4"/>
  <c r="S32" i="4"/>
  <c r="Q32" i="4"/>
  <c r="C35" i="4" l="1"/>
  <c r="M34" i="4"/>
  <c r="R32" i="4"/>
  <c r="K33" i="4"/>
  <c r="N33" i="4" s="1"/>
  <c r="J33" i="4"/>
  <c r="G34" i="4"/>
  <c r="H34" i="4" s="1"/>
  <c r="H35" i="4" l="1"/>
  <c r="O33" i="4"/>
  <c r="G35" i="4"/>
  <c r="I34" i="4"/>
  <c r="D35" i="4"/>
  <c r="K34" i="4" l="1"/>
  <c r="N34" i="4" s="1"/>
  <c r="J34" i="4"/>
  <c r="O34" i="4" s="1"/>
  <c r="I35" i="4"/>
  <c r="C36" i="4"/>
  <c r="D36" i="4"/>
  <c r="M35" i="4"/>
  <c r="S33" i="4"/>
  <c r="Q33" i="4"/>
  <c r="R33" i="4" l="1"/>
  <c r="S34" i="4"/>
  <c r="Q34" i="4"/>
  <c r="M36" i="4"/>
  <c r="C37" i="4"/>
  <c r="G36" i="4"/>
  <c r="H36" i="4" s="1"/>
  <c r="K35" i="4"/>
  <c r="N35" i="4" s="1"/>
  <c r="J35" i="4"/>
  <c r="O35" i="4" s="1"/>
  <c r="Q35" i="4" l="1"/>
  <c r="S35" i="4"/>
  <c r="G37" i="4"/>
  <c r="H37" i="4"/>
  <c r="I36" i="4"/>
  <c r="D37" i="4"/>
  <c r="R34" i="4"/>
  <c r="C38" i="4" l="1"/>
  <c r="M37" i="4"/>
  <c r="I37" i="4"/>
  <c r="R35" i="4"/>
  <c r="K36" i="4"/>
  <c r="N36" i="4" s="1"/>
  <c r="J36" i="4"/>
  <c r="O36" i="4" s="1"/>
  <c r="G38" i="4" l="1"/>
  <c r="H38" i="4" s="1"/>
  <c r="Q36" i="4"/>
  <c r="S36" i="4"/>
  <c r="R36" i="4"/>
  <c r="K37" i="4"/>
  <c r="N37" i="4" s="1"/>
  <c r="J37" i="4"/>
  <c r="O37" i="4" s="1"/>
  <c r="D38" i="4"/>
  <c r="C39" i="4" l="1"/>
  <c r="M38" i="4"/>
  <c r="I38" i="4"/>
  <c r="S37" i="4"/>
  <c r="Q37" i="4"/>
  <c r="R37" i="4" s="1"/>
  <c r="G39" i="4" l="1"/>
  <c r="H39" i="4" s="1"/>
  <c r="K38" i="4"/>
  <c r="N38" i="4" s="1"/>
  <c r="J38" i="4"/>
  <c r="O38" i="4" s="1"/>
  <c r="D39" i="4"/>
  <c r="S38" i="4" l="1"/>
  <c r="Q38" i="4"/>
  <c r="R38" i="4" s="1"/>
  <c r="M39" i="4"/>
  <c r="I39" i="4"/>
  <c r="C40" i="4"/>
  <c r="G40" i="4" l="1"/>
  <c r="H40" i="4" s="1"/>
  <c r="K39" i="4"/>
  <c r="N39" i="4" s="1"/>
  <c r="J39" i="4"/>
  <c r="O39" i="4" s="1"/>
  <c r="D40" i="4"/>
  <c r="S39" i="4" l="1"/>
  <c r="Q39" i="4"/>
  <c r="R39" i="4" s="1"/>
  <c r="I40" i="4"/>
  <c r="C41" i="4"/>
  <c r="M40" i="4"/>
  <c r="G41" i="4" l="1"/>
  <c r="H41" i="4" s="1"/>
  <c r="K40" i="4"/>
  <c r="N40" i="4" s="1"/>
  <c r="J40" i="4"/>
  <c r="O40" i="4" s="1"/>
  <c r="D41" i="4"/>
  <c r="S40" i="4" l="1"/>
  <c r="Q40" i="4"/>
  <c r="R40" i="4" s="1"/>
  <c r="I41" i="4"/>
  <c r="C42" i="4"/>
  <c r="M41" i="4"/>
  <c r="G42" i="4" l="1"/>
  <c r="H42" i="4" s="1"/>
  <c r="K41" i="4"/>
  <c r="N41" i="4" s="1"/>
  <c r="J41" i="4"/>
  <c r="D42" i="4"/>
  <c r="D43" i="4" l="1"/>
  <c r="I42" i="4"/>
  <c r="M42" i="4"/>
  <c r="C43" i="4"/>
  <c r="O41" i="4"/>
  <c r="M43" i="4" l="1"/>
  <c r="I43" i="4"/>
  <c r="C44" i="4"/>
  <c r="Q41" i="4"/>
  <c r="R41" i="4" s="1"/>
  <c r="S41" i="4"/>
  <c r="G43" i="4"/>
  <c r="H43" i="4" s="1"/>
  <c r="K42" i="4"/>
  <c r="N42" i="4" s="1"/>
  <c r="J42" i="4"/>
  <c r="O42" i="4" s="1"/>
  <c r="H44" i="4" l="1"/>
  <c r="S42" i="4"/>
  <c r="Q42" i="4"/>
  <c r="R42" i="4"/>
  <c r="G44" i="4"/>
  <c r="K43" i="4"/>
  <c r="N43" i="4" s="1"/>
  <c r="J43" i="4"/>
  <c r="D44" i="4"/>
  <c r="M44" i="4" l="1"/>
  <c r="I44" i="4"/>
  <c r="C45" i="4"/>
  <c r="O43" i="4"/>
  <c r="S43" i="4" l="1"/>
  <c r="Q43" i="4"/>
  <c r="R43" i="4" s="1"/>
  <c r="G45" i="4"/>
  <c r="H45" i="4" s="1"/>
  <c r="K44" i="4"/>
  <c r="N44" i="4" s="1"/>
  <c r="J44" i="4"/>
  <c r="D45" i="4"/>
  <c r="C46" i="4" l="1"/>
  <c r="M45" i="4"/>
  <c r="I45" i="4"/>
  <c r="O44" i="4"/>
  <c r="G46" i="4" l="1"/>
  <c r="H46" i="4" s="1"/>
  <c r="S44" i="4"/>
  <c r="Q44" i="4"/>
  <c r="R44" i="4" s="1"/>
  <c r="K45" i="4"/>
  <c r="N45" i="4" s="1"/>
  <c r="J45" i="4"/>
  <c r="D46" i="4"/>
  <c r="M46" i="4" l="1"/>
  <c r="I46" i="4"/>
  <c r="C47" i="4"/>
  <c r="O45" i="4"/>
  <c r="S45" i="4" l="1"/>
  <c r="Q45" i="4"/>
  <c r="R45" i="4" s="1"/>
  <c r="G47" i="4"/>
  <c r="H47" i="4" s="1"/>
  <c r="K46" i="4"/>
  <c r="N46" i="4" s="1"/>
  <c r="J46" i="4"/>
  <c r="O46" i="4" s="1"/>
  <c r="D47" i="4"/>
  <c r="I47" i="4" l="1"/>
  <c r="C48" i="4"/>
  <c r="M47" i="4"/>
  <c r="S46" i="4"/>
  <c r="Q46" i="4"/>
  <c r="R46" i="4"/>
  <c r="K47" i="4" l="1"/>
  <c r="N47" i="4" s="1"/>
  <c r="J47" i="4"/>
  <c r="G48" i="4"/>
  <c r="H48" i="4" s="1"/>
  <c r="D48" i="4"/>
  <c r="M48" i="4" l="1"/>
  <c r="I48" i="4"/>
  <c r="C49" i="4"/>
  <c r="O47" i="4"/>
  <c r="S47" i="4" l="1"/>
  <c r="Q47" i="4"/>
  <c r="R47" i="4" s="1"/>
  <c r="G49" i="4"/>
  <c r="H49" i="4" s="1"/>
  <c r="K48" i="4"/>
  <c r="N48" i="4" s="1"/>
  <c r="J48" i="4"/>
  <c r="O48" i="4" s="1"/>
  <c r="D49" i="4"/>
  <c r="Q48" i="4" l="1"/>
  <c r="R48" i="4" s="1"/>
  <c r="S48" i="4"/>
  <c r="M49" i="4"/>
  <c r="I49" i="4"/>
  <c r="C50" i="4"/>
  <c r="G50" i="4" l="1"/>
  <c r="H50" i="4" s="1"/>
  <c r="K49" i="4"/>
  <c r="N49" i="4" s="1"/>
  <c r="J49" i="4"/>
  <c r="O49" i="4" s="1"/>
  <c r="D50" i="4"/>
  <c r="C51" i="4" l="1"/>
  <c r="M50" i="4"/>
  <c r="I50" i="4"/>
  <c r="S49" i="4"/>
  <c r="Q49" i="4"/>
  <c r="R49" i="4" s="1"/>
  <c r="G51" i="4" l="1"/>
  <c r="H51" i="4" s="1"/>
  <c r="K50" i="4"/>
  <c r="N50" i="4" s="1"/>
  <c r="J50" i="4"/>
  <c r="O50" i="4" s="1"/>
  <c r="D51" i="4"/>
  <c r="M51" i="4" l="1"/>
  <c r="I51" i="4"/>
  <c r="C52" i="4"/>
  <c r="S50" i="4"/>
  <c r="Q50" i="4"/>
  <c r="R50" i="4" s="1"/>
  <c r="G52" i="4" l="1"/>
  <c r="H52" i="4" s="1"/>
  <c r="K51" i="4"/>
  <c r="N51" i="4" s="1"/>
  <c r="J51" i="4"/>
  <c r="D52" i="4"/>
  <c r="D53" i="4" l="1"/>
  <c r="I52" i="4"/>
  <c r="C53" i="4"/>
  <c r="M52" i="4"/>
  <c r="O51" i="4"/>
  <c r="M53" i="4" l="1"/>
  <c r="I53" i="4"/>
  <c r="C54" i="4"/>
  <c r="G53" i="4"/>
  <c r="H53" i="4" s="1"/>
  <c r="S51" i="4"/>
  <c r="Q51" i="4"/>
  <c r="R51" i="4" s="1"/>
  <c r="K52" i="4"/>
  <c r="N52" i="4" s="1"/>
  <c r="J52" i="4"/>
  <c r="O52" i="4" l="1"/>
  <c r="G54" i="4"/>
  <c r="H54" i="4" s="1"/>
  <c r="D54" i="4"/>
  <c r="K53" i="4"/>
  <c r="N53" i="4" s="1"/>
  <c r="J53" i="4"/>
  <c r="O53" i="4" l="1"/>
  <c r="I54" i="4"/>
  <c r="C55" i="4"/>
  <c r="M54" i="4"/>
  <c r="S52" i="4"/>
  <c r="Q52" i="4"/>
  <c r="R52" i="4" s="1"/>
  <c r="R53" i="4" l="1"/>
  <c r="G55" i="4"/>
  <c r="H55" i="4" s="1"/>
  <c r="K54" i="4"/>
  <c r="N54" i="4" s="1"/>
  <c r="J54" i="4"/>
  <c r="O54" i="4" s="1"/>
  <c r="D55" i="4"/>
  <c r="Q53" i="4"/>
  <c r="S53" i="4"/>
  <c r="R54" i="4" l="1"/>
  <c r="M55" i="4"/>
  <c r="I55" i="4"/>
  <c r="C56" i="4"/>
  <c r="S54" i="4"/>
  <c r="Q54" i="4"/>
  <c r="G56" i="4" l="1"/>
  <c r="H56" i="4" s="1"/>
  <c r="K55" i="4"/>
  <c r="N55" i="4" s="1"/>
  <c r="J55" i="4"/>
  <c r="D56" i="4"/>
  <c r="M56" i="4" l="1"/>
  <c r="I56" i="4"/>
  <c r="C57" i="4"/>
  <c r="O55" i="4"/>
  <c r="S55" i="4" l="1"/>
  <c r="Q55" i="4"/>
  <c r="R55" i="4" s="1"/>
  <c r="G57" i="4"/>
  <c r="H57" i="4" s="1"/>
  <c r="K56" i="4"/>
  <c r="N56" i="4" s="1"/>
  <c r="J56" i="4"/>
  <c r="O56" i="4" s="1"/>
  <c r="D57" i="4"/>
  <c r="D58" i="4" l="1"/>
  <c r="I57" i="4"/>
  <c r="C58" i="4"/>
  <c r="M57" i="4"/>
  <c r="S56" i="4"/>
  <c r="Q56" i="4"/>
  <c r="R56" i="4"/>
  <c r="M58" i="4" l="1"/>
  <c r="I58" i="4"/>
  <c r="C59" i="4"/>
  <c r="G58" i="4"/>
  <c r="H58" i="4" s="1"/>
  <c r="K57" i="4"/>
  <c r="N57" i="4" s="1"/>
  <c r="J57" i="4"/>
  <c r="O57" i="4" s="1"/>
  <c r="S57" i="4" l="1"/>
  <c r="Q57" i="4"/>
  <c r="R57" i="4" s="1"/>
  <c r="G59" i="4"/>
  <c r="H59" i="4" s="1"/>
  <c r="K58" i="4"/>
  <c r="N58" i="4" s="1"/>
  <c r="J58" i="4"/>
  <c r="D59" i="4"/>
  <c r="O58" i="4" l="1"/>
  <c r="I59" i="4"/>
  <c r="C60" i="4"/>
  <c r="M59" i="4"/>
  <c r="G60" i="4" l="1"/>
  <c r="H60" i="4" s="1"/>
  <c r="K59" i="4"/>
  <c r="N59" i="4" s="1"/>
  <c r="J59" i="4"/>
  <c r="O59" i="4" s="1"/>
  <c r="D60" i="4"/>
  <c r="S58" i="4"/>
  <c r="Q58" i="4"/>
  <c r="R58" i="4" s="1"/>
  <c r="R59" i="4" l="1"/>
  <c r="S59" i="4"/>
  <c r="Q59" i="4"/>
  <c r="M60" i="4"/>
  <c r="I60" i="4"/>
  <c r="C61" i="4"/>
  <c r="G61" i="4" l="1"/>
  <c r="H61" i="4" s="1"/>
  <c r="K60" i="4"/>
  <c r="N60" i="4" s="1"/>
  <c r="J60" i="4"/>
  <c r="O60" i="4" s="1"/>
  <c r="D61" i="4"/>
  <c r="Q60" i="4" l="1"/>
  <c r="S60" i="4"/>
  <c r="M61" i="4"/>
  <c r="I61" i="4"/>
  <c r="C62" i="4"/>
  <c r="G62" i="4" l="1"/>
  <c r="H62" i="4" s="1"/>
  <c r="Q72" i="4"/>
  <c r="R60" i="4"/>
  <c r="K61" i="4"/>
  <c r="N61" i="4" s="1"/>
  <c r="J61" i="4"/>
  <c r="D62" i="4"/>
  <c r="O61" i="4" l="1"/>
  <c r="C63" i="4"/>
  <c r="M62" i="4"/>
  <c r="I62" i="4"/>
  <c r="G63" i="4" l="1"/>
  <c r="H63" i="4" s="1"/>
  <c r="K62" i="4"/>
  <c r="N62" i="4" s="1"/>
  <c r="J62" i="4"/>
  <c r="O62" i="4" s="1"/>
  <c r="D63" i="4"/>
  <c r="S61" i="4"/>
  <c r="Q61" i="4"/>
  <c r="R61" i="4" s="1"/>
  <c r="S62" i="4" l="1"/>
  <c r="Q62" i="4"/>
  <c r="M63" i="4"/>
  <c r="I63" i="4"/>
  <c r="C64" i="4"/>
  <c r="R62" i="4"/>
  <c r="K63" i="4" l="1"/>
  <c r="N63" i="4" s="1"/>
  <c r="J63" i="4"/>
  <c r="O63" i="4" s="1"/>
  <c r="G64" i="4"/>
  <c r="H64" i="4" s="1"/>
  <c r="D64" i="4"/>
  <c r="D65" i="4" l="1"/>
  <c r="I64" i="4"/>
  <c r="C65" i="4"/>
  <c r="M64" i="4"/>
  <c r="S63" i="4"/>
  <c r="Q63" i="4"/>
  <c r="R63" i="4" s="1"/>
  <c r="M65" i="4" l="1"/>
  <c r="I65" i="4"/>
  <c r="C66" i="4"/>
  <c r="G65" i="4"/>
  <c r="H65" i="4" s="1"/>
  <c r="K64" i="4"/>
  <c r="N64" i="4" s="1"/>
  <c r="J64" i="4"/>
  <c r="O64" i="4" s="1"/>
  <c r="S64" i="4" l="1"/>
  <c r="Q64" i="4"/>
  <c r="R64" i="4" s="1"/>
  <c r="G66" i="4"/>
  <c r="H66" i="4" s="1"/>
  <c r="K65" i="4"/>
  <c r="N65" i="4" s="1"/>
  <c r="J65" i="4"/>
  <c r="D66" i="4"/>
  <c r="O65" i="4" l="1"/>
  <c r="M66" i="4"/>
  <c r="I66" i="4"/>
  <c r="C67" i="4"/>
  <c r="G67" i="4" l="1"/>
  <c r="H67" i="4" s="1"/>
  <c r="D67" i="4"/>
  <c r="K66" i="4"/>
  <c r="N66" i="4" s="1"/>
  <c r="J66" i="4"/>
  <c r="O66" i="4" s="1"/>
  <c r="Q65" i="4"/>
  <c r="R65" i="4" s="1"/>
  <c r="S65" i="4"/>
  <c r="S66" i="4" l="1"/>
  <c r="Q66" i="4"/>
  <c r="R66" i="4"/>
  <c r="C68" i="4"/>
  <c r="M67" i="4"/>
  <c r="I67" i="4"/>
  <c r="K67" i="4" l="1"/>
  <c r="N67" i="4" s="1"/>
  <c r="J67" i="4"/>
  <c r="G68" i="4"/>
  <c r="H68" i="4" s="1"/>
  <c r="D68" i="4"/>
  <c r="M68" i="4" l="1"/>
  <c r="I68" i="4"/>
  <c r="C69" i="4"/>
  <c r="O67" i="4"/>
  <c r="S67" i="4" l="1"/>
  <c r="Q67" i="4"/>
  <c r="R67" i="4" s="1"/>
  <c r="G69" i="4"/>
  <c r="H69" i="4" s="1"/>
  <c r="D69" i="4"/>
  <c r="K68" i="4"/>
  <c r="N68" i="4" s="1"/>
  <c r="J68" i="4"/>
  <c r="M69" i="4" l="1"/>
  <c r="I69" i="4"/>
  <c r="C70" i="4"/>
  <c r="O68" i="4"/>
  <c r="Q68" i="4" l="1"/>
  <c r="R68" i="4" s="1"/>
  <c r="S68" i="4"/>
  <c r="G70" i="4"/>
  <c r="H70" i="4" s="1"/>
  <c r="D70" i="4"/>
  <c r="K69" i="4"/>
  <c r="N69" i="4" s="1"/>
  <c r="J69" i="4"/>
  <c r="M70" i="4" l="1"/>
  <c r="I70" i="4"/>
  <c r="O69" i="4"/>
  <c r="S69" i="4" l="1"/>
  <c r="Q69" i="4"/>
  <c r="R69" i="4" s="1"/>
  <c r="K70" i="4"/>
  <c r="N70" i="4" s="1"/>
  <c r="J70" i="4"/>
  <c r="O70" i="4" s="1"/>
  <c r="S70" i="4" l="1"/>
  <c r="Q70" i="4"/>
  <c r="Q71" i="4" s="1"/>
  <c r="R70" i="4"/>
  <c r="E18" i="4" l="1"/>
  <c r="O18" i="4" s="1"/>
  <c r="E19" i="4"/>
  <c r="E20" i="4" l="1"/>
  <c r="O19" i="4"/>
  <c r="O20" i="4" l="1"/>
  <c r="G33" i="2"/>
  <c r="G35" i="2" s="1"/>
  <c r="G42" i="2" s="1"/>
  <c r="G46" i="2" s="1"/>
  <c r="B26" i="1" s="1"/>
  <c r="E21" i="4"/>
  <c r="O21" i="4" s="1"/>
</calcChain>
</file>

<file path=xl/sharedStrings.xml><?xml version="1.0" encoding="utf-8"?>
<sst xmlns="http://schemas.openxmlformats.org/spreadsheetml/2006/main" count="164" uniqueCount="105">
  <si>
    <t>Louisville Gas and Electric Company</t>
  </si>
  <si>
    <t>Meter Pulse - ELECTRIC</t>
  </si>
  <si>
    <t>Cost Justification</t>
  </si>
  <si>
    <t>Cost</t>
  </si>
  <si>
    <t>Equipment Installed Costs:</t>
  </si>
  <si>
    <t>Pulse Relay</t>
  </si>
  <si>
    <t>Pulse Initiator Board</t>
  </si>
  <si>
    <t>Relay Enclosure</t>
  </si>
  <si>
    <t>5 Hours Labor (loaded)</t>
  </si>
  <si>
    <t>Vehicle 2 hours</t>
  </si>
  <si>
    <t>Total Cost at July 31, 2020</t>
  </si>
  <si>
    <t>Inflation Factor</t>
  </si>
  <si>
    <t>Inflated Cost 2021</t>
  </si>
  <si>
    <t>Charge per pulse per meter per month (5 Year Contract</t>
  </si>
  <si>
    <t>including carrying costs, see supporting schedules)</t>
  </si>
  <si>
    <t>Louisville Gas &amp; Electric Company</t>
  </si>
  <si>
    <t>Present Value of Replacement Plant as a Percentage of Original Cost</t>
  </si>
  <si>
    <t>Cumulative</t>
  </si>
  <si>
    <t>Present</t>
  </si>
  <si>
    <t>5-Year R3</t>
  </si>
  <si>
    <t>Cost Escalation</t>
  </si>
  <si>
    <t>Present Value</t>
  </si>
  <si>
    <t>Value of</t>
  </si>
  <si>
    <t>Iowa Curve</t>
  </si>
  <si>
    <t>Annual</t>
  </si>
  <si>
    <t>Factor at a</t>
  </si>
  <si>
    <t>Nominal</t>
  </si>
  <si>
    <t xml:space="preserve">Percent </t>
  </si>
  <si>
    <t>Replacement</t>
  </si>
  <si>
    <t>Replaced</t>
  </si>
  <si>
    <t>Year</t>
  </si>
  <si>
    <t>Surviving</t>
  </si>
  <si>
    <t>Percentage</t>
  </si>
  <si>
    <t>Discount Rate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</si>
  <si>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</si>
  <si>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</si>
  <si>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</si>
  <si>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</si>
  <si>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</si>
  <si>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</si>
  <si>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</si>
  <si>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</si>
  <si>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</si>
  <si>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(3) x (5)</t>
  </si>
  <si>
    <t>(6) x (7)</t>
  </si>
  <si>
    <t>Meter Pulse Charge</t>
  </si>
  <si>
    <t>Original Cost Basis (100)</t>
  </si>
  <si>
    <t>Total Present Value of Original and Replacement Cost Value as a Percentage of Original Cost</t>
  </si>
  <si>
    <t>Monthly Carrying Charge Percentage (Levelized Carrying Charge Rate / 12 months)</t>
  </si>
  <si>
    <t>Applicable Carrying Charge Charge Percentage (Lines 3 x 5)</t>
  </si>
  <si>
    <t>O&amp;M Percentage</t>
  </si>
  <si>
    <t>Distribution O&amp;M 12 Months Ended July 31, 2020</t>
  </si>
  <si>
    <t>Distribution Plant in Service as July 31, 2020</t>
  </si>
  <si>
    <t>Total Monthly Revenue Requirement as Percentage of Original Cost</t>
  </si>
  <si>
    <t>Installed Cost of Meter Pulse Equipment</t>
  </si>
  <si>
    <t>Monthly Charge</t>
  </si>
  <si>
    <t>Levelized Carrying Charge Analysis</t>
  </si>
  <si>
    <t>Capital Structure:</t>
  </si>
  <si>
    <t>Weighted</t>
  </si>
  <si>
    <t>Adjusted</t>
  </si>
  <si>
    <t>Percent</t>
  </si>
  <si>
    <t>Rate</t>
  </si>
  <si>
    <t>COC</t>
  </si>
  <si>
    <t>Tax Rate</t>
  </si>
  <si>
    <t>Short-Term Debt</t>
  </si>
  <si>
    <t>Long-Term Debt</t>
  </si>
  <si>
    <t>Common Equity</t>
  </si>
  <si>
    <t>Tax Depreciation Table (MACRS)</t>
  </si>
  <si>
    <t>Assumptions:</t>
  </si>
  <si>
    <t xml:space="preserve">   Investment</t>
  </si>
  <si>
    <t xml:space="preserve">   Book Life</t>
  </si>
  <si>
    <t xml:space="preserve">   Tax Life</t>
  </si>
  <si>
    <t xml:space="preserve">   Composite Tax Rate</t>
  </si>
  <si>
    <t xml:space="preserve">   Property Tax Rate</t>
  </si>
  <si>
    <t xml:space="preserve">   Levelized Revenue Requirement Years</t>
  </si>
  <si>
    <t xml:space="preserve">   O&amp;M as Percent of Investment</t>
  </si>
  <si>
    <t>Results:</t>
  </si>
  <si>
    <t xml:space="preserve">   Present Value Revenue Requirement</t>
  </si>
  <si>
    <t xml:space="preserve">   Levelized Revenue Requirement</t>
  </si>
  <si>
    <t xml:space="preserve">   Levelized Carrying Charge Rate</t>
  </si>
  <si>
    <t xml:space="preserve">   Level of Investment that can be Supported by Revenue</t>
  </si>
  <si>
    <t>Times Net Revenue</t>
  </si>
  <si>
    <t>Accumulated</t>
  </si>
  <si>
    <t>Value</t>
  </si>
  <si>
    <t>Carrying</t>
  </si>
  <si>
    <t>Book</t>
  </si>
  <si>
    <t>Residual</t>
  </si>
  <si>
    <t>Tax</t>
  </si>
  <si>
    <t xml:space="preserve">Deferred </t>
  </si>
  <si>
    <t xml:space="preserve">Property </t>
  </si>
  <si>
    <t>Income</t>
  </si>
  <si>
    <t>Revenue</t>
  </si>
  <si>
    <t>Interest</t>
  </si>
  <si>
    <t>Charge</t>
  </si>
  <si>
    <t>Investment</t>
  </si>
  <si>
    <t>Depreciation</t>
  </si>
  <si>
    <t>Plant</t>
  </si>
  <si>
    <t>Income Tax</t>
  </si>
  <si>
    <t>Rate Base</t>
  </si>
  <si>
    <t>Equity</t>
  </si>
  <si>
    <t>O&amp;M</t>
  </si>
  <si>
    <t>Taxes</t>
  </si>
  <si>
    <t>Requirement</t>
  </si>
  <si>
    <t>Factor</t>
  </si>
  <si>
    <t>Weighted Escalation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</si>
</sst>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0_);_(* \(#,##0.0000\);_(* &quot;-&quot;??_);_(@_)"/>
    <numFmt numFmtId="166" formatCode="_(* #,##0_);_(* \(#,##0\);_(* &quot;-&quot;??_);_(@_)"/>
    <numFmt numFmtId="167" formatCode="_(* #,##0.00000_);_(* \(#,##0.00000\);_(* &quot;-&quot;??_);_(@_)"/>
    <numFmt numFmtId="168" formatCode="_(&quot;$&quot;* #,##0_);_(&quot;$&quot;* \(#,##0\);_(&quot;$&quot;* &quot;-&quot;??_);_(@_)"/>
    <numFmt numFmtId="169" formatCode="0.000%"/>
    <numFmt numFmtId="170" formatCode="0.0000%"/>
    <numFmt numFmtId="171" formatCode="_(* #,##0.000000_);_(* \(#,##0.0000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quotePrefix="1"/>
    <xf numFmtId="0" fontId="1" fillId="0" borderId="1" xfId="0" applyFont="1" applyBorder="1" applyAlignment="1">
      <alignment horizontal="center" wrapText="1"/>
    </xf>
    <xf numFmtId="43" fontId="0" fillId="0" borderId="0" xfId="1" applyFont="1"/>
    <xf numFmtId="43" fontId="0" fillId="0" borderId="0" xfId="0" applyNumberFormat="1"/>
    <xf numFmtId="0" fontId="1" fillId="0" borderId="0" xfId="0" applyFont="1"/>
    <xf numFmtId="0" fontId="1" fillId="0" borderId="0" xfId="0" quotePrefix="1" applyFont="1" applyAlignment="1">
      <alignment horizontal="left"/>
    </xf>
    <xf numFmtId="43" fontId="0" fillId="0" borderId="2" xfId="0" applyNumberFormat="1" applyBorder="1"/>
    <xf numFmtId="0" fontId="0" fillId="0" borderId="0" xfId="0" applyAlignment="1">
      <alignment horizontal="left"/>
    </xf>
    <xf numFmtId="15" fontId="1" fillId="0" borderId="0" xfId="0" applyNumberFormat="1" applyFont="1" applyAlignment="1">
      <alignment horizontal="left"/>
    </xf>
    <xf numFmtId="8" fontId="1" fillId="0" borderId="3" xfId="4" applyNumberFormat="1" applyBorder="1"/>
    <xf numFmtId="44" fontId="0" fillId="0" borderId="0" xfId="2" applyFont="1"/>
    <xf numFmtId="0" fontId="2" fillId="0" borderId="0" xfId="4" applyFont="1"/>
    <xf numFmtId="0" fontId="1" fillId="0" borderId="0" xfId="4"/>
    <xf numFmtId="0" fontId="3" fillId="0" borderId="0" xfId="4" applyFont="1" applyAlignment="1">
      <alignment horizontal="right"/>
    </xf>
    <xf numFmtId="0" fontId="1" fillId="0" borderId="0" xfId="4" applyAlignment="1">
      <alignment horizontal="right"/>
    </xf>
    <xf numFmtId="0" fontId="1" fillId="0" borderId="0" xfId="4" applyAlignment="1">
      <alignment horizontal="center"/>
    </xf>
    <xf numFmtId="164" fontId="4" fillId="0" borderId="0" xfId="3" applyNumberFormat="1" applyFont="1" applyFill="1" applyAlignment="1">
      <alignment horizontal="center"/>
    </xf>
    <xf numFmtId="10" fontId="4" fillId="0" borderId="0" xfId="3" applyNumberFormat="1" applyFont="1" applyFill="1" applyAlignment="1">
      <alignment horizontal="center"/>
    </xf>
    <xf numFmtId="0" fontId="1" fillId="0" borderId="1" xfId="4" quotePrefix="1" applyBorder="1" applyAlignment="1">
      <alignment horizontal="center"/>
    </xf>
    <xf numFmtId="0" fontId="1" fillId="0" borderId="0" xfId="4" quotePrefix="1" applyAlignment="1">
      <alignment horizontal="center"/>
    </xf>
    <xf numFmtId="165" fontId="0" fillId="0" borderId="0" xfId="1" applyNumberFormat="1" applyFont="1"/>
    <xf numFmtId="165" fontId="1" fillId="0" borderId="0" xfId="4" applyNumberFormat="1"/>
    <xf numFmtId="165" fontId="1" fillId="0" borderId="4" xfId="4" applyNumberFormat="1" applyBorder="1"/>
    <xf numFmtId="43" fontId="1" fillId="0" borderId="0" xfId="4" applyNumberFormat="1"/>
    <xf numFmtId="166" fontId="0" fillId="0" borderId="0" xfId="1" applyNumberFormat="1" applyFont="1"/>
    <xf numFmtId="166" fontId="0" fillId="0" borderId="0" xfId="1" applyNumberFormat="1" applyFont="1" applyBorder="1"/>
    <xf numFmtId="167" fontId="0" fillId="0" borderId="0" xfId="1" applyNumberFormat="1" applyFont="1"/>
    <xf numFmtId="167" fontId="0" fillId="0" borderId="0" xfId="1" applyNumberFormat="1" applyFont="1" applyBorder="1"/>
    <xf numFmtId="10" fontId="0" fillId="0" borderId="0" xfId="3" applyNumberFormat="1" applyFont="1"/>
    <xf numFmtId="10" fontId="0" fillId="0" borderId="0" xfId="3" applyNumberFormat="1" applyFont="1" applyBorder="1"/>
    <xf numFmtId="10" fontId="1" fillId="0" borderId="0" xfId="4" applyNumberFormat="1"/>
    <xf numFmtId="0" fontId="4" fillId="0" borderId="0" xfId="4" applyFont="1"/>
    <xf numFmtId="168" fontId="4" fillId="0" borderId="0" xfId="5" applyNumberFormat="1" applyFont="1" applyFill="1"/>
    <xf numFmtId="168" fontId="4" fillId="0" borderId="0" xfId="4" applyNumberFormat="1" applyFont="1"/>
    <xf numFmtId="8" fontId="1" fillId="0" borderId="0" xfId="4" applyNumberFormat="1"/>
    <xf numFmtId="0" fontId="5" fillId="0" borderId="0" xfId="4" applyFont="1"/>
    <xf numFmtId="43" fontId="5" fillId="0" borderId="0" xfId="1" applyFont="1"/>
    <xf numFmtId="0" fontId="5" fillId="0" borderId="0" xfId="4" applyFont="1" applyAlignment="1">
      <alignment horizontal="right"/>
    </xf>
    <xf numFmtId="0" fontId="5" fillId="0" borderId="1" xfId="4" applyFont="1" applyBorder="1" applyAlignment="1">
      <alignment horizontal="right"/>
    </xf>
    <xf numFmtId="168" fontId="4" fillId="0" borderId="0" xfId="5" applyNumberFormat="1" applyFont="1" applyBorder="1"/>
    <xf numFmtId="10" fontId="0" fillId="0" borderId="0" xfId="6" applyNumberFormat="1" applyFont="1"/>
    <xf numFmtId="169" fontId="4" fillId="0" borderId="0" xfId="6" applyNumberFormat="1" applyFont="1"/>
    <xf numFmtId="10" fontId="4" fillId="0" borderId="0" xfId="4" applyNumberFormat="1" applyFont="1" applyAlignment="1">
      <alignment horizontal="right"/>
    </xf>
    <xf numFmtId="166" fontId="4" fillId="0" borderId="0" xfId="1" applyNumberFormat="1" applyFont="1" applyBorder="1"/>
    <xf numFmtId="10" fontId="4" fillId="0" borderId="1" xfId="6" applyNumberFormat="1" applyFont="1" applyBorder="1"/>
    <xf numFmtId="10" fontId="0" fillId="0" borderId="1" xfId="6" applyNumberFormat="1" applyFont="1" applyBorder="1"/>
    <xf numFmtId="10" fontId="1" fillId="0" borderId="1" xfId="4" applyNumberFormat="1" applyBorder="1"/>
    <xf numFmtId="168" fontId="0" fillId="0" borderId="0" xfId="6" applyNumberFormat="1" applyFont="1" applyBorder="1"/>
    <xf numFmtId="166" fontId="1" fillId="0" borderId="0" xfId="1" applyNumberFormat="1"/>
    <xf numFmtId="10" fontId="6" fillId="0" borderId="0" xfId="7" applyNumberFormat="1" applyFont="1" applyFill="1" applyBorder="1" applyAlignment="1">
      <alignment horizontal="right" wrapText="1"/>
    </xf>
    <xf numFmtId="169" fontId="0" fillId="0" borderId="0" xfId="6" applyNumberFormat="1" applyFont="1"/>
    <xf numFmtId="169" fontId="0" fillId="0" borderId="0" xfId="8" applyNumberFormat="1" applyFont="1"/>
    <xf numFmtId="169" fontId="1" fillId="0" borderId="0" xfId="4" applyNumberFormat="1"/>
    <xf numFmtId="0" fontId="1" fillId="0" borderId="0" xfId="4" quotePrefix="1"/>
    <xf numFmtId="168" fontId="0" fillId="0" borderId="0" xfId="5" applyNumberFormat="1" applyFont="1"/>
    <xf numFmtId="10" fontId="0" fillId="0" borderId="0" xfId="8" applyNumberFormat="1" applyFont="1"/>
    <xf numFmtId="170" fontId="0" fillId="0" borderId="0" xfId="8" applyNumberFormat="1" applyFont="1"/>
    <xf numFmtId="168" fontId="1" fillId="0" borderId="0" xfId="4" applyNumberFormat="1"/>
    <xf numFmtId="6" fontId="1" fillId="0" borderId="0" xfId="4" applyNumberFormat="1"/>
    <xf numFmtId="43" fontId="0" fillId="0" borderId="0" xfId="9" applyFont="1"/>
    <xf numFmtId="44" fontId="0" fillId="0" borderId="0" xfId="5" applyFont="1"/>
    <xf numFmtId="166" fontId="0" fillId="0" borderId="0" xfId="9" applyNumberFormat="1" applyFont="1"/>
    <xf numFmtId="171" fontId="0" fillId="0" borderId="0" xfId="9" applyNumberFormat="1" applyFont="1"/>
    <xf numFmtId="168" fontId="0" fillId="0" borderId="0" xfId="5" applyNumberFormat="1" applyFont="1" applyAlignment="1"/>
    <xf numFmtId="166" fontId="0" fillId="0" borderId="0" xfId="9" applyNumberFormat="1" applyFont="1" applyAlignment="1"/>
    <xf numFmtId="167" fontId="0" fillId="0" borderId="0" xfId="9" applyNumberFormat="1" applyFont="1"/>
    <xf numFmtId="168" fontId="0" fillId="0" borderId="1" xfId="5" applyNumberFormat="1" applyFont="1" applyBorder="1" applyAlignment="1"/>
    <xf numFmtId="166" fontId="1" fillId="0" borderId="0" xfId="4" applyNumberFormat="1"/>
    <xf numFmtId="10" fontId="0" fillId="0" borderId="0" xfId="3" applyNumberFormat="1" applyFont="1" applyAlignment="1">
      <alignment horizontal="right"/>
    </xf>
    <xf numFmtId="0" fontId="0" fillId="0" borderId="0" xfId="0" quotePrefix="1" applyAlignment="1">
      <alignment horizontal="center"/>
    </xf>
    <xf numFmtId="0" fontId="5" fillId="0" borderId="1" xfId="4" applyFont="1" applyBorder="1" applyAlignment="1">
      <alignment horizontal="center"/>
    </xf>
    <xf numFmtId="0" fontId="0" fillId="0" borderId="0" xfId="0" applyFont="1"/>
    <xf numFmtId="0" fontId="1" fillId="0" borderId="0" xfId="4" applyFont="1"/>
  </cellXfs>
  <cellStyles count="10">
    <cellStyle name="Comma" xfId="1" builtinId="3"/>
    <cellStyle name="Comma 2 2" xfId="9" xr:uid="{235CE6CF-0665-4DDB-9274-A3A58817D4EF}"/>
    <cellStyle name="Currency" xfId="2" builtinId="4"/>
    <cellStyle name="Currency 2 2 3" xfId="5" xr:uid="{D803C00F-5C2C-4018-AE73-6FA4EA65FA40}"/>
    <cellStyle name="Normal" xfId="0" builtinId="0"/>
    <cellStyle name="Normal 2 2" xfId="4" xr:uid="{84D80D18-75DB-45CF-8747-34E499C8BB9F}"/>
    <cellStyle name="Percent" xfId="3" builtinId="5"/>
    <cellStyle name="Percent 15" xfId="7" xr:uid="{DEDC07C1-2499-458C-9062-A82FDF42A6B8}"/>
    <cellStyle name="Percent 2 2 3" xfId="8" xr:uid="{48C29541-AE7D-4397-BD42-5AEE2A149838}"/>
    <cellStyle name="Percent 2 3" xfId="6" xr:uid="{BEA7BAF6-A2FB-436E-AAA6-8FDDFE74BC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Cummings/Initiatives/Transportation%20-%20Buy%20or%20lease/CEM%2020080121%20with%20UMS%20tab%20-%20H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Help"/>
      <sheetName val="LookUp Ranges"/>
      <sheetName val="Depreciation"/>
      <sheetName val="Inputs"/>
      <sheetName val="PL and CF"/>
      <sheetName val="Summary"/>
      <sheetName val="UMS Worksheet"/>
    </sheetNames>
    <sheetDataSet>
      <sheetData sheetId="0"/>
      <sheetData sheetId="1"/>
      <sheetData sheetId="2">
        <row r="12">
          <cell r="L12">
            <v>5.6000000000000001E-2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5FDC-D7F3-495C-A8CC-36689B90C67D}">
  <sheetPr>
    <tabColor rgb="FF92D050"/>
    <pageSetUpPr fitToPage="1"/>
  </sheetPr>
  <dimension ref="A1:G29"/>
  <sheetViews>
    <sheetView tabSelected="1" zoomScaleNormal="100" workbookViewId="0"/>
  </sheetViews>
  <sheetFormatPr defaultRowHeight="12.5" x14ac:dyDescent="0.25"/>
  <cols>
    <col min="1" max="1" width="48.26953125" bestFit="1" customWidth="1"/>
    <col min="2" max="2" width="8.7265625" customWidth="1"/>
    <col min="3" max="3" width="9.26953125" bestFit="1" customWidth="1"/>
    <col min="4" max="4" width="10.26953125" customWidth="1"/>
    <col min="5" max="5" width="9.26953125" customWidth="1"/>
    <col min="6" max="6" width="11.26953125" customWidth="1"/>
  </cols>
  <sheetData>
    <row r="1" spans="1:7" x14ac:dyDescent="0.25">
      <c r="A1" s="72"/>
    </row>
    <row r="9" spans="1:7" x14ac:dyDescent="0.25">
      <c r="A9" s="70" t="s">
        <v>0</v>
      </c>
      <c r="B9" s="70"/>
      <c r="C9" s="1"/>
      <c r="D9" s="1"/>
      <c r="E9" s="1"/>
      <c r="F9" s="1"/>
      <c r="G9" s="1"/>
    </row>
    <row r="10" spans="1:7" x14ac:dyDescent="0.25">
      <c r="A10" s="70" t="s">
        <v>1</v>
      </c>
      <c r="B10" s="70"/>
      <c r="C10" s="1"/>
      <c r="D10" s="1"/>
      <c r="E10" s="1"/>
      <c r="F10" s="1"/>
      <c r="G10" s="1"/>
    </row>
    <row r="11" spans="1:7" x14ac:dyDescent="0.25">
      <c r="A11" s="70" t="s">
        <v>2</v>
      </c>
      <c r="B11" s="70"/>
      <c r="C11" s="1"/>
      <c r="D11" s="1"/>
      <c r="E11" s="1"/>
      <c r="F11" s="1"/>
      <c r="G11" s="1"/>
    </row>
    <row r="13" spans="1:7" x14ac:dyDescent="0.25">
      <c r="B13" s="2" t="s">
        <v>3</v>
      </c>
      <c r="D13" t="s">
        <v>104</v>
      </c>
    </row>
    <row r="14" spans="1:7" x14ac:dyDescent="0.25">
      <c r="A14" t="s">
        <v>4</v>
      </c>
    </row>
    <row r="15" spans="1:7" x14ac:dyDescent="0.25">
      <c r="A15" t="s">
        <v>5</v>
      </c>
      <c r="B15" s="3">
        <v>55</v>
      </c>
      <c r="C15" s="4"/>
      <c r="D15" s="4">
        <f>+B15+B16+B17</f>
        <v>290</v>
      </c>
      <c r="E15" s="4">
        <f>+D15/B20</f>
        <v>0.44695774674824895</v>
      </c>
      <c r="F15" s="29">
        <v>8.9391549349649799E-3</v>
      </c>
    </row>
    <row r="16" spans="1:7" x14ac:dyDescent="0.25">
      <c r="A16" t="s">
        <v>6</v>
      </c>
      <c r="B16" s="3">
        <v>150</v>
      </c>
      <c r="F16" s="29"/>
    </row>
    <row r="17" spans="1:6" x14ac:dyDescent="0.25">
      <c r="A17" t="s">
        <v>7</v>
      </c>
      <c r="B17" s="3">
        <v>85</v>
      </c>
      <c r="F17" s="29"/>
    </row>
    <row r="18" spans="1:6" x14ac:dyDescent="0.25">
      <c r="A18" t="s">
        <v>8</v>
      </c>
      <c r="B18" s="3">
        <v>346.54423985601159</v>
      </c>
      <c r="C18" s="4"/>
      <c r="D18" s="4">
        <f>+B18+B19</f>
        <v>358.83090652267828</v>
      </c>
      <c r="E18" s="4">
        <f>+D18/B20</f>
        <v>0.55304225325175116</v>
      </c>
      <c r="F18" s="29">
        <v>1.6591267597552535E-2</v>
      </c>
    </row>
    <row r="19" spans="1:6" x14ac:dyDescent="0.25">
      <c r="A19" s="5" t="s">
        <v>9</v>
      </c>
      <c r="B19" s="3">
        <v>12.286666666666667</v>
      </c>
      <c r="F19" s="29"/>
    </row>
    <row r="20" spans="1:6" x14ac:dyDescent="0.25">
      <c r="A20" s="6" t="s">
        <v>10</v>
      </c>
      <c r="B20" s="7">
        <f>SUM(B15:B19)</f>
        <v>648.83090652267822</v>
      </c>
      <c r="F20" s="29">
        <f>+F15+F18</f>
        <v>2.5530422532517513E-2</v>
      </c>
    </row>
    <row r="22" spans="1:6" x14ac:dyDescent="0.25">
      <c r="A22" s="8" t="s">
        <v>11</v>
      </c>
      <c r="B22" s="69">
        <f>+F20</f>
        <v>2.5530422532517513E-2</v>
      </c>
    </row>
    <row r="23" spans="1:6" ht="13" thickBot="1" x14ac:dyDescent="0.3">
      <c r="A23" s="9" t="s">
        <v>12</v>
      </c>
      <c r="B23" s="10">
        <f>-FV(B22,(24/12),0,B20,0)</f>
        <v>682.38367050456498</v>
      </c>
    </row>
    <row r="25" spans="1:6" x14ac:dyDescent="0.25">
      <c r="A25" s="6" t="s">
        <v>13</v>
      </c>
    </row>
    <row r="26" spans="1:6" x14ac:dyDescent="0.25">
      <c r="A26" s="5" t="s">
        <v>14</v>
      </c>
      <c r="B26" s="11">
        <f>+'LGE-E Meter Pulse - 5-Year'!G46</f>
        <v>20.757092664158911</v>
      </c>
    </row>
    <row r="29" spans="1:6" x14ac:dyDescent="0.25">
      <c r="B29" s="11"/>
    </row>
  </sheetData>
  <mergeCells count="3">
    <mergeCell ref="A9:B9"/>
    <mergeCell ref="A10:B10"/>
    <mergeCell ref="A11:B11"/>
  </mergeCells>
  <pageMargins left="1" right="1" top="1.5" bottom="1" header="0.5" footer="0.5"/>
  <pageSetup scale="87" orientation="portrait" r:id="rId1"/>
  <headerFooter scaleWithDoc="0">
    <oddHeader xml:space="preserve">&amp;R&amp;"Times New Roman,Bold"&amp;12 Case No. 2020-00350
Attachment to Response to PSC-2 Question No. 140
Page &amp;P of &amp;N
Seelye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EC68D-DF91-438C-953F-49CF5CC89E4E}">
  <sheetPr>
    <pageSetUpPr fitToPage="1"/>
  </sheetPr>
  <dimension ref="A1:J46"/>
  <sheetViews>
    <sheetView zoomScaleNormal="100" workbookViewId="0"/>
  </sheetViews>
  <sheetFormatPr defaultRowHeight="12.5" x14ac:dyDescent="0.25"/>
  <cols>
    <col min="1" max="1" width="8.54296875" style="13" customWidth="1"/>
    <col min="2" max="9" width="16" style="13" customWidth="1"/>
    <col min="10" max="256" width="9.1796875" style="13"/>
    <col min="257" max="257" width="8.54296875" style="13" customWidth="1"/>
    <col min="258" max="265" width="16" style="13" customWidth="1"/>
    <col min="266" max="512" width="9.1796875" style="13"/>
    <col min="513" max="513" width="8.54296875" style="13" customWidth="1"/>
    <col min="514" max="521" width="16" style="13" customWidth="1"/>
    <col min="522" max="768" width="9.1796875" style="13"/>
    <col min="769" max="769" width="8.54296875" style="13" customWidth="1"/>
    <col min="770" max="777" width="16" style="13" customWidth="1"/>
    <col min="778" max="1024" width="9.1796875" style="13"/>
    <col min="1025" max="1025" width="8.54296875" style="13" customWidth="1"/>
    <col min="1026" max="1033" width="16" style="13" customWidth="1"/>
    <col min="1034" max="1280" width="9.1796875" style="13"/>
    <col min="1281" max="1281" width="8.54296875" style="13" customWidth="1"/>
    <col min="1282" max="1289" width="16" style="13" customWidth="1"/>
    <col min="1290" max="1536" width="9.1796875" style="13"/>
    <col min="1537" max="1537" width="8.54296875" style="13" customWidth="1"/>
    <col min="1538" max="1545" width="16" style="13" customWidth="1"/>
    <col min="1546" max="1792" width="9.1796875" style="13"/>
    <col min="1793" max="1793" width="8.54296875" style="13" customWidth="1"/>
    <col min="1794" max="1801" width="16" style="13" customWidth="1"/>
    <col min="1802" max="2048" width="9.1796875" style="13"/>
    <col min="2049" max="2049" width="8.54296875" style="13" customWidth="1"/>
    <col min="2050" max="2057" width="16" style="13" customWidth="1"/>
    <col min="2058" max="2304" width="9.1796875" style="13"/>
    <col min="2305" max="2305" width="8.54296875" style="13" customWidth="1"/>
    <col min="2306" max="2313" width="16" style="13" customWidth="1"/>
    <col min="2314" max="2560" width="9.1796875" style="13"/>
    <col min="2561" max="2561" width="8.54296875" style="13" customWidth="1"/>
    <col min="2562" max="2569" width="16" style="13" customWidth="1"/>
    <col min="2570" max="2816" width="9.1796875" style="13"/>
    <col min="2817" max="2817" width="8.54296875" style="13" customWidth="1"/>
    <col min="2818" max="2825" width="16" style="13" customWidth="1"/>
    <col min="2826" max="3072" width="9.1796875" style="13"/>
    <col min="3073" max="3073" width="8.54296875" style="13" customWidth="1"/>
    <col min="3074" max="3081" width="16" style="13" customWidth="1"/>
    <col min="3082" max="3328" width="9.1796875" style="13"/>
    <col min="3329" max="3329" width="8.54296875" style="13" customWidth="1"/>
    <col min="3330" max="3337" width="16" style="13" customWidth="1"/>
    <col min="3338" max="3584" width="9.1796875" style="13"/>
    <col min="3585" max="3585" width="8.54296875" style="13" customWidth="1"/>
    <col min="3586" max="3593" width="16" style="13" customWidth="1"/>
    <col min="3594" max="3840" width="9.1796875" style="13"/>
    <col min="3841" max="3841" width="8.54296875" style="13" customWidth="1"/>
    <col min="3842" max="3849" width="16" style="13" customWidth="1"/>
    <col min="3850" max="4096" width="9.1796875" style="13"/>
    <col min="4097" max="4097" width="8.54296875" style="13" customWidth="1"/>
    <col min="4098" max="4105" width="16" style="13" customWidth="1"/>
    <col min="4106" max="4352" width="9.1796875" style="13"/>
    <col min="4353" max="4353" width="8.54296875" style="13" customWidth="1"/>
    <col min="4354" max="4361" width="16" style="13" customWidth="1"/>
    <col min="4362" max="4608" width="9.1796875" style="13"/>
    <col min="4609" max="4609" width="8.54296875" style="13" customWidth="1"/>
    <col min="4610" max="4617" width="16" style="13" customWidth="1"/>
    <col min="4618" max="4864" width="9.1796875" style="13"/>
    <col min="4865" max="4865" width="8.54296875" style="13" customWidth="1"/>
    <col min="4866" max="4873" width="16" style="13" customWidth="1"/>
    <col min="4874" max="5120" width="9.1796875" style="13"/>
    <col min="5121" max="5121" width="8.54296875" style="13" customWidth="1"/>
    <col min="5122" max="5129" width="16" style="13" customWidth="1"/>
    <col min="5130" max="5376" width="9.1796875" style="13"/>
    <col min="5377" max="5377" width="8.54296875" style="13" customWidth="1"/>
    <col min="5378" max="5385" width="16" style="13" customWidth="1"/>
    <col min="5386" max="5632" width="9.1796875" style="13"/>
    <col min="5633" max="5633" width="8.54296875" style="13" customWidth="1"/>
    <col min="5634" max="5641" width="16" style="13" customWidth="1"/>
    <col min="5642" max="5888" width="9.1796875" style="13"/>
    <col min="5889" max="5889" width="8.54296875" style="13" customWidth="1"/>
    <col min="5890" max="5897" width="16" style="13" customWidth="1"/>
    <col min="5898" max="6144" width="9.1796875" style="13"/>
    <col min="6145" max="6145" width="8.54296875" style="13" customWidth="1"/>
    <col min="6146" max="6153" width="16" style="13" customWidth="1"/>
    <col min="6154" max="6400" width="9.1796875" style="13"/>
    <col min="6401" max="6401" width="8.54296875" style="13" customWidth="1"/>
    <col min="6402" max="6409" width="16" style="13" customWidth="1"/>
    <col min="6410" max="6656" width="9.1796875" style="13"/>
    <col min="6657" max="6657" width="8.54296875" style="13" customWidth="1"/>
    <col min="6658" max="6665" width="16" style="13" customWidth="1"/>
    <col min="6666" max="6912" width="9.1796875" style="13"/>
    <col min="6913" max="6913" width="8.54296875" style="13" customWidth="1"/>
    <col min="6914" max="6921" width="16" style="13" customWidth="1"/>
    <col min="6922" max="7168" width="9.1796875" style="13"/>
    <col min="7169" max="7169" width="8.54296875" style="13" customWidth="1"/>
    <col min="7170" max="7177" width="16" style="13" customWidth="1"/>
    <col min="7178" max="7424" width="9.1796875" style="13"/>
    <col min="7425" max="7425" width="8.54296875" style="13" customWidth="1"/>
    <col min="7426" max="7433" width="16" style="13" customWidth="1"/>
    <col min="7434" max="7680" width="9.1796875" style="13"/>
    <col min="7681" max="7681" width="8.54296875" style="13" customWidth="1"/>
    <col min="7682" max="7689" width="16" style="13" customWidth="1"/>
    <col min="7690" max="7936" width="9.1796875" style="13"/>
    <col min="7937" max="7937" width="8.54296875" style="13" customWidth="1"/>
    <col min="7938" max="7945" width="16" style="13" customWidth="1"/>
    <col min="7946" max="8192" width="9.1796875" style="13"/>
    <col min="8193" max="8193" width="8.54296875" style="13" customWidth="1"/>
    <col min="8194" max="8201" width="16" style="13" customWidth="1"/>
    <col min="8202" max="8448" width="9.1796875" style="13"/>
    <col min="8449" max="8449" width="8.54296875" style="13" customWidth="1"/>
    <col min="8450" max="8457" width="16" style="13" customWidth="1"/>
    <col min="8458" max="8704" width="9.1796875" style="13"/>
    <col min="8705" max="8705" width="8.54296875" style="13" customWidth="1"/>
    <col min="8706" max="8713" width="16" style="13" customWidth="1"/>
    <col min="8714" max="8960" width="9.1796875" style="13"/>
    <col min="8961" max="8961" width="8.54296875" style="13" customWidth="1"/>
    <col min="8962" max="8969" width="16" style="13" customWidth="1"/>
    <col min="8970" max="9216" width="9.1796875" style="13"/>
    <col min="9217" max="9217" width="8.54296875" style="13" customWidth="1"/>
    <col min="9218" max="9225" width="16" style="13" customWidth="1"/>
    <col min="9226" max="9472" width="9.1796875" style="13"/>
    <col min="9473" max="9473" width="8.54296875" style="13" customWidth="1"/>
    <col min="9474" max="9481" width="16" style="13" customWidth="1"/>
    <col min="9482" max="9728" width="9.1796875" style="13"/>
    <col min="9729" max="9729" width="8.54296875" style="13" customWidth="1"/>
    <col min="9730" max="9737" width="16" style="13" customWidth="1"/>
    <col min="9738" max="9984" width="9.1796875" style="13"/>
    <col min="9985" max="9985" width="8.54296875" style="13" customWidth="1"/>
    <col min="9986" max="9993" width="16" style="13" customWidth="1"/>
    <col min="9994" max="10240" width="9.1796875" style="13"/>
    <col min="10241" max="10241" width="8.54296875" style="13" customWidth="1"/>
    <col min="10242" max="10249" width="16" style="13" customWidth="1"/>
    <col min="10250" max="10496" width="9.1796875" style="13"/>
    <col min="10497" max="10497" width="8.54296875" style="13" customWidth="1"/>
    <col min="10498" max="10505" width="16" style="13" customWidth="1"/>
    <col min="10506" max="10752" width="9.1796875" style="13"/>
    <col min="10753" max="10753" width="8.54296875" style="13" customWidth="1"/>
    <col min="10754" max="10761" width="16" style="13" customWidth="1"/>
    <col min="10762" max="11008" width="9.1796875" style="13"/>
    <col min="11009" max="11009" width="8.54296875" style="13" customWidth="1"/>
    <col min="11010" max="11017" width="16" style="13" customWidth="1"/>
    <col min="11018" max="11264" width="9.1796875" style="13"/>
    <col min="11265" max="11265" width="8.54296875" style="13" customWidth="1"/>
    <col min="11266" max="11273" width="16" style="13" customWidth="1"/>
    <col min="11274" max="11520" width="9.1796875" style="13"/>
    <col min="11521" max="11521" width="8.54296875" style="13" customWidth="1"/>
    <col min="11522" max="11529" width="16" style="13" customWidth="1"/>
    <col min="11530" max="11776" width="9.1796875" style="13"/>
    <col min="11777" max="11777" width="8.54296875" style="13" customWidth="1"/>
    <col min="11778" max="11785" width="16" style="13" customWidth="1"/>
    <col min="11786" max="12032" width="9.1796875" style="13"/>
    <col min="12033" max="12033" width="8.54296875" style="13" customWidth="1"/>
    <col min="12034" max="12041" width="16" style="13" customWidth="1"/>
    <col min="12042" max="12288" width="9.1796875" style="13"/>
    <col min="12289" max="12289" width="8.54296875" style="13" customWidth="1"/>
    <col min="12290" max="12297" width="16" style="13" customWidth="1"/>
    <col min="12298" max="12544" width="9.1796875" style="13"/>
    <col min="12545" max="12545" width="8.54296875" style="13" customWidth="1"/>
    <col min="12546" max="12553" width="16" style="13" customWidth="1"/>
    <col min="12554" max="12800" width="9.1796875" style="13"/>
    <col min="12801" max="12801" width="8.54296875" style="13" customWidth="1"/>
    <col min="12802" max="12809" width="16" style="13" customWidth="1"/>
    <col min="12810" max="13056" width="9.1796875" style="13"/>
    <col min="13057" max="13057" width="8.54296875" style="13" customWidth="1"/>
    <col min="13058" max="13065" width="16" style="13" customWidth="1"/>
    <col min="13066" max="13312" width="9.1796875" style="13"/>
    <col min="13313" max="13313" width="8.54296875" style="13" customWidth="1"/>
    <col min="13314" max="13321" width="16" style="13" customWidth="1"/>
    <col min="13322" max="13568" width="9.1796875" style="13"/>
    <col min="13569" max="13569" width="8.54296875" style="13" customWidth="1"/>
    <col min="13570" max="13577" width="16" style="13" customWidth="1"/>
    <col min="13578" max="13824" width="9.1796875" style="13"/>
    <col min="13825" max="13825" width="8.54296875" style="13" customWidth="1"/>
    <col min="13826" max="13833" width="16" style="13" customWidth="1"/>
    <col min="13834" max="14080" width="9.1796875" style="13"/>
    <col min="14081" max="14081" width="8.54296875" style="13" customWidth="1"/>
    <col min="14082" max="14089" width="16" style="13" customWidth="1"/>
    <col min="14090" max="14336" width="9.1796875" style="13"/>
    <col min="14337" max="14337" width="8.54296875" style="13" customWidth="1"/>
    <col min="14338" max="14345" width="16" style="13" customWidth="1"/>
    <col min="14346" max="14592" width="9.1796875" style="13"/>
    <col min="14593" max="14593" width="8.54296875" style="13" customWidth="1"/>
    <col min="14594" max="14601" width="16" style="13" customWidth="1"/>
    <col min="14602" max="14848" width="9.1796875" style="13"/>
    <col min="14849" max="14849" width="8.54296875" style="13" customWidth="1"/>
    <col min="14850" max="14857" width="16" style="13" customWidth="1"/>
    <col min="14858" max="15104" width="9.1796875" style="13"/>
    <col min="15105" max="15105" width="8.54296875" style="13" customWidth="1"/>
    <col min="15106" max="15113" width="16" style="13" customWidth="1"/>
    <col min="15114" max="15360" width="9.1796875" style="13"/>
    <col min="15361" max="15361" width="8.54296875" style="13" customWidth="1"/>
    <col min="15362" max="15369" width="16" style="13" customWidth="1"/>
    <col min="15370" max="15616" width="9.1796875" style="13"/>
    <col min="15617" max="15617" width="8.54296875" style="13" customWidth="1"/>
    <col min="15618" max="15625" width="16" style="13" customWidth="1"/>
    <col min="15626" max="15872" width="9.1796875" style="13"/>
    <col min="15873" max="15873" width="8.54296875" style="13" customWidth="1"/>
    <col min="15874" max="15881" width="16" style="13" customWidth="1"/>
    <col min="15882" max="16128" width="9.1796875" style="13"/>
    <col min="16129" max="16129" width="8.54296875" style="13" customWidth="1"/>
    <col min="16130" max="16137" width="16" style="13" customWidth="1"/>
    <col min="16138" max="16384" width="9.1796875" style="13"/>
  </cols>
  <sheetData>
    <row r="1" spans="1:9" ht="18" x14ac:dyDescent="0.4">
      <c r="A1" s="12" t="s">
        <v>15</v>
      </c>
      <c r="I1" s="14"/>
    </row>
    <row r="2" spans="1:9" x14ac:dyDescent="0.25">
      <c r="A2" s="13" t="s">
        <v>16</v>
      </c>
      <c r="I2" s="15"/>
    </row>
    <row r="3" spans="1:9" x14ac:dyDescent="0.25">
      <c r="I3" s="15"/>
    </row>
    <row r="4" spans="1:9" x14ac:dyDescent="0.25">
      <c r="I4" s="15"/>
    </row>
    <row r="6" spans="1:9" x14ac:dyDescent="0.25">
      <c r="I6" s="16" t="s">
        <v>17</v>
      </c>
    </row>
    <row r="7" spans="1:9" x14ac:dyDescent="0.25">
      <c r="D7" s="16"/>
      <c r="E7" s="16"/>
      <c r="F7" s="16"/>
      <c r="G7" s="16"/>
      <c r="H7" s="16" t="s">
        <v>18</v>
      </c>
      <c r="I7" s="16" t="s">
        <v>18</v>
      </c>
    </row>
    <row r="8" spans="1:9" x14ac:dyDescent="0.25">
      <c r="B8" s="16" t="s">
        <v>19</v>
      </c>
      <c r="C8" s="73"/>
      <c r="D8" s="16"/>
      <c r="E8" s="16" t="s">
        <v>20</v>
      </c>
      <c r="F8" s="16"/>
      <c r="G8" s="16" t="s">
        <v>21</v>
      </c>
      <c r="H8" s="16" t="s">
        <v>22</v>
      </c>
      <c r="I8" s="16" t="s">
        <v>22</v>
      </c>
    </row>
    <row r="9" spans="1:9" x14ac:dyDescent="0.25">
      <c r="B9" s="16" t="s">
        <v>23</v>
      </c>
      <c r="C9" s="16" t="s">
        <v>24</v>
      </c>
      <c r="D9" s="16" t="s">
        <v>17</v>
      </c>
      <c r="E9" s="16" t="s">
        <v>25</v>
      </c>
      <c r="F9" s="16" t="s">
        <v>26</v>
      </c>
      <c r="G9" s="16" t="s">
        <v>25</v>
      </c>
      <c r="H9" s="16" t="s">
        <v>24</v>
      </c>
      <c r="I9" s="16" t="s">
        <v>24</v>
      </c>
    </row>
    <row r="10" spans="1:9" x14ac:dyDescent="0.25">
      <c r="B10" s="16" t="s">
        <v>27</v>
      </c>
      <c r="C10" s="16" t="s">
        <v>28</v>
      </c>
      <c r="D10" s="16" t="s">
        <v>28</v>
      </c>
      <c r="E10" s="17">
        <f>+'LG&amp;E-E Meter Pulse'!B22</f>
        <v>2.5530422532517513E-2</v>
      </c>
      <c r="F10" s="16" t="s">
        <v>28</v>
      </c>
      <c r="G10" s="18">
        <f>+'LGE-E Meter Pu WACOC-Tax Table'!G13</f>
        <v>6.7044673513633468E-2</v>
      </c>
      <c r="H10" s="16" t="s">
        <v>28</v>
      </c>
      <c r="I10" s="16" t="s">
        <v>29</v>
      </c>
    </row>
    <row r="11" spans="1:9" x14ac:dyDescent="0.25">
      <c r="A11" s="16" t="s">
        <v>30</v>
      </c>
      <c r="B11" s="16" t="s">
        <v>31</v>
      </c>
      <c r="C11" s="16" t="s">
        <v>32</v>
      </c>
      <c r="D11" s="16" t="s">
        <v>32</v>
      </c>
      <c r="E11" s="16" t="s">
        <v>11</v>
      </c>
      <c r="F11" s="16" t="s">
        <v>3</v>
      </c>
      <c r="G11" s="16" t="s">
        <v>33</v>
      </c>
      <c r="H11" s="16" t="s">
        <v>3</v>
      </c>
      <c r="I11" s="16" t="s">
        <v>3</v>
      </c>
    </row>
    <row r="12" spans="1:9" x14ac:dyDescent="0.25">
      <c r="A12" s="19" t="s">
        <v>34</v>
      </c>
      <c r="B12" s="19" t="s">
        <v>35</v>
      </c>
      <c r="C12" s="19" t="s">
        <v>36</v>
      </c>
      <c r="D12" s="19" t="s">
        <v>37</v>
      </c>
      <c r="E12" s="19" t="s">
        <v>38</v>
      </c>
      <c r="F12" s="19" t="s">
        <v>39</v>
      </c>
      <c r="G12" s="19" t="s">
        <v>40</v>
      </c>
      <c r="H12" s="19" t="s">
        <v>41</v>
      </c>
      <c r="I12" s="19" t="s">
        <v>42</v>
      </c>
    </row>
    <row r="13" spans="1:9" x14ac:dyDescent="0.25">
      <c r="A13" s="20"/>
      <c r="B13" s="20"/>
      <c r="C13" s="20"/>
      <c r="D13" s="20"/>
      <c r="E13" s="20"/>
      <c r="F13" s="16" t="s">
        <v>43</v>
      </c>
      <c r="G13" s="20"/>
      <c r="H13" s="20" t="s">
        <v>44</v>
      </c>
    </row>
    <row r="14" spans="1:9" x14ac:dyDescent="0.25">
      <c r="A14" s="20"/>
      <c r="B14" s="20"/>
      <c r="C14" s="20"/>
      <c r="D14" s="20"/>
      <c r="E14" s="20"/>
      <c r="F14" s="20"/>
      <c r="G14" s="20"/>
      <c r="H14" s="20"/>
    </row>
    <row r="15" spans="1:9" x14ac:dyDescent="0.25">
      <c r="A15" s="20">
        <v>0</v>
      </c>
      <c r="B15" s="21">
        <v>100</v>
      </c>
      <c r="C15" s="20"/>
      <c r="D15" s="20"/>
      <c r="E15" s="20"/>
      <c r="F15" s="20"/>
      <c r="G15" s="20"/>
      <c r="H15" s="20"/>
    </row>
    <row r="16" spans="1:9" x14ac:dyDescent="0.25">
      <c r="A16" s="16">
        <v>1</v>
      </c>
      <c r="B16" s="21">
        <v>99.298854758402257</v>
      </c>
      <c r="C16" s="22">
        <f>B15-B16</f>
        <v>0.70114524159774305</v>
      </c>
      <c r="D16" s="22">
        <f>D15+C16</f>
        <v>0.70114524159774305</v>
      </c>
      <c r="E16" s="22">
        <f>(1+$E$10)^A16</f>
        <v>1.0255304225325175</v>
      </c>
      <c r="F16" s="22">
        <f>C16*E16</f>
        <v>0.71904577587239749</v>
      </c>
      <c r="G16" s="22">
        <f>1/(1+$G$10)^A16</f>
        <v>0.93716788511500237</v>
      </c>
      <c r="H16" s="21">
        <f>G16*F16</f>
        <v>0.67386660907521079</v>
      </c>
      <c r="I16" s="22">
        <f>I15+H16</f>
        <v>0.67386660907521079</v>
      </c>
    </row>
    <row r="17" spans="1:9" x14ac:dyDescent="0.25">
      <c r="A17" s="16">
        <v>2</v>
      </c>
      <c r="B17" s="21">
        <v>96.895344714681357</v>
      </c>
      <c r="C17" s="22">
        <f>B16-B17</f>
        <v>2.4035100437208996</v>
      </c>
      <c r="D17" s="22">
        <f>D16+C17</f>
        <v>3.1046552853186427</v>
      </c>
      <c r="E17" s="22">
        <f>(1+$E$10)^A17</f>
        <v>1.0517126475397238</v>
      </c>
      <c r="F17" s="22">
        <f>C17*E17</f>
        <v>2.5278019114700245</v>
      </c>
      <c r="G17" s="22">
        <f>1/(1+$G$10)^A17</f>
        <v>0.87828364489092625</v>
      </c>
      <c r="H17" s="21">
        <f>G17*F17</f>
        <v>2.2201270763681435</v>
      </c>
      <c r="I17" s="22">
        <f>I16+H17</f>
        <v>2.8939936854433546</v>
      </c>
    </row>
    <row r="18" spans="1:9" x14ac:dyDescent="0.25">
      <c r="A18" s="16">
        <v>3</v>
      </c>
      <c r="B18" s="21">
        <v>90.799033242460922</v>
      </c>
      <c r="C18" s="22">
        <f>B17-B18</f>
        <v>6.0963114722204352</v>
      </c>
      <c r="D18" s="22">
        <f>D17+C18</f>
        <v>9.2009667575390779</v>
      </c>
      <c r="E18" s="22">
        <f>(1+$E$10)^A18</f>
        <v>1.0785633158142056</v>
      </c>
      <c r="F18" s="22">
        <f>C18*E18</f>
        <v>6.5752579157142543</v>
      </c>
      <c r="G18" s="22">
        <f>1/(1+$G$10)^A18</f>
        <v>0.82309922601352514</v>
      </c>
      <c r="H18" s="21">
        <f>G18*F18</f>
        <v>5.4120897012637075</v>
      </c>
      <c r="I18" s="22">
        <f>I17+H18</f>
        <v>8.306083386707062</v>
      </c>
    </row>
    <row r="19" spans="1:9" x14ac:dyDescent="0.25">
      <c r="A19" s="16">
        <v>4</v>
      </c>
      <c r="B19" s="21">
        <v>78.027274518593032</v>
      </c>
      <c r="C19" s="22">
        <f>B18-B19</f>
        <v>12.77175872386789</v>
      </c>
      <c r="D19" s="22">
        <f>D18+C19</f>
        <v>21.972725481406968</v>
      </c>
      <c r="E19" s="22">
        <f>(1+$E$10)^A19</f>
        <v>1.1060994929950154</v>
      </c>
      <c r="F19" s="22">
        <f>C19*E19</f>
        <v>14.126835849124939</v>
      </c>
      <c r="G19" s="22">
        <f>1/(1+$G$10)^A19</f>
        <v>0.77138216088289069</v>
      </c>
      <c r="H19" s="21">
        <f>G19*F19</f>
        <v>10.897189163735881</v>
      </c>
      <c r="I19" s="22">
        <f>I18+H19</f>
        <v>19.203272550442943</v>
      </c>
    </row>
    <row r="20" spans="1:9" x14ac:dyDescent="0.25">
      <c r="A20" s="16">
        <v>5</v>
      </c>
      <c r="B20" s="21">
        <v>54.741527548555055</v>
      </c>
      <c r="C20" s="22">
        <f>B19-B20</f>
        <v>23.285746970037977</v>
      </c>
      <c r="D20" s="22">
        <f>D19+C20</f>
        <v>45.258472451444945</v>
      </c>
      <c r="E20" s="22">
        <f>(1+$E$10)^A20</f>
        <v>1.1343386804141815</v>
      </c>
      <c r="F20" s="22">
        <f>C20*E20</f>
        <v>26.413923490451403</v>
      </c>
      <c r="G20" s="22">
        <f>1/(1+$G$10)^A20</f>
        <v>0.72291458833005917</v>
      </c>
      <c r="H20" s="21">
        <f>G20*F20</f>
        <v>19.095010626281354</v>
      </c>
      <c r="I20" s="22">
        <f>I19+H20</f>
        <v>38.298283176724297</v>
      </c>
    </row>
    <row r="22" spans="1:9" x14ac:dyDescent="0.25">
      <c r="D22" s="13" t="s">
        <v>16</v>
      </c>
      <c r="I22" s="23">
        <f>I20</f>
        <v>38.298283176724297</v>
      </c>
    </row>
    <row r="23" spans="1:9" ht="18" x14ac:dyDescent="0.4">
      <c r="A23" s="12" t="s">
        <v>15</v>
      </c>
      <c r="I23" s="14"/>
    </row>
    <row r="24" spans="1:9" x14ac:dyDescent="0.25">
      <c r="A24" s="13" t="s">
        <v>45</v>
      </c>
      <c r="I24" s="15"/>
    </row>
    <row r="25" spans="1:9" x14ac:dyDescent="0.25">
      <c r="I25" s="15"/>
    </row>
    <row r="26" spans="1:9" x14ac:dyDescent="0.25">
      <c r="I26" s="15"/>
    </row>
    <row r="27" spans="1:9" x14ac:dyDescent="0.25">
      <c r="A27" s="16">
        <v>1</v>
      </c>
      <c r="B27" s="13" t="s">
        <v>16</v>
      </c>
      <c r="G27" s="24">
        <f>I22</f>
        <v>38.298283176724297</v>
      </c>
      <c r="H27" s="24"/>
    </row>
    <row r="28" spans="1:9" x14ac:dyDescent="0.25">
      <c r="A28" s="16"/>
    </row>
    <row r="29" spans="1:9" x14ac:dyDescent="0.25">
      <c r="A29" s="16">
        <v>2</v>
      </c>
      <c r="B29" s="13" t="s">
        <v>46</v>
      </c>
      <c r="G29" s="25">
        <v>100</v>
      </c>
      <c r="H29" s="26"/>
    </row>
    <row r="30" spans="1:9" x14ac:dyDescent="0.25">
      <c r="A30" s="16"/>
      <c r="G30" s="24"/>
    </row>
    <row r="31" spans="1:9" x14ac:dyDescent="0.25">
      <c r="A31" s="16">
        <v>3</v>
      </c>
      <c r="B31" s="13" t="s">
        <v>47</v>
      </c>
      <c r="G31" s="24">
        <f>G27+G29</f>
        <v>138.29828317672428</v>
      </c>
      <c r="H31" s="24"/>
    </row>
    <row r="32" spans="1:9" x14ac:dyDescent="0.25">
      <c r="A32" s="16"/>
    </row>
    <row r="33" spans="1:10" x14ac:dyDescent="0.25">
      <c r="A33" s="16">
        <v>4</v>
      </c>
      <c r="B33" s="13" t="s">
        <v>48</v>
      </c>
      <c r="G33" s="27">
        <f>'LGE-E Meter Pulse - NPV'!E20/12</f>
        <v>1.9982882765148459E-2</v>
      </c>
      <c r="H33" s="28"/>
      <c r="J33" s="24"/>
    </row>
    <row r="34" spans="1:10" x14ac:dyDescent="0.25">
      <c r="A34" s="16"/>
    </row>
    <row r="35" spans="1:10" x14ac:dyDescent="0.25">
      <c r="A35" s="16">
        <v>5</v>
      </c>
      <c r="B35" s="13" t="s">
        <v>49</v>
      </c>
      <c r="G35" s="29">
        <f>G33*G31/100</f>
        <v>2.7635983793417848E-2</v>
      </c>
      <c r="H35" s="30"/>
    </row>
    <row r="36" spans="1:10" x14ac:dyDescent="0.25">
      <c r="A36" s="16"/>
    </row>
    <row r="37" spans="1:10" x14ac:dyDescent="0.25">
      <c r="A37" s="16">
        <v>6</v>
      </c>
      <c r="B37" s="13" t="s">
        <v>50</v>
      </c>
      <c r="G37" s="29">
        <f>F39/F40/12</f>
        <v>2.782523508802323E-3</v>
      </c>
      <c r="H37" s="31"/>
    </row>
    <row r="38" spans="1:10" x14ac:dyDescent="0.25">
      <c r="A38" s="16"/>
    </row>
    <row r="39" spans="1:10" x14ac:dyDescent="0.25">
      <c r="A39" s="16">
        <v>7</v>
      </c>
      <c r="B39" s="32" t="s">
        <v>51</v>
      </c>
      <c r="F39" s="33">
        <v>50438067.450000003</v>
      </c>
    </row>
    <row r="40" spans="1:10" x14ac:dyDescent="0.25">
      <c r="A40" s="16">
        <v>8</v>
      </c>
      <c r="B40" s="32" t="s">
        <v>52</v>
      </c>
      <c r="F40" s="34">
        <v>1510561285.1800001</v>
      </c>
    </row>
    <row r="41" spans="1:10" x14ac:dyDescent="0.25">
      <c r="A41" s="16"/>
    </row>
    <row r="42" spans="1:10" x14ac:dyDescent="0.25">
      <c r="A42" s="16">
        <v>9</v>
      </c>
      <c r="B42" s="13" t="s">
        <v>53</v>
      </c>
      <c r="G42" s="31">
        <f>G37+G35</f>
        <v>3.041850730222017E-2</v>
      </c>
      <c r="H42" s="31"/>
    </row>
    <row r="44" spans="1:10" x14ac:dyDescent="0.25">
      <c r="A44" s="16">
        <v>10</v>
      </c>
      <c r="B44" s="13" t="s">
        <v>54</v>
      </c>
      <c r="G44" s="35">
        <f>+'LG&amp;E-E Meter Pulse'!B23</f>
        <v>682.38367050456498</v>
      </c>
    </row>
    <row r="46" spans="1:10" x14ac:dyDescent="0.25">
      <c r="A46" s="16">
        <v>11</v>
      </c>
      <c r="B46" s="13" t="s">
        <v>55</v>
      </c>
      <c r="G46" s="11">
        <f>G44*G42</f>
        <v>20.757092664158911</v>
      </c>
    </row>
  </sheetData>
  <pageMargins left="1" right="1" top="1" bottom="1.75" header="0.5" footer="0.5"/>
  <pageSetup scale="85" fitToHeight="0" orientation="landscape" r:id="rId1"/>
  <headerFooter scaleWithDoc="0">
    <oddFooter xml:space="preserve">&amp;R&amp;"Times New Roman,Bold"&amp;12 Case No. 2020-00350
Attachment to Response to PSC-2 Question No. 140
Page &amp;P of &amp;N
Seelye
</oddFooter>
  </headerFooter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3F3B4-9280-4F73-8E05-578C73EB3E90}">
  <sheetPr>
    <pageSetUpPr fitToPage="1"/>
  </sheetPr>
  <dimension ref="A1:I53"/>
  <sheetViews>
    <sheetView zoomScaleNormal="100" workbookViewId="0"/>
  </sheetViews>
  <sheetFormatPr defaultRowHeight="12.5" x14ac:dyDescent="0.25"/>
  <cols>
    <col min="1" max="1" width="18.54296875" style="13" customWidth="1"/>
    <col min="2" max="2" width="16.453125" style="13" bestFit="1" customWidth="1"/>
    <col min="3" max="4" width="9.1796875" style="13"/>
    <col min="5" max="5" width="12.54296875" style="13" customWidth="1"/>
    <col min="6" max="6" width="10.26953125" style="13" customWidth="1"/>
    <col min="7" max="256" width="9.1796875" style="13"/>
    <col min="257" max="257" width="18.54296875" style="13" customWidth="1"/>
    <col min="258" max="258" width="13.1796875" style="13" customWidth="1"/>
    <col min="259" max="260" width="9.1796875" style="13"/>
    <col min="261" max="261" width="12.54296875" style="13" customWidth="1"/>
    <col min="262" max="262" width="10.26953125" style="13" customWidth="1"/>
    <col min="263" max="512" width="9.1796875" style="13"/>
    <col min="513" max="513" width="18.54296875" style="13" customWidth="1"/>
    <col min="514" max="514" width="13.1796875" style="13" customWidth="1"/>
    <col min="515" max="516" width="9.1796875" style="13"/>
    <col min="517" max="517" width="12.54296875" style="13" customWidth="1"/>
    <col min="518" max="518" width="10.26953125" style="13" customWidth="1"/>
    <col min="519" max="768" width="9.1796875" style="13"/>
    <col min="769" max="769" width="18.54296875" style="13" customWidth="1"/>
    <col min="770" max="770" width="13.1796875" style="13" customWidth="1"/>
    <col min="771" max="772" width="9.1796875" style="13"/>
    <col min="773" max="773" width="12.54296875" style="13" customWidth="1"/>
    <col min="774" max="774" width="10.26953125" style="13" customWidth="1"/>
    <col min="775" max="1024" width="9.1796875" style="13"/>
    <col min="1025" max="1025" width="18.54296875" style="13" customWidth="1"/>
    <col min="1026" max="1026" width="13.1796875" style="13" customWidth="1"/>
    <col min="1027" max="1028" width="9.1796875" style="13"/>
    <col min="1029" max="1029" width="12.54296875" style="13" customWidth="1"/>
    <col min="1030" max="1030" width="10.26953125" style="13" customWidth="1"/>
    <col min="1031" max="1280" width="9.1796875" style="13"/>
    <col min="1281" max="1281" width="18.54296875" style="13" customWidth="1"/>
    <col min="1282" max="1282" width="13.1796875" style="13" customWidth="1"/>
    <col min="1283" max="1284" width="9.1796875" style="13"/>
    <col min="1285" max="1285" width="12.54296875" style="13" customWidth="1"/>
    <col min="1286" max="1286" width="10.26953125" style="13" customWidth="1"/>
    <col min="1287" max="1536" width="9.1796875" style="13"/>
    <col min="1537" max="1537" width="18.54296875" style="13" customWidth="1"/>
    <col min="1538" max="1538" width="13.1796875" style="13" customWidth="1"/>
    <col min="1539" max="1540" width="9.1796875" style="13"/>
    <col min="1541" max="1541" width="12.54296875" style="13" customWidth="1"/>
    <col min="1542" max="1542" width="10.26953125" style="13" customWidth="1"/>
    <col min="1543" max="1792" width="9.1796875" style="13"/>
    <col min="1793" max="1793" width="18.54296875" style="13" customWidth="1"/>
    <col min="1794" max="1794" width="13.1796875" style="13" customWidth="1"/>
    <col min="1795" max="1796" width="9.1796875" style="13"/>
    <col min="1797" max="1797" width="12.54296875" style="13" customWidth="1"/>
    <col min="1798" max="1798" width="10.26953125" style="13" customWidth="1"/>
    <col min="1799" max="2048" width="9.1796875" style="13"/>
    <col min="2049" max="2049" width="18.54296875" style="13" customWidth="1"/>
    <col min="2050" max="2050" width="13.1796875" style="13" customWidth="1"/>
    <col min="2051" max="2052" width="9.1796875" style="13"/>
    <col min="2053" max="2053" width="12.54296875" style="13" customWidth="1"/>
    <col min="2054" max="2054" width="10.26953125" style="13" customWidth="1"/>
    <col min="2055" max="2304" width="9.1796875" style="13"/>
    <col min="2305" max="2305" width="18.54296875" style="13" customWidth="1"/>
    <col min="2306" max="2306" width="13.1796875" style="13" customWidth="1"/>
    <col min="2307" max="2308" width="9.1796875" style="13"/>
    <col min="2309" max="2309" width="12.54296875" style="13" customWidth="1"/>
    <col min="2310" max="2310" width="10.26953125" style="13" customWidth="1"/>
    <col min="2311" max="2560" width="9.1796875" style="13"/>
    <col min="2561" max="2561" width="18.54296875" style="13" customWidth="1"/>
    <col min="2562" max="2562" width="13.1796875" style="13" customWidth="1"/>
    <col min="2563" max="2564" width="9.1796875" style="13"/>
    <col min="2565" max="2565" width="12.54296875" style="13" customWidth="1"/>
    <col min="2566" max="2566" width="10.26953125" style="13" customWidth="1"/>
    <col min="2567" max="2816" width="9.1796875" style="13"/>
    <col min="2817" max="2817" width="18.54296875" style="13" customWidth="1"/>
    <col min="2818" max="2818" width="13.1796875" style="13" customWidth="1"/>
    <col min="2819" max="2820" width="9.1796875" style="13"/>
    <col min="2821" max="2821" width="12.54296875" style="13" customWidth="1"/>
    <col min="2822" max="2822" width="10.26953125" style="13" customWidth="1"/>
    <col min="2823" max="3072" width="9.1796875" style="13"/>
    <col min="3073" max="3073" width="18.54296875" style="13" customWidth="1"/>
    <col min="3074" max="3074" width="13.1796875" style="13" customWidth="1"/>
    <col min="3075" max="3076" width="9.1796875" style="13"/>
    <col min="3077" max="3077" width="12.54296875" style="13" customWidth="1"/>
    <col min="3078" max="3078" width="10.26953125" style="13" customWidth="1"/>
    <col min="3079" max="3328" width="9.1796875" style="13"/>
    <col min="3329" max="3329" width="18.54296875" style="13" customWidth="1"/>
    <col min="3330" max="3330" width="13.1796875" style="13" customWidth="1"/>
    <col min="3331" max="3332" width="9.1796875" style="13"/>
    <col min="3333" max="3333" width="12.54296875" style="13" customWidth="1"/>
    <col min="3334" max="3334" width="10.26953125" style="13" customWidth="1"/>
    <col min="3335" max="3584" width="9.1796875" style="13"/>
    <col min="3585" max="3585" width="18.54296875" style="13" customWidth="1"/>
    <col min="3586" max="3586" width="13.1796875" style="13" customWidth="1"/>
    <col min="3587" max="3588" width="9.1796875" style="13"/>
    <col min="3589" max="3589" width="12.54296875" style="13" customWidth="1"/>
    <col min="3590" max="3590" width="10.26953125" style="13" customWidth="1"/>
    <col min="3591" max="3840" width="9.1796875" style="13"/>
    <col min="3841" max="3841" width="18.54296875" style="13" customWidth="1"/>
    <col min="3842" max="3842" width="13.1796875" style="13" customWidth="1"/>
    <col min="3843" max="3844" width="9.1796875" style="13"/>
    <col min="3845" max="3845" width="12.54296875" style="13" customWidth="1"/>
    <col min="3846" max="3846" width="10.26953125" style="13" customWidth="1"/>
    <col min="3847" max="4096" width="9.1796875" style="13"/>
    <col min="4097" max="4097" width="18.54296875" style="13" customWidth="1"/>
    <col min="4098" max="4098" width="13.1796875" style="13" customWidth="1"/>
    <col min="4099" max="4100" width="9.1796875" style="13"/>
    <col min="4101" max="4101" width="12.54296875" style="13" customWidth="1"/>
    <col min="4102" max="4102" width="10.26953125" style="13" customWidth="1"/>
    <col min="4103" max="4352" width="9.1796875" style="13"/>
    <col min="4353" max="4353" width="18.54296875" style="13" customWidth="1"/>
    <col min="4354" max="4354" width="13.1796875" style="13" customWidth="1"/>
    <col min="4355" max="4356" width="9.1796875" style="13"/>
    <col min="4357" max="4357" width="12.54296875" style="13" customWidth="1"/>
    <col min="4358" max="4358" width="10.26953125" style="13" customWidth="1"/>
    <col min="4359" max="4608" width="9.1796875" style="13"/>
    <col min="4609" max="4609" width="18.54296875" style="13" customWidth="1"/>
    <col min="4610" max="4610" width="13.1796875" style="13" customWidth="1"/>
    <col min="4611" max="4612" width="9.1796875" style="13"/>
    <col min="4613" max="4613" width="12.54296875" style="13" customWidth="1"/>
    <col min="4614" max="4614" width="10.26953125" style="13" customWidth="1"/>
    <col min="4615" max="4864" width="9.1796875" style="13"/>
    <col min="4865" max="4865" width="18.54296875" style="13" customWidth="1"/>
    <col min="4866" max="4866" width="13.1796875" style="13" customWidth="1"/>
    <col min="4867" max="4868" width="9.1796875" style="13"/>
    <col min="4869" max="4869" width="12.54296875" style="13" customWidth="1"/>
    <col min="4870" max="4870" width="10.26953125" style="13" customWidth="1"/>
    <col min="4871" max="5120" width="9.1796875" style="13"/>
    <col min="5121" max="5121" width="18.54296875" style="13" customWidth="1"/>
    <col min="5122" max="5122" width="13.1796875" style="13" customWidth="1"/>
    <col min="5123" max="5124" width="9.1796875" style="13"/>
    <col min="5125" max="5125" width="12.54296875" style="13" customWidth="1"/>
    <col min="5126" max="5126" width="10.26953125" style="13" customWidth="1"/>
    <col min="5127" max="5376" width="9.1796875" style="13"/>
    <col min="5377" max="5377" width="18.54296875" style="13" customWidth="1"/>
    <col min="5378" max="5378" width="13.1796875" style="13" customWidth="1"/>
    <col min="5379" max="5380" width="9.1796875" style="13"/>
    <col min="5381" max="5381" width="12.54296875" style="13" customWidth="1"/>
    <col min="5382" max="5382" width="10.26953125" style="13" customWidth="1"/>
    <col min="5383" max="5632" width="9.1796875" style="13"/>
    <col min="5633" max="5633" width="18.54296875" style="13" customWidth="1"/>
    <col min="5634" max="5634" width="13.1796875" style="13" customWidth="1"/>
    <col min="5635" max="5636" width="9.1796875" style="13"/>
    <col min="5637" max="5637" width="12.54296875" style="13" customWidth="1"/>
    <col min="5638" max="5638" width="10.26953125" style="13" customWidth="1"/>
    <col min="5639" max="5888" width="9.1796875" style="13"/>
    <col min="5889" max="5889" width="18.54296875" style="13" customWidth="1"/>
    <col min="5890" max="5890" width="13.1796875" style="13" customWidth="1"/>
    <col min="5891" max="5892" width="9.1796875" style="13"/>
    <col min="5893" max="5893" width="12.54296875" style="13" customWidth="1"/>
    <col min="5894" max="5894" width="10.26953125" style="13" customWidth="1"/>
    <col min="5895" max="6144" width="9.1796875" style="13"/>
    <col min="6145" max="6145" width="18.54296875" style="13" customWidth="1"/>
    <col min="6146" max="6146" width="13.1796875" style="13" customWidth="1"/>
    <col min="6147" max="6148" width="9.1796875" style="13"/>
    <col min="6149" max="6149" width="12.54296875" style="13" customWidth="1"/>
    <col min="6150" max="6150" width="10.26953125" style="13" customWidth="1"/>
    <col min="6151" max="6400" width="9.1796875" style="13"/>
    <col min="6401" max="6401" width="18.54296875" style="13" customWidth="1"/>
    <col min="6402" max="6402" width="13.1796875" style="13" customWidth="1"/>
    <col min="6403" max="6404" width="9.1796875" style="13"/>
    <col min="6405" max="6405" width="12.54296875" style="13" customWidth="1"/>
    <col min="6406" max="6406" width="10.26953125" style="13" customWidth="1"/>
    <col min="6407" max="6656" width="9.1796875" style="13"/>
    <col min="6657" max="6657" width="18.54296875" style="13" customWidth="1"/>
    <col min="6658" max="6658" width="13.1796875" style="13" customWidth="1"/>
    <col min="6659" max="6660" width="9.1796875" style="13"/>
    <col min="6661" max="6661" width="12.54296875" style="13" customWidth="1"/>
    <col min="6662" max="6662" width="10.26953125" style="13" customWidth="1"/>
    <col min="6663" max="6912" width="9.1796875" style="13"/>
    <col min="6913" max="6913" width="18.54296875" style="13" customWidth="1"/>
    <col min="6914" max="6914" width="13.1796875" style="13" customWidth="1"/>
    <col min="6915" max="6916" width="9.1796875" style="13"/>
    <col min="6917" max="6917" width="12.54296875" style="13" customWidth="1"/>
    <col min="6918" max="6918" width="10.26953125" style="13" customWidth="1"/>
    <col min="6919" max="7168" width="9.1796875" style="13"/>
    <col min="7169" max="7169" width="18.54296875" style="13" customWidth="1"/>
    <col min="7170" max="7170" width="13.1796875" style="13" customWidth="1"/>
    <col min="7171" max="7172" width="9.1796875" style="13"/>
    <col min="7173" max="7173" width="12.54296875" style="13" customWidth="1"/>
    <col min="7174" max="7174" width="10.26953125" style="13" customWidth="1"/>
    <col min="7175" max="7424" width="9.1796875" style="13"/>
    <col min="7425" max="7425" width="18.54296875" style="13" customWidth="1"/>
    <col min="7426" max="7426" width="13.1796875" style="13" customWidth="1"/>
    <col min="7427" max="7428" width="9.1796875" style="13"/>
    <col min="7429" max="7429" width="12.54296875" style="13" customWidth="1"/>
    <col min="7430" max="7430" width="10.26953125" style="13" customWidth="1"/>
    <col min="7431" max="7680" width="9.1796875" style="13"/>
    <col min="7681" max="7681" width="18.54296875" style="13" customWidth="1"/>
    <col min="7682" max="7682" width="13.1796875" style="13" customWidth="1"/>
    <col min="7683" max="7684" width="9.1796875" style="13"/>
    <col min="7685" max="7685" width="12.54296875" style="13" customWidth="1"/>
    <col min="7686" max="7686" width="10.26953125" style="13" customWidth="1"/>
    <col min="7687" max="7936" width="9.1796875" style="13"/>
    <col min="7937" max="7937" width="18.54296875" style="13" customWidth="1"/>
    <col min="7938" max="7938" width="13.1796875" style="13" customWidth="1"/>
    <col min="7939" max="7940" width="9.1796875" style="13"/>
    <col min="7941" max="7941" width="12.54296875" style="13" customWidth="1"/>
    <col min="7942" max="7942" width="10.26953125" style="13" customWidth="1"/>
    <col min="7943" max="8192" width="9.1796875" style="13"/>
    <col min="8193" max="8193" width="18.54296875" style="13" customWidth="1"/>
    <col min="8194" max="8194" width="13.1796875" style="13" customWidth="1"/>
    <col min="8195" max="8196" width="9.1796875" style="13"/>
    <col min="8197" max="8197" width="12.54296875" style="13" customWidth="1"/>
    <col min="8198" max="8198" width="10.26953125" style="13" customWidth="1"/>
    <col min="8199" max="8448" width="9.1796875" style="13"/>
    <col min="8449" max="8449" width="18.54296875" style="13" customWidth="1"/>
    <col min="8450" max="8450" width="13.1796875" style="13" customWidth="1"/>
    <col min="8451" max="8452" width="9.1796875" style="13"/>
    <col min="8453" max="8453" width="12.54296875" style="13" customWidth="1"/>
    <col min="8454" max="8454" width="10.26953125" style="13" customWidth="1"/>
    <col min="8455" max="8704" width="9.1796875" style="13"/>
    <col min="8705" max="8705" width="18.54296875" style="13" customWidth="1"/>
    <col min="8706" max="8706" width="13.1796875" style="13" customWidth="1"/>
    <col min="8707" max="8708" width="9.1796875" style="13"/>
    <col min="8709" max="8709" width="12.54296875" style="13" customWidth="1"/>
    <col min="8710" max="8710" width="10.26953125" style="13" customWidth="1"/>
    <col min="8711" max="8960" width="9.1796875" style="13"/>
    <col min="8961" max="8961" width="18.54296875" style="13" customWidth="1"/>
    <col min="8962" max="8962" width="13.1796875" style="13" customWidth="1"/>
    <col min="8963" max="8964" width="9.1796875" style="13"/>
    <col min="8965" max="8965" width="12.54296875" style="13" customWidth="1"/>
    <col min="8966" max="8966" width="10.26953125" style="13" customWidth="1"/>
    <col min="8967" max="9216" width="9.1796875" style="13"/>
    <col min="9217" max="9217" width="18.54296875" style="13" customWidth="1"/>
    <col min="9218" max="9218" width="13.1796875" style="13" customWidth="1"/>
    <col min="9219" max="9220" width="9.1796875" style="13"/>
    <col min="9221" max="9221" width="12.54296875" style="13" customWidth="1"/>
    <col min="9222" max="9222" width="10.26953125" style="13" customWidth="1"/>
    <col min="9223" max="9472" width="9.1796875" style="13"/>
    <col min="9473" max="9473" width="18.54296875" style="13" customWidth="1"/>
    <col min="9474" max="9474" width="13.1796875" style="13" customWidth="1"/>
    <col min="9475" max="9476" width="9.1796875" style="13"/>
    <col min="9477" max="9477" width="12.54296875" style="13" customWidth="1"/>
    <col min="9478" max="9478" width="10.26953125" style="13" customWidth="1"/>
    <col min="9479" max="9728" width="9.1796875" style="13"/>
    <col min="9729" max="9729" width="18.54296875" style="13" customWidth="1"/>
    <col min="9730" max="9730" width="13.1796875" style="13" customWidth="1"/>
    <col min="9731" max="9732" width="9.1796875" style="13"/>
    <col min="9733" max="9733" width="12.54296875" style="13" customWidth="1"/>
    <col min="9734" max="9734" width="10.26953125" style="13" customWidth="1"/>
    <col min="9735" max="9984" width="9.1796875" style="13"/>
    <col min="9985" max="9985" width="18.54296875" style="13" customWidth="1"/>
    <col min="9986" max="9986" width="13.1796875" style="13" customWidth="1"/>
    <col min="9987" max="9988" width="9.1796875" style="13"/>
    <col min="9989" max="9989" width="12.54296875" style="13" customWidth="1"/>
    <col min="9990" max="9990" width="10.26953125" style="13" customWidth="1"/>
    <col min="9991" max="10240" width="9.1796875" style="13"/>
    <col min="10241" max="10241" width="18.54296875" style="13" customWidth="1"/>
    <col min="10242" max="10242" width="13.1796875" style="13" customWidth="1"/>
    <col min="10243" max="10244" width="9.1796875" style="13"/>
    <col min="10245" max="10245" width="12.54296875" style="13" customWidth="1"/>
    <col min="10246" max="10246" width="10.26953125" style="13" customWidth="1"/>
    <col min="10247" max="10496" width="9.1796875" style="13"/>
    <col min="10497" max="10497" width="18.54296875" style="13" customWidth="1"/>
    <col min="10498" max="10498" width="13.1796875" style="13" customWidth="1"/>
    <col min="10499" max="10500" width="9.1796875" style="13"/>
    <col min="10501" max="10501" width="12.54296875" style="13" customWidth="1"/>
    <col min="10502" max="10502" width="10.26953125" style="13" customWidth="1"/>
    <col min="10503" max="10752" width="9.1796875" style="13"/>
    <col min="10753" max="10753" width="18.54296875" style="13" customWidth="1"/>
    <col min="10754" max="10754" width="13.1796875" style="13" customWidth="1"/>
    <col min="10755" max="10756" width="9.1796875" style="13"/>
    <col min="10757" max="10757" width="12.54296875" style="13" customWidth="1"/>
    <col min="10758" max="10758" width="10.26953125" style="13" customWidth="1"/>
    <col min="10759" max="11008" width="9.1796875" style="13"/>
    <col min="11009" max="11009" width="18.54296875" style="13" customWidth="1"/>
    <col min="11010" max="11010" width="13.1796875" style="13" customWidth="1"/>
    <col min="11011" max="11012" width="9.1796875" style="13"/>
    <col min="11013" max="11013" width="12.54296875" style="13" customWidth="1"/>
    <col min="11014" max="11014" width="10.26953125" style="13" customWidth="1"/>
    <col min="11015" max="11264" width="9.1796875" style="13"/>
    <col min="11265" max="11265" width="18.54296875" style="13" customWidth="1"/>
    <col min="11266" max="11266" width="13.1796875" style="13" customWidth="1"/>
    <col min="11267" max="11268" width="9.1796875" style="13"/>
    <col min="11269" max="11269" width="12.54296875" style="13" customWidth="1"/>
    <col min="11270" max="11270" width="10.26953125" style="13" customWidth="1"/>
    <col min="11271" max="11520" width="9.1796875" style="13"/>
    <col min="11521" max="11521" width="18.54296875" style="13" customWidth="1"/>
    <col min="11522" max="11522" width="13.1796875" style="13" customWidth="1"/>
    <col min="11523" max="11524" width="9.1796875" style="13"/>
    <col min="11525" max="11525" width="12.54296875" style="13" customWidth="1"/>
    <col min="11526" max="11526" width="10.26953125" style="13" customWidth="1"/>
    <col min="11527" max="11776" width="9.1796875" style="13"/>
    <col min="11777" max="11777" width="18.54296875" style="13" customWidth="1"/>
    <col min="11778" max="11778" width="13.1796875" style="13" customWidth="1"/>
    <col min="11779" max="11780" width="9.1796875" style="13"/>
    <col min="11781" max="11781" width="12.54296875" style="13" customWidth="1"/>
    <col min="11782" max="11782" width="10.26953125" style="13" customWidth="1"/>
    <col min="11783" max="12032" width="9.1796875" style="13"/>
    <col min="12033" max="12033" width="18.54296875" style="13" customWidth="1"/>
    <col min="12034" max="12034" width="13.1796875" style="13" customWidth="1"/>
    <col min="12035" max="12036" width="9.1796875" style="13"/>
    <col min="12037" max="12037" width="12.54296875" style="13" customWidth="1"/>
    <col min="12038" max="12038" width="10.26953125" style="13" customWidth="1"/>
    <col min="12039" max="12288" width="9.1796875" style="13"/>
    <col min="12289" max="12289" width="18.54296875" style="13" customWidth="1"/>
    <col min="12290" max="12290" width="13.1796875" style="13" customWidth="1"/>
    <col min="12291" max="12292" width="9.1796875" style="13"/>
    <col min="12293" max="12293" width="12.54296875" style="13" customWidth="1"/>
    <col min="12294" max="12294" width="10.26953125" style="13" customWidth="1"/>
    <col min="12295" max="12544" width="9.1796875" style="13"/>
    <col min="12545" max="12545" width="18.54296875" style="13" customWidth="1"/>
    <col min="12546" max="12546" width="13.1796875" style="13" customWidth="1"/>
    <col min="12547" max="12548" width="9.1796875" style="13"/>
    <col min="12549" max="12549" width="12.54296875" style="13" customWidth="1"/>
    <col min="12550" max="12550" width="10.26953125" style="13" customWidth="1"/>
    <col min="12551" max="12800" width="9.1796875" style="13"/>
    <col min="12801" max="12801" width="18.54296875" style="13" customWidth="1"/>
    <col min="12802" max="12802" width="13.1796875" style="13" customWidth="1"/>
    <col min="12803" max="12804" width="9.1796875" style="13"/>
    <col min="12805" max="12805" width="12.54296875" style="13" customWidth="1"/>
    <col min="12806" max="12806" width="10.26953125" style="13" customWidth="1"/>
    <col min="12807" max="13056" width="9.1796875" style="13"/>
    <col min="13057" max="13057" width="18.54296875" style="13" customWidth="1"/>
    <col min="13058" max="13058" width="13.1796875" style="13" customWidth="1"/>
    <col min="13059" max="13060" width="9.1796875" style="13"/>
    <col min="13061" max="13061" width="12.54296875" style="13" customWidth="1"/>
    <col min="13062" max="13062" width="10.26953125" style="13" customWidth="1"/>
    <col min="13063" max="13312" width="9.1796875" style="13"/>
    <col min="13313" max="13313" width="18.54296875" style="13" customWidth="1"/>
    <col min="13314" max="13314" width="13.1796875" style="13" customWidth="1"/>
    <col min="13315" max="13316" width="9.1796875" style="13"/>
    <col min="13317" max="13317" width="12.54296875" style="13" customWidth="1"/>
    <col min="13318" max="13318" width="10.26953125" style="13" customWidth="1"/>
    <col min="13319" max="13568" width="9.1796875" style="13"/>
    <col min="13569" max="13569" width="18.54296875" style="13" customWidth="1"/>
    <col min="13570" max="13570" width="13.1796875" style="13" customWidth="1"/>
    <col min="13571" max="13572" width="9.1796875" style="13"/>
    <col min="13573" max="13573" width="12.54296875" style="13" customWidth="1"/>
    <col min="13574" max="13574" width="10.26953125" style="13" customWidth="1"/>
    <col min="13575" max="13824" width="9.1796875" style="13"/>
    <col min="13825" max="13825" width="18.54296875" style="13" customWidth="1"/>
    <col min="13826" max="13826" width="13.1796875" style="13" customWidth="1"/>
    <col min="13827" max="13828" width="9.1796875" style="13"/>
    <col min="13829" max="13829" width="12.54296875" style="13" customWidth="1"/>
    <col min="13830" max="13830" width="10.26953125" style="13" customWidth="1"/>
    <col min="13831" max="14080" width="9.1796875" style="13"/>
    <col min="14081" max="14081" width="18.54296875" style="13" customWidth="1"/>
    <col min="14082" max="14082" width="13.1796875" style="13" customWidth="1"/>
    <col min="14083" max="14084" width="9.1796875" style="13"/>
    <col min="14085" max="14085" width="12.54296875" style="13" customWidth="1"/>
    <col min="14086" max="14086" width="10.26953125" style="13" customWidth="1"/>
    <col min="14087" max="14336" width="9.1796875" style="13"/>
    <col min="14337" max="14337" width="18.54296875" style="13" customWidth="1"/>
    <col min="14338" max="14338" width="13.1796875" style="13" customWidth="1"/>
    <col min="14339" max="14340" width="9.1796875" style="13"/>
    <col min="14341" max="14341" width="12.54296875" style="13" customWidth="1"/>
    <col min="14342" max="14342" width="10.26953125" style="13" customWidth="1"/>
    <col min="14343" max="14592" width="9.1796875" style="13"/>
    <col min="14593" max="14593" width="18.54296875" style="13" customWidth="1"/>
    <col min="14594" max="14594" width="13.1796875" style="13" customWidth="1"/>
    <col min="14595" max="14596" width="9.1796875" style="13"/>
    <col min="14597" max="14597" width="12.54296875" style="13" customWidth="1"/>
    <col min="14598" max="14598" width="10.26953125" style="13" customWidth="1"/>
    <col min="14599" max="14848" width="9.1796875" style="13"/>
    <col min="14849" max="14849" width="18.54296875" style="13" customWidth="1"/>
    <col min="14850" max="14850" width="13.1796875" style="13" customWidth="1"/>
    <col min="14851" max="14852" width="9.1796875" style="13"/>
    <col min="14853" max="14853" width="12.54296875" style="13" customWidth="1"/>
    <col min="14854" max="14854" width="10.26953125" style="13" customWidth="1"/>
    <col min="14855" max="15104" width="9.1796875" style="13"/>
    <col min="15105" max="15105" width="18.54296875" style="13" customWidth="1"/>
    <col min="15106" max="15106" width="13.1796875" style="13" customWidth="1"/>
    <col min="15107" max="15108" width="9.1796875" style="13"/>
    <col min="15109" max="15109" width="12.54296875" style="13" customWidth="1"/>
    <col min="15110" max="15110" width="10.26953125" style="13" customWidth="1"/>
    <col min="15111" max="15360" width="9.1796875" style="13"/>
    <col min="15361" max="15361" width="18.54296875" style="13" customWidth="1"/>
    <col min="15362" max="15362" width="13.1796875" style="13" customWidth="1"/>
    <col min="15363" max="15364" width="9.1796875" style="13"/>
    <col min="15365" max="15365" width="12.54296875" style="13" customWidth="1"/>
    <col min="15366" max="15366" width="10.26953125" style="13" customWidth="1"/>
    <col min="15367" max="15616" width="9.1796875" style="13"/>
    <col min="15617" max="15617" width="18.54296875" style="13" customWidth="1"/>
    <col min="15618" max="15618" width="13.1796875" style="13" customWidth="1"/>
    <col min="15619" max="15620" width="9.1796875" style="13"/>
    <col min="15621" max="15621" width="12.54296875" style="13" customWidth="1"/>
    <col min="15622" max="15622" width="10.26953125" style="13" customWidth="1"/>
    <col min="15623" max="15872" width="9.1796875" style="13"/>
    <col min="15873" max="15873" width="18.54296875" style="13" customWidth="1"/>
    <col min="15874" max="15874" width="13.1796875" style="13" customWidth="1"/>
    <col min="15875" max="15876" width="9.1796875" style="13"/>
    <col min="15877" max="15877" width="12.54296875" style="13" customWidth="1"/>
    <col min="15878" max="15878" width="10.26953125" style="13" customWidth="1"/>
    <col min="15879" max="16128" width="9.1796875" style="13"/>
    <col min="16129" max="16129" width="18.54296875" style="13" customWidth="1"/>
    <col min="16130" max="16130" width="13.1796875" style="13" customWidth="1"/>
    <col min="16131" max="16132" width="9.1796875" style="13"/>
    <col min="16133" max="16133" width="12.54296875" style="13" customWidth="1"/>
    <col min="16134" max="16134" width="10.26953125" style="13" customWidth="1"/>
    <col min="16135" max="16384" width="9.1796875" style="13"/>
  </cols>
  <sheetData>
    <row r="1" spans="1:7" ht="18" x14ac:dyDescent="0.4">
      <c r="A1" s="12" t="s">
        <v>15</v>
      </c>
      <c r="G1" s="14"/>
    </row>
    <row r="2" spans="1:7" ht="13" x14ac:dyDescent="0.3">
      <c r="A2" s="36" t="s">
        <v>56</v>
      </c>
      <c r="G2" s="15"/>
    </row>
    <row r="3" spans="1:7" ht="13" x14ac:dyDescent="0.3">
      <c r="A3" s="36"/>
      <c r="G3" s="15"/>
    </row>
    <row r="4" spans="1:7" x14ac:dyDescent="0.25">
      <c r="G4" s="15"/>
    </row>
    <row r="7" spans="1:7" ht="13" x14ac:dyDescent="0.3">
      <c r="A7" s="36" t="s">
        <v>57</v>
      </c>
    </row>
    <row r="8" spans="1:7" ht="13" x14ac:dyDescent="0.3">
      <c r="B8" s="37"/>
      <c r="C8" s="73"/>
      <c r="D8" s="36"/>
      <c r="E8" s="38" t="s">
        <v>58</v>
      </c>
      <c r="G8" s="38" t="s">
        <v>59</v>
      </c>
    </row>
    <row r="9" spans="1:7" ht="13" x14ac:dyDescent="0.3">
      <c r="B9" s="38"/>
      <c r="C9" s="39" t="s">
        <v>60</v>
      </c>
      <c r="D9" s="39" t="s">
        <v>61</v>
      </c>
      <c r="E9" s="39" t="s">
        <v>62</v>
      </c>
      <c r="F9" s="39" t="s">
        <v>63</v>
      </c>
      <c r="G9" s="39" t="s">
        <v>61</v>
      </c>
    </row>
    <row r="10" spans="1:7" x14ac:dyDescent="0.25">
      <c r="A10" s="13" t="s">
        <v>64</v>
      </c>
      <c r="B10" s="40"/>
      <c r="C10" s="41">
        <v>1.2724441454179317E-2</v>
      </c>
      <c r="D10" s="42">
        <v>4.6014989982342287E-3</v>
      </c>
      <c r="E10" s="41">
        <f>C10*D10</f>
        <v>5.8551504604496218E-5</v>
      </c>
      <c r="F10" s="43">
        <v>0.2495</v>
      </c>
      <c r="G10" s="41">
        <f>E10*(1-F10)</f>
        <v>4.3942904205674406E-5</v>
      </c>
    </row>
    <row r="11" spans="1:7" x14ac:dyDescent="0.25">
      <c r="A11" s="13" t="s">
        <v>65</v>
      </c>
      <c r="B11" s="44"/>
      <c r="C11" s="41">
        <v>0.45540799186533276</v>
      </c>
      <c r="D11" s="42">
        <v>4.0417299088459008E-2</v>
      </c>
      <c r="E11" s="41">
        <f>C11*D11</f>
        <v>1.8406361014495661E-2</v>
      </c>
      <c r="F11" s="43">
        <f>+F10</f>
        <v>0.2495</v>
      </c>
      <c r="G11" s="41">
        <f>E11*(1-F11)</f>
        <v>1.3813973941378992E-2</v>
      </c>
    </row>
    <row r="12" spans="1:7" x14ac:dyDescent="0.25">
      <c r="A12" s="13" t="s">
        <v>66</v>
      </c>
      <c r="B12" s="44"/>
      <c r="C12" s="41">
        <v>0.53186756668048796</v>
      </c>
      <c r="D12" s="45">
        <v>0.1</v>
      </c>
      <c r="E12" s="46">
        <f>C12*D12</f>
        <v>5.3186756668048799E-2</v>
      </c>
      <c r="G12" s="47">
        <f>E12</f>
        <v>5.3186756668048799E-2</v>
      </c>
    </row>
    <row r="13" spans="1:7" x14ac:dyDescent="0.25">
      <c r="B13" s="48"/>
      <c r="E13" s="31">
        <f>SUM(E10:E12)</f>
        <v>7.1651669187148964E-2</v>
      </c>
      <c r="G13" s="31">
        <f>SUM(G10:G12)</f>
        <v>6.7044673513633468E-2</v>
      </c>
    </row>
    <row r="14" spans="1:7" x14ac:dyDescent="0.25">
      <c r="B14" s="49"/>
    </row>
    <row r="15" spans="1:7" ht="13" x14ac:dyDescent="0.3">
      <c r="B15" s="71" t="s">
        <v>67</v>
      </c>
      <c r="C15" s="71"/>
      <c r="D15" s="71"/>
      <c r="E15" s="71"/>
    </row>
    <row r="17" spans="1:9" x14ac:dyDescent="0.25">
      <c r="B17" s="13">
        <v>5</v>
      </c>
      <c r="C17" s="13">
        <v>10</v>
      </c>
      <c r="D17" s="13">
        <v>15</v>
      </c>
      <c r="E17" s="13">
        <v>20</v>
      </c>
      <c r="I17" s="50"/>
    </row>
    <row r="18" spans="1:9" x14ac:dyDescent="0.25">
      <c r="A18" s="13">
        <v>1</v>
      </c>
      <c r="B18" s="51">
        <v>0.2</v>
      </c>
      <c r="C18" s="51">
        <v>0.1</v>
      </c>
      <c r="D18" s="51">
        <v>0.05</v>
      </c>
      <c r="E18" s="51">
        <v>3.7499999999999999E-2</v>
      </c>
      <c r="F18" s="41"/>
    </row>
    <row r="19" spans="1:9" x14ac:dyDescent="0.25">
      <c r="A19" s="13">
        <v>2</v>
      </c>
      <c r="B19" s="51">
        <v>0.32</v>
      </c>
      <c r="C19" s="51">
        <v>0.18</v>
      </c>
      <c r="D19" s="51">
        <v>9.5000000000000001E-2</v>
      </c>
      <c r="E19" s="51">
        <v>7.2190000000000004E-2</v>
      </c>
      <c r="F19" s="41"/>
    </row>
    <row r="20" spans="1:9" x14ac:dyDescent="0.25">
      <c r="A20" s="13">
        <v>3</v>
      </c>
      <c r="B20" s="51">
        <v>0.192</v>
      </c>
      <c r="C20" s="51">
        <v>0.14399999999999999</v>
      </c>
      <c r="D20" s="51">
        <v>8.5500000000000007E-2</v>
      </c>
      <c r="E20" s="51">
        <v>6.6769999999999996E-2</v>
      </c>
      <c r="F20" s="41"/>
    </row>
    <row r="21" spans="1:9" x14ac:dyDescent="0.25">
      <c r="A21" s="13">
        <v>4</v>
      </c>
      <c r="B21" s="51">
        <v>0.1152</v>
      </c>
      <c r="C21" s="51">
        <v>0.1152</v>
      </c>
      <c r="D21" s="51">
        <v>7.6999999999999999E-2</v>
      </c>
      <c r="E21" s="51">
        <v>6.1769999999999999E-2</v>
      </c>
      <c r="F21" s="41"/>
    </row>
    <row r="22" spans="1:9" x14ac:dyDescent="0.25">
      <c r="A22" s="13">
        <v>5</v>
      </c>
      <c r="B22" s="51">
        <v>0.1152</v>
      </c>
      <c r="C22" s="51">
        <v>9.2200000000000004E-2</v>
      </c>
      <c r="D22" s="51">
        <v>6.93E-2</v>
      </c>
      <c r="E22" s="51">
        <v>5.713E-2</v>
      </c>
      <c r="F22" s="41"/>
    </row>
    <row r="23" spans="1:9" x14ac:dyDescent="0.25">
      <c r="A23" s="13">
        <v>6</v>
      </c>
      <c r="B23" s="52">
        <v>5.7600000000000047E-2</v>
      </c>
      <c r="C23" s="51">
        <v>7.3700000000000002E-2</v>
      </c>
      <c r="D23" s="51">
        <v>6.2300000000000001E-2</v>
      </c>
      <c r="E23" s="51">
        <v>5.2850000000000001E-2</v>
      </c>
      <c r="F23" s="41"/>
    </row>
    <row r="24" spans="1:9" x14ac:dyDescent="0.25">
      <c r="A24" s="13">
        <v>7</v>
      </c>
      <c r="B24" s="51">
        <v>0</v>
      </c>
      <c r="C24" s="51">
        <v>6.5500000000000003E-2</v>
      </c>
      <c r="D24" s="51">
        <v>5.8999999999999997E-2</v>
      </c>
      <c r="E24" s="51">
        <v>4.888E-2</v>
      </c>
      <c r="F24" s="41"/>
    </row>
    <row r="25" spans="1:9" x14ac:dyDescent="0.25">
      <c r="A25" s="13">
        <v>8</v>
      </c>
      <c r="B25" s="51">
        <v>0</v>
      </c>
      <c r="C25" s="51">
        <v>6.5500000000000003E-2</v>
      </c>
      <c r="D25" s="51">
        <v>5.8999999999999997E-2</v>
      </c>
      <c r="E25" s="51">
        <v>4.5220000000000003E-2</v>
      </c>
      <c r="F25" s="41"/>
    </row>
    <row r="26" spans="1:9" x14ac:dyDescent="0.25">
      <c r="A26" s="13">
        <v>9</v>
      </c>
      <c r="B26" s="51">
        <v>0</v>
      </c>
      <c r="C26" s="51">
        <v>6.5600000000000006E-2</v>
      </c>
      <c r="D26" s="51">
        <v>5.91E-2</v>
      </c>
      <c r="E26" s="51">
        <v>4.462E-2</v>
      </c>
      <c r="F26" s="41"/>
    </row>
    <row r="27" spans="1:9" x14ac:dyDescent="0.25">
      <c r="A27" s="13">
        <v>10</v>
      </c>
      <c r="B27" s="51">
        <v>0</v>
      </c>
      <c r="C27" s="51">
        <v>6.5500000000000003E-2</v>
      </c>
      <c r="D27" s="51">
        <v>5.8999999999999997E-2</v>
      </c>
      <c r="E27" s="51">
        <v>4.4609999999999997E-2</v>
      </c>
      <c r="F27" s="41"/>
    </row>
    <row r="28" spans="1:9" x14ac:dyDescent="0.25">
      <c r="A28" s="13">
        <v>11</v>
      </c>
      <c r="B28" s="51">
        <v>0</v>
      </c>
      <c r="C28" s="51">
        <v>3.2800000000000003E-2</v>
      </c>
      <c r="D28" s="51">
        <v>5.91E-2</v>
      </c>
      <c r="E28" s="51">
        <v>4.462E-2</v>
      </c>
      <c r="F28" s="41"/>
    </row>
    <row r="29" spans="1:9" x14ac:dyDescent="0.25">
      <c r="A29" s="13">
        <v>12</v>
      </c>
      <c r="B29" s="51">
        <v>0</v>
      </c>
      <c r="C29" s="51">
        <v>0</v>
      </c>
      <c r="D29" s="51">
        <v>5.8999999999999997E-2</v>
      </c>
      <c r="E29" s="51">
        <v>4.4609999999999997E-2</v>
      </c>
      <c r="F29" s="41"/>
    </row>
    <row r="30" spans="1:9" x14ac:dyDescent="0.25">
      <c r="A30" s="13">
        <v>13</v>
      </c>
      <c r="B30" s="51">
        <v>0</v>
      </c>
      <c r="C30" s="51">
        <v>0</v>
      </c>
      <c r="D30" s="51">
        <v>5.91E-2</v>
      </c>
      <c r="E30" s="51">
        <v>4.462E-2</v>
      </c>
      <c r="F30" s="41"/>
    </row>
    <row r="31" spans="1:9" x14ac:dyDescent="0.25">
      <c r="A31" s="13">
        <v>14</v>
      </c>
      <c r="B31" s="51">
        <v>0</v>
      </c>
      <c r="C31" s="51">
        <v>0</v>
      </c>
      <c r="D31" s="51">
        <v>5.8999999999999997E-2</v>
      </c>
      <c r="E31" s="51">
        <v>4.4609999999999997E-2</v>
      </c>
      <c r="F31" s="41"/>
    </row>
    <row r="32" spans="1:9" x14ac:dyDescent="0.25">
      <c r="A32" s="13">
        <v>15</v>
      </c>
      <c r="B32" s="51">
        <v>0</v>
      </c>
      <c r="C32" s="51">
        <v>0</v>
      </c>
      <c r="D32" s="51">
        <v>5.91E-2</v>
      </c>
      <c r="E32" s="51">
        <v>4.462E-2</v>
      </c>
      <c r="F32" s="41"/>
    </row>
    <row r="33" spans="1:6" x14ac:dyDescent="0.25">
      <c r="A33" s="13">
        <v>16</v>
      </c>
      <c r="B33" s="51">
        <v>0</v>
      </c>
      <c r="C33" s="51">
        <v>0</v>
      </c>
      <c r="D33" s="51">
        <v>2.9499999999999998E-2</v>
      </c>
      <c r="E33" s="51">
        <v>4.4609999999999997E-2</v>
      </c>
      <c r="F33" s="41"/>
    </row>
    <row r="34" spans="1:6" x14ac:dyDescent="0.25">
      <c r="A34" s="13">
        <v>17</v>
      </c>
      <c r="B34" s="51">
        <v>0</v>
      </c>
      <c r="C34" s="51">
        <v>0</v>
      </c>
      <c r="D34" s="51">
        <v>0</v>
      </c>
      <c r="E34" s="51">
        <v>4.462E-2</v>
      </c>
      <c r="F34" s="41"/>
    </row>
    <row r="35" spans="1:6" x14ac:dyDescent="0.25">
      <c r="A35" s="13">
        <v>18</v>
      </c>
      <c r="B35" s="51">
        <v>0</v>
      </c>
      <c r="C35" s="51">
        <v>0</v>
      </c>
      <c r="D35" s="51">
        <v>0</v>
      </c>
      <c r="E35" s="51">
        <v>4.4609999999999997E-2</v>
      </c>
      <c r="F35" s="41"/>
    </row>
    <row r="36" spans="1:6" x14ac:dyDescent="0.25">
      <c r="A36" s="13">
        <v>19</v>
      </c>
      <c r="B36" s="51">
        <v>0</v>
      </c>
      <c r="C36" s="51">
        <v>0</v>
      </c>
      <c r="D36" s="51">
        <v>0</v>
      </c>
      <c r="E36" s="51">
        <v>4.462E-2</v>
      </c>
      <c r="F36" s="41"/>
    </row>
    <row r="37" spans="1:6" x14ac:dyDescent="0.25">
      <c r="A37" s="13">
        <v>20</v>
      </c>
      <c r="B37" s="51">
        <v>0</v>
      </c>
      <c r="C37" s="51">
        <v>0</v>
      </c>
      <c r="D37" s="51">
        <v>0</v>
      </c>
      <c r="E37" s="51">
        <v>4.4609999999999997E-2</v>
      </c>
      <c r="F37" s="41"/>
    </row>
    <row r="38" spans="1:6" x14ac:dyDescent="0.25">
      <c r="A38" s="13">
        <v>21</v>
      </c>
      <c r="B38" s="51">
        <v>0</v>
      </c>
      <c r="C38" s="51">
        <v>0</v>
      </c>
      <c r="D38" s="51">
        <v>0</v>
      </c>
      <c r="E38" s="51">
        <v>2.231E-2</v>
      </c>
      <c r="F38" s="41"/>
    </row>
    <row r="39" spans="1:6" x14ac:dyDescent="0.25">
      <c r="A39" s="13">
        <v>22</v>
      </c>
      <c r="B39" s="51">
        <v>0</v>
      </c>
      <c r="C39" s="51">
        <v>0</v>
      </c>
      <c r="D39" s="51">
        <v>0</v>
      </c>
      <c r="E39" s="51">
        <v>0</v>
      </c>
    </row>
    <row r="40" spans="1:6" x14ac:dyDescent="0.25">
      <c r="A40" s="13">
        <v>23</v>
      </c>
      <c r="B40" s="51">
        <v>0</v>
      </c>
      <c r="C40" s="51">
        <v>0</v>
      </c>
      <c r="D40" s="51">
        <v>0</v>
      </c>
      <c r="E40" s="51">
        <v>0</v>
      </c>
    </row>
    <row r="41" spans="1:6" x14ac:dyDescent="0.25">
      <c r="A41" s="13">
        <v>24</v>
      </c>
      <c r="B41" s="51">
        <v>0</v>
      </c>
      <c r="C41" s="51">
        <v>0</v>
      </c>
      <c r="D41" s="51">
        <v>0</v>
      </c>
      <c r="E41" s="51">
        <v>0</v>
      </c>
    </row>
    <row r="42" spans="1:6" x14ac:dyDescent="0.25">
      <c r="A42" s="13">
        <v>25</v>
      </c>
      <c r="B42" s="51">
        <v>0</v>
      </c>
      <c r="C42" s="51">
        <v>0</v>
      </c>
      <c r="D42" s="51">
        <v>0</v>
      </c>
      <c r="E42" s="51">
        <v>0</v>
      </c>
    </row>
    <row r="43" spans="1:6" x14ac:dyDescent="0.25">
      <c r="A43" s="13">
        <v>26</v>
      </c>
      <c r="B43" s="51">
        <v>0</v>
      </c>
      <c r="C43" s="51">
        <v>0</v>
      </c>
      <c r="D43" s="51">
        <v>0</v>
      </c>
      <c r="E43" s="51">
        <v>0</v>
      </c>
    </row>
    <row r="44" spans="1:6" x14ac:dyDescent="0.25">
      <c r="A44" s="13">
        <v>27</v>
      </c>
      <c r="B44" s="51">
        <v>0</v>
      </c>
      <c r="C44" s="51">
        <v>0</v>
      </c>
      <c r="D44" s="51">
        <v>0</v>
      </c>
      <c r="E44" s="51">
        <v>0</v>
      </c>
    </row>
    <row r="45" spans="1:6" x14ac:dyDescent="0.25">
      <c r="A45" s="13">
        <v>28</v>
      </c>
      <c r="B45" s="51">
        <v>0</v>
      </c>
      <c r="C45" s="51">
        <v>0</v>
      </c>
      <c r="D45" s="51">
        <v>0</v>
      </c>
      <c r="E45" s="51">
        <v>0</v>
      </c>
    </row>
    <row r="46" spans="1:6" x14ac:dyDescent="0.25">
      <c r="A46" s="13">
        <v>29</v>
      </c>
      <c r="B46" s="51">
        <v>0</v>
      </c>
      <c r="C46" s="51">
        <v>0</v>
      </c>
      <c r="D46" s="51">
        <v>0</v>
      </c>
      <c r="E46" s="51">
        <v>0</v>
      </c>
    </row>
    <row r="47" spans="1:6" x14ac:dyDescent="0.25">
      <c r="A47" s="13">
        <v>30</v>
      </c>
      <c r="B47" s="51">
        <v>0</v>
      </c>
      <c r="C47" s="51">
        <v>0</v>
      </c>
      <c r="D47" s="51">
        <v>0</v>
      </c>
      <c r="E47" s="51">
        <v>0</v>
      </c>
    </row>
    <row r="48" spans="1:6" x14ac:dyDescent="0.25">
      <c r="A48" s="13">
        <v>31</v>
      </c>
      <c r="B48" s="51">
        <v>0</v>
      </c>
      <c r="C48" s="51">
        <v>0</v>
      </c>
      <c r="D48" s="51">
        <v>0</v>
      </c>
      <c r="E48" s="51">
        <v>0</v>
      </c>
    </row>
    <row r="49" spans="1:5" x14ac:dyDescent="0.25">
      <c r="A49" s="13">
        <v>31</v>
      </c>
      <c r="B49" s="51">
        <v>0</v>
      </c>
      <c r="C49" s="51">
        <v>0</v>
      </c>
      <c r="D49" s="51">
        <v>0</v>
      </c>
      <c r="E49" s="51">
        <v>0</v>
      </c>
    </row>
    <row r="51" spans="1:5" x14ac:dyDescent="0.25">
      <c r="B51" s="53"/>
    </row>
    <row r="53" spans="1:5" x14ac:dyDescent="0.25">
      <c r="B53" s="53"/>
    </row>
  </sheetData>
  <mergeCells count="1">
    <mergeCell ref="B15:E15"/>
  </mergeCells>
  <pageMargins left="1" right="1" top="1.5" bottom="1" header="0.5" footer="0.5"/>
  <pageSetup scale="99" orientation="portrait" r:id="rId1"/>
  <headerFooter scaleWithDoc="0">
    <oddHeader xml:space="preserve">&amp;R&amp;"Times New Roman,Bold"&amp;12 Case No. 2020-00350
Attachment to Response to PSC-2 Question No. 140
Page &amp;P of &amp;N
Seelye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1EF41-EEDF-4CE4-97F4-009812A9AFD0}">
  <dimension ref="A1:T86"/>
  <sheetViews>
    <sheetView zoomScaleNormal="100" workbookViewId="0"/>
  </sheetViews>
  <sheetFormatPr defaultRowHeight="12.5" x14ac:dyDescent="0.25"/>
  <cols>
    <col min="1" max="1" width="9.1796875" style="13"/>
    <col min="2" max="2" width="12.26953125" style="13" customWidth="1"/>
    <col min="3" max="3" width="13.54296875" style="13" customWidth="1"/>
    <col min="4" max="4" width="12.54296875" style="13" customWidth="1"/>
    <col min="5" max="5" width="13" style="13" customWidth="1"/>
    <col min="6" max="7" width="12.81640625" style="13" customWidth="1"/>
    <col min="8" max="8" width="14" style="13" customWidth="1"/>
    <col min="9" max="9" width="13.1796875" style="13" customWidth="1"/>
    <col min="10" max="10" width="12.81640625" style="13" customWidth="1"/>
    <col min="11" max="11" width="12.1796875" style="13" customWidth="1"/>
    <col min="12" max="12" width="12" style="13" hidden="1" customWidth="1"/>
    <col min="13" max="13" width="11" style="13" hidden="1" customWidth="1"/>
    <col min="14" max="14" width="11.81640625" style="13" customWidth="1"/>
    <col min="15" max="15" width="14.26953125" style="13" customWidth="1"/>
    <col min="16" max="16" width="12.26953125" style="13" customWidth="1"/>
    <col min="17" max="17" width="13.81640625" style="13" customWidth="1"/>
    <col min="18" max="18" width="15" style="13" customWidth="1"/>
    <col min="19" max="257" width="9.1796875" style="13"/>
    <col min="258" max="258" width="12.26953125" style="13" customWidth="1"/>
    <col min="259" max="259" width="13.54296875" style="13" customWidth="1"/>
    <col min="260" max="260" width="12.54296875" style="13" customWidth="1"/>
    <col min="261" max="261" width="13" style="13" customWidth="1"/>
    <col min="262" max="263" width="12.81640625" style="13" customWidth="1"/>
    <col min="264" max="264" width="14" style="13" customWidth="1"/>
    <col min="265" max="265" width="13.1796875" style="13" customWidth="1"/>
    <col min="266" max="266" width="12.81640625" style="13" customWidth="1"/>
    <col min="267" max="267" width="12.1796875" style="13" customWidth="1"/>
    <col min="268" max="269" width="0" style="13" hidden="1" customWidth="1"/>
    <col min="270" max="270" width="11.81640625" style="13" customWidth="1"/>
    <col min="271" max="271" width="14.26953125" style="13" customWidth="1"/>
    <col min="272" max="272" width="12.26953125" style="13" customWidth="1"/>
    <col min="273" max="273" width="13.81640625" style="13" customWidth="1"/>
    <col min="274" max="274" width="15" style="13" customWidth="1"/>
    <col min="275" max="513" width="9.1796875" style="13"/>
    <col min="514" max="514" width="12.26953125" style="13" customWidth="1"/>
    <col min="515" max="515" width="13.54296875" style="13" customWidth="1"/>
    <col min="516" max="516" width="12.54296875" style="13" customWidth="1"/>
    <col min="517" max="517" width="13" style="13" customWidth="1"/>
    <col min="518" max="519" width="12.81640625" style="13" customWidth="1"/>
    <col min="520" max="520" width="14" style="13" customWidth="1"/>
    <col min="521" max="521" width="13.1796875" style="13" customWidth="1"/>
    <col min="522" max="522" width="12.81640625" style="13" customWidth="1"/>
    <col min="523" max="523" width="12.1796875" style="13" customWidth="1"/>
    <col min="524" max="525" width="0" style="13" hidden="1" customWidth="1"/>
    <col min="526" max="526" width="11.81640625" style="13" customWidth="1"/>
    <col min="527" max="527" width="14.26953125" style="13" customWidth="1"/>
    <col min="528" max="528" width="12.26953125" style="13" customWidth="1"/>
    <col min="529" max="529" width="13.81640625" style="13" customWidth="1"/>
    <col min="530" max="530" width="15" style="13" customWidth="1"/>
    <col min="531" max="769" width="9.1796875" style="13"/>
    <col min="770" max="770" width="12.26953125" style="13" customWidth="1"/>
    <col min="771" max="771" width="13.54296875" style="13" customWidth="1"/>
    <col min="772" max="772" width="12.54296875" style="13" customWidth="1"/>
    <col min="773" max="773" width="13" style="13" customWidth="1"/>
    <col min="774" max="775" width="12.81640625" style="13" customWidth="1"/>
    <col min="776" max="776" width="14" style="13" customWidth="1"/>
    <col min="777" max="777" width="13.1796875" style="13" customWidth="1"/>
    <col min="778" max="778" width="12.81640625" style="13" customWidth="1"/>
    <col min="779" max="779" width="12.1796875" style="13" customWidth="1"/>
    <col min="780" max="781" width="0" style="13" hidden="1" customWidth="1"/>
    <col min="782" max="782" width="11.81640625" style="13" customWidth="1"/>
    <col min="783" max="783" width="14.26953125" style="13" customWidth="1"/>
    <col min="784" max="784" width="12.26953125" style="13" customWidth="1"/>
    <col min="785" max="785" width="13.81640625" style="13" customWidth="1"/>
    <col min="786" max="786" width="15" style="13" customWidth="1"/>
    <col min="787" max="1025" width="9.1796875" style="13"/>
    <col min="1026" max="1026" width="12.26953125" style="13" customWidth="1"/>
    <col min="1027" max="1027" width="13.54296875" style="13" customWidth="1"/>
    <col min="1028" max="1028" width="12.54296875" style="13" customWidth="1"/>
    <col min="1029" max="1029" width="13" style="13" customWidth="1"/>
    <col min="1030" max="1031" width="12.81640625" style="13" customWidth="1"/>
    <col min="1032" max="1032" width="14" style="13" customWidth="1"/>
    <col min="1033" max="1033" width="13.1796875" style="13" customWidth="1"/>
    <col min="1034" max="1034" width="12.81640625" style="13" customWidth="1"/>
    <col min="1035" max="1035" width="12.1796875" style="13" customWidth="1"/>
    <col min="1036" max="1037" width="0" style="13" hidden="1" customWidth="1"/>
    <col min="1038" max="1038" width="11.81640625" style="13" customWidth="1"/>
    <col min="1039" max="1039" width="14.26953125" style="13" customWidth="1"/>
    <col min="1040" max="1040" width="12.26953125" style="13" customWidth="1"/>
    <col min="1041" max="1041" width="13.81640625" style="13" customWidth="1"/>
    <col min="1042" max="1042" width="15" style="13" customWidth="1"/>
    <col min="1043" max="1281" width="9.1796875" style="13"/>
    <col min="1282" max="1282" width="12.26953125" style="13" customWidth="1"/>
    <col min="1283" max="1283" width="13.54296875" style="13" customWidth="1"/>
    <col min="1284" max="1284" width="12.54296875" style="13" customWidth="1"/>
    <col min="1285" max="1285" width="13" style="13" customWidth="1"/>
    <col min="1286" max="1287" width="12.81640625" style="13" customWidth="1"/>
    <col min="1288" max="1288" width="14" style="13" customWidth="1"/>
    <col min="1289" max="1289" width="13.1796875" style="13" customWidth="1"/>
    <col min="1290" max="1290" width="12.81640625" style="13" customWidth="1"/>
    <col min="1291" max="1291" width="12.1796875" style="13" customWidth="1"/>
    <col min="1292" max="1293" width="0" style="13" hidden="1" customWidth="1"/>
    <col min="1294" max="1294" width="11.81640625" style="13" customWidth="1"/>
    <col min="1295" max="1295" width="14.26953125" style="13" customWidth="1"/>
    <col min="1296" max="1296" width="12.26953125" style="13" customWidth="1"/>
    <col min="1297" max="1297" width="13.81640625" style="13" customWidth="1"/>
    <col min="1298" max="1298" width="15" style="13" customWidth="1"/>
    <col min="1299" max="1537" width="9.1796875" style="13"/>
    <col min="1538" max="1538" width="12.26953125" style="13" customWidth="1"/>
    <col min="1539" max="1539" width="13.54296875" style="13" customWidth="1"/>
    <col min="1540" max="1540" width="12.54296875" style="13" customWidth="1"/>
    <col min="1541" max="1541" width="13" style="13" customWidth="1"/>
    <col min="1542" max="1543" width="12.81640625" style="13" customWidth="1"/>
    <col min="1544" max="1544" width="14" style="13" customWidth="1"/>
    <col min="1545" max="1545" width="13.1796875" style="13" customWidth="1"/>
    <col min="1546" max="1546" width="12.81640625" style="13" customWidth="1"/>
    <col min="1547" max="1547" width="12.1796875" style="13" customWidth="1"/>
    <col min="1548" max="1549" width="0" style="13" hidden="1" customWidth="1"/>
    <col min="1550" max="1550" width="11.81640625" style="13" customWidth="1"/>
    <col min="1551" max="1551" width="14.26953125" style="13" customWidth="1"/>
    <col min="1552" max="1552" width="12.26953125" style="13" customWidth="1"/>
    <col min="1553" max="1553" width="13.81640625" style="13" customWidth="1"/>
    <col min="1554" max="1554" width="15" style="13" customWidth="1"/>
    <col min="1555" max="1793" width="9.1796875" style="13"/>
    <col min="1794" max="1794" width="12.26953125" style="13" customWidth="1"/>
    <col min="1795" max="1795" width="13.54296875" style="13" customWidth="1"/>
    <col min="1796" max="1796" width="12.54296875" style="13" customWidth="1"/>
    <col min="1797" max="1797" width="13" style="13" customWidth="1"/>
    <col min="1798" max="1799" width="12.81640625" style="13" customWidth="1"/>
    <col min="1800" max="1800" width="14" style="13" customWidth="1"/>
    <col min="1801" max="1801" width="13.1796875" style="13" customWidth="1"/>
    <col min="1802" max="1802" width="12.81640625" style="13" customWidth="1"/>
    <col min="1803" max="1803" width="12.1796875" style="13" customWidth="1"/>
    <col min="1804" max="1805" width="0" style="13" hidden="1" customWidth="1"/>
    <col min="1806" max="1806" width="11.81640625" style="13" customWidth="1"/>
    <col min="1807" max="1807" width="14.26953125" style="13" customWidth="1"/>
    <col min="1808" max="1808" width="12.26953125" style="13" customWidth="1"/>
    <col min="1809" max="1809" width="13.81640625" style="13" customWidth="1"/>
    <col min="1810" max="1810" width="15" style="13" customWidth="1"/>
    <col min="1811" max="2049" width="9.1796875" style="13"/>
    <col min="2050" max="2050" width="12.26953125" style="13" customWidth="1"/>
    <col min="2051" max="2051" width="13.54296875" style="13" customWidth="1"/>
    <col min="2052" max="2052" width="12.54296875" style="13" customWidth="1"/>
    <col min="2053" max="2053" width="13" style="13" customWidth="1"/>
    <col min="2054" max="2055" width="12.81640625" style="13" customWidth="1"/>
    <col min="2056" max="2056" width="14" style="13" customWidth="1"/>
    <col min="2057" max="2057" width="13.1796875" style="13" customWidth="1"/>
    <col min="2058" max="2058" width="12.81640625" style="13" customWidth="1"/>
    <col min="2059" max="2059" width="12.1796875" style="13" customWidth="1"/>
    <col min="2060" max="2061" width="0" style="13" hidden="1" customWidth="1"/>
    <col min="2062" max="2062" width="11.81640625" style="13" customWidth="1"/>
    <col min="2063" max="2063" width="14.26953125" style="13" customWidth="1"/>
    <col min="2064" max="2064" width="12.26953125" style="13" customWidth="1"/>
    <col min="2065" max="2065" width="13.81640625" style="13" customWidth="1"/>
    <col min="2066" max="2066" width="15" style="13" customWidth="1"/>
    <col min="2067" max="2305" width="9.1796875" style="13"/>
    <col min="2306" max="2306" width="12.26953125" style="13" customWidth="1"/>
    <col min="2307" max="2307" width="13.54296875" style="13" customWidth="1"/>
    <col min="2308" max="2308" width="12.54296875" style="13" customWidth="1"/>
    <col min="2309" max="2309" width="13" style="13" customWidth="1"/>
    <col min="2310" max="2311" width="12.81640625" style="13" customWidth="1"/>
    <col min="2312" max="2312" width="14" style="13" customWidth="1"/>
    <col min="2313" max="2313" width="13.1796875" style="13" customWidth="1"/>
    <col min="2314" max="2314" width="12.81640625" style="13" customWidth="1"/>
    <col min="2315" max="2315" width="12.1796875" style="13" customWidth="1"/>
    <col min="2316" max="2317" width="0" style="13" hidden="1" customWidth="1"/>
    <col min="2318" max="2318" width="11.81640625" style="13" customWidth="1"/>
    <col min="2319" max="2319" width="14.26953125" style="13" customWidth="1"/>
    <col min="2320" max="2320" width="12.26953125" style="13" customWidth="1"/>
    <col min="2321" max="2321" width="13.81640625" style="13" customWidth="1"/>
    <col min="2322" max="2322" width="15" style="13" customWidth="1"/>
    <col min="2323" max="2561" width="9.1796875" style="13"/>
    <col min="2562" max="2562" width="12.26953125" style="13" customWidth="1"/>
    <col min="2563" max="2563" width="13.54296875" style="13" customWidth="1"/>
    <col min="2564" max="2564" width="12.54296875" style="13" customWidth="1"/>
    <col min="2565" max="2565" width="13" style="13" customWidth="1"/>
    <col min="2566" max="2567" width="12.81640625" style="13" customWidth="1"/>
    <col min="2568" max="2568" width="14" style="13" customWidth="1"/>
    <col min="2569" max="2569" width="13.1796875" style="13" customWidth="1"/>
    <col min="2570" max="2570" width="12.81640625" style="13" customWidth="1"/>
    <col min="2571" max="2571" width="12.1796875" style="13" customWidth="1"/>
    <col min="2572" max="2573" width="0" style="13" hidden="1" customWidth="1"/>
    <col min="2574" max="2574" width="11.81640625" style="13" customWidth="1"/>
    <col min="2575" max="2575" width="14.26953125" style="13" customWidth="1"/>
    <col min="2576" max="2576" width="12.26953125" style="13" customWidth="1"/>
    <col min="2577" max="2577" width="13.81640625" style="13" customWidth="1"/>
    <col min="2578" max="2578" width="15" style="13" customWidth="1"/>
    <col min="2579" max="2817" width="9.1796875" style="13"/>
    <col min="2818" max="2818" width="12.26953125" style="13" customWidth="1"/>
    <col min="2819" max="2819" width="13.54296875" style="13" customWidth="1"/>
    <col min="2820" max="2820" width="12.54296875" style="13" customWidth="1"/>
    <col min="2821" max="2821" width="13" style="13" customWidth="1"/>
    <col min="2822" max="2823" width="12.81640625" style="13" customWidth="1"/>
    <col min="2824" max="2824" width="14" style="13" customWidth="1"/>
    <col min="2825" max="2825" width="13.1796875" style="13" customWidth="1"/>
    <col min="2826" max="2826" width="12.81640625" style="13" customWidth="1"/>
    <col min="2827" max="2827" width="12.1796875" style="13" customWidth="1"/>
    <col min="2828" max="2829" width="0" style="13" hidden="1" customWidth="1"/>
    <col min="2830" max="2830" width="11.81640625" style="13" customWidth="1"/>
    <col min="2831" max="2831" width="14.26953125" style="13" customWidth="1"/>
    <col min="2832" max="2832" width="12.26953125" style="13" customWidth="1"/>
    <col min="2833" max="2833" width="13.81640625" style="13" customWidth="1"/>
    <col min="2834" max="2834" width="15" style="13" customWidth="1"/>
    <col min="2835" max="3073" width="9.1796875" style="13"/>
    <col min="3074" max="3074" width="12.26953125" style="13" customWidth="1"/>
    <col min="3075" max="3075" width="13.54296875" style="13" customWidth="1"/>
    <col min="3076" max="3076" width="12.54296875" style="13" customWidth="1"/>
    <col min="3077" max="3077" width="13" style="13" customWidth="1"/>
    <col min="3078" max="3079" width="12.81640625" style="13" customWidth="1"/>
    <col min="3080" max="3080" width="14" style="13" customWidth="1"/>
    <col min="3081" max="3081" width="13.1796875" style="13" customWidth="1"/>
    <col min="3082" max="3082" width="12.81640625" style="13" customWidth="1"/>
    <col min="3083" max="3083" width="12.1796875" style="13" customWidth="1"/>
    <col min="3084" max="3085" width="0" style="13" hidden="1" customWidth="1"/>
    <col min="3086" max="3086" width="11.81640625" style="13" customWidth="1"/>
    <col min="3087" max="3087" width="14.26953125" style="13" customWidth="1"/>
    <col min="3088" max="3088" width="12.26953125" style="13" customWidth="1"/>
    <col min="3089" max="3089" width="13.81640625" style="13" customWidth="1"/>
    <col min="3090" max="3090" width="15" style="13" customWidth="1"/>
    <col min="3091" max="3329" width="9.1796875" style="13"/>
    <col min="3330" max="3330" width="12.26953125" style="13" customWidth="1"/>
    <col min="3331" max="3331" width="13.54296875" style="13" customWidth="1"/>
    <col min="3332" max="3332" width="12.54296875" style="13" customWidth="1"/>
    <col min="3333" max="3333" width="13" style="13" customWidth="1"/>
    <col min="3334" max="3335" width="12.81640625" style="13" customWidth="1"/>
    <col min="3336" max="3336" width="14" style="13" customWidth="1"/>
    <col min="3337" max="3337" width="13.1796875" style="13" customWidth="1"/>
    <col min="3338" max="3338" width="12.81640625" style="13" customWidth="1"/>
    <col min="3339" max="3339" width="12.1796875" style="13" customWidth="1"/>
    <col min="3340" max="3341" width="0" style="13" hidden="1" customWidth="1"/>
    <col min="3342" max="3342" width="11.81640625" style="13" customWidth="1"/>
    <col min="3343" max="3343" width="14.26953125" style="13" customWidth="1"/>
    <col min="3344" max="3344" width="12.26953125" style="13" customWidth="1"/>
    <col min="3345" max="3345" width="13.81640625" style="13" customWidth="1"/>
    <col min="3346" max="3346" width="15" style="13" customWidth="1"/>
    <col min="3347" max="3585" width="9.1796875" style="13"/>
    <col min="3586" max="3586" width="12.26953125" style="13" customWidth="1"/>
    <col min="3587" max="3587" width="13.54296875" style="13" customWidth="1"/>
    <col min="3588" max="3588" width="12.54296875" style="13" customWidth="1"/>
    <col min="3589" max="3589" width="13" style="13" customWidth="1"/>
    <col min="3590" max="3591" width="12.81640625" style="13" customWidth="1"/>
    <col min="3592" max="3592" width="14" style="13" customWidth="1"/>
    <col min="3593" max="3593" width="13.1796875" style="13" customWidth="1"/>
    <col min="3594" max="3594" width="12.81640625" style="13" customWidth="1"/>
    <col min="3595" max="3595" width="12.1796875" style="13" customWidth="1"/>
    <col min="3596" max="3597" width="0" style="13" hidden="1" customWidth="1"/>
    <col min="3598" max="3598" width="11.81640625" style="13" customWidth="1"/>
    <col min="3599" max="3599" width="14.26953125" style="13" customWidth="1"/>
    <col min="3600" max="3600" width="12.26953125" style="13" customWidth="1"/>
    <col min="3601" max="3601" width="13.81640625" style="13" customWidth="1"/>
    <col min="3602" max="3602" width="15" style="13" customWidth="1"/>
    <col min="3603" max="3841" width="9.1796875" style="13"/>
    <col min="3842" max="3842" width="12.26953125" style="13" customWidth="1"/>
    <col min="3843" max="3843" width="13.54296875" style="13" customWidth="1"/>
    <col min="3844" max="3844" width="12.54296875" style="13" customWidth="1"/>
    <col min="3845" max="3845" width="13" style="13" customWidth="1"/>
    <col min="3846" max="3847" width="12.81640625" style="13" customWidth="1"/>
    <col min="3848" max="3848" width="14" style="13" customWidth="1"/>
    <col min="3849" max="3849" width="13.1796875" style="13" customWidth="1"/>
    <col min="3850" max="3850" width="12.81640625" style="13" customWidth="1"/>
    <col min="3851" max="3851" width="12.1796875" style="13" customWidth="1"/>
    <col min="3852" max="3853" width="0" style="13" hidden="1" customWidth="1"/>
    <col min="3854" max="3854" width="11.81640625" style="13" customWidth="1"/>
    <col min="3855" max="3855" width="14.26953125" style="13" customWidth="1"/>
    <col min="3856" max="3856" width="12.26953125" style="13" customWidth="1"/>
    <col min="3857" max="3857" width="13.81640625" style="13" customWidth="1"/>
    <col min="3858" max="3858" width="15" style="13" customWidth="1"/>
    <col min="3859" max="4097" width="9.1796875" style="13"/>
    <col min="4098" max="4098" width="12.26953125" style="13" customWidth="1"/>
    <col min="4099" max="4099" width="13.54296875" style="13" customWidth="1"/>
    <col min="4100" max="4100" width="12.54296875" style="13" customWidth="1"/>
    <col min="4101" max="4101" width="13" style="13" customWidth="1"/>
    <col min="4102" max="4103" width="12.81640625" style="13" customWidth="1"/>
    <col min="4104" max="4104" width="14" style="13" customWidth="1"/>
    <col min="4105" max="4105" width="13.1796875" style="13" customWidth="1"/>
    <col min="4106" max="4106" width="12.81640625" style="13" customWidth="1"/>
    <col min="4107" max="4107" width="12.1796875" style="13" customWidth="1"/>
    <col min="4108" max="4109" width="0" style="13" hidden="1" customWidth="1"/>
    <col min="4110" max="4110" width="11.81640625" style="13" customWidth="1"/>
    <col min="4111" max="4111" width="14.26953125" style="13" customWidth="1"/>
    <col min="4112" max="4112" width="12.26953125" style="13" customWidth="1"/>
    <col min="4113" max="4113" width="13.81640625" style="13" customWidth="1"/>
    <col min="4114" max="4114" width="15" style="13" customWidth="1"/>
    <col min="4115" max="4353" width="9.1796875" style="13"/>
    <col min="4354" max="4354" width="12.26953125" style="13" customWidth="1"/>
    <col min="4355" max="4355" width="13.54296875" style="13" customWidth="1"/>
    <col min="4356" max="4356" width="12.54296875" style="13" customWidth="1"/>
    <col min="4357" max="4357" width="13" style="13" customWidth="1"/>
    <col min="4358" max="4359" width="12.81640625" style="13" customWidth="1"/>
    <col min="4360" max="4360" width="14" style="13" customWidth="1"/>
    <col min="4361" max="4361" width="13.1796875" style="13" customWidth="1"/>
    <col min="4362" max="4362" width="12.81640625" style="13" customWidth="1"/>
    <col min="4363" max="4363" width="12.1796875" style="13" customWidth="1"/>
    <col min="4364" max="4365" width="0" style="13" hidden="1" customWidth="1"/>
    <col min="4366" max="4366" width="11.81640625" style="13" customWidth="1"/>
    <col min="4367" max="4367" width="14.26953125" style="13" customWidth="1"/>
    <col min="4368" max="4368" width="12.26953125" style="13" customWidth="1"/>
    <col min="4369" max="4369" width="13.81640625" style="13" customWidth="1"/>
    <col min="4370" max="4370" width="15" style="13" customWidth="1"/>
    <col min="4371" max="4609" width="9.1796875" style="13"/>
    <col min="4610" max="4610" width="12.26953125" style="13" customWidth="1"/>
    <col min="4611" max="4611" width="13.54296875" style="13" customWidth="1"/>
    <col min="4612" max="4612" width="12.54296875" style="13" customWidth="1"/>
    <col min="4613" max="4613" width="13" style="13" customWidth="1"/>
    <col min="4614" max="4615" width="12.81640625" style="13" customWidth="1"/>
    <col min="4616" max="4616" width="14" style="13" customWidth="1"/>
    <col min="4617" max="4617" width="13.1796875" style="13" customWidth="1"/>
    <col min="4618" max="4618" width="12.81640625" style="13" customWidth="1"/>
    <col min="4619" max="4619" width="12.1796875" style="13" customWidth="1"/>
    <col min="4620" max="4621" width="0" style="13" hidden="1" customWidth="1"/>
    <col min="4622" max="4622" width="11.81640625" style="13" customWidth="1"/>
    <col min="4623" max="4623" width="14.26953125" style="13" customWidth="1"/>
    <col min="4624" max="4624" width="12.26953125" style="13" customWidth="1"/>
    <col min="4625" max="4625" width="13.81640625" style="13" customWidth="1"/>
    <col min="4626" max="4626" width="15" style="13" customWidth="1"/>
    <col min="4627" max="4865" width="9.1796875" style="13"/>
    <col min="4866" max="4866" width="12.26953125" style="13" customWidth="1"/>
    <col min="4867" max="4867" width="13.54296875" style="13" customWidth="1"/>
    <col min="4868" max="4868" width="12.54296875" style="13" customWidth="1"/>
    <col min="4869" max="4869" width="13" style="13" customWidth="1"/>
    <col min="4870" max="4871" width="12.81640625" style="13" customWidth="1"/>
    <col min="4872" max="4872" width="14" style="13" customWidth="1"/>
    <col min="4873" max="4873" width="13.1796875" style="13" customWidth="1"/>
    <col min="4874" max="4874" width="12.81640625" style="13" customWidth="1"/>
    <col min="4875" max="4875" width="12.1796875" style="13" customWidth="1"/>
    <col min="4876" max="4877" width="0" style="13" hidden="1" customWidth="1"/>
    <col min="4878" max="4878" width="11.81640625" style="13" customWidth="1"/>
    <col min="4879" max="4879" width="14.26953125" style="13" customWidth="1"/>
    <col min="4880" max="4880" width="12.26953125" style="13" customWidth="1"/>
    <col min="4881" max="4881" width="13.81640625" style="13" customWidth="1"/>
    <col min="4882" max="4882" width="15" style="13" customWidth="1"/>
    <col min="4883" max="5121" width="9.1796875" style="13"/>
    <col min="5122" max="5122" width="12.26953125" style="13" customWidth="1"/>
    <col min="5123" max="5123" width="13.54296875" style="13" customWidth="1"/>
    <col min="5124" max="5124" width="12.54296875" style="13" customWidth="1"/>
    <col min="5125" max="5125" width="13" style="13" customWidth="1"/>
    <col min="5126" max="5127" width="12.81640625" style="13" customWidth="1"/>
    <col min="5128" max="5128" width="14" style="13" customWidth="1"/>
    <col min="5129" max="5129" width="13.1796875" style="13" customWidth="1"/>
    <col min="5130" max="5130" width="12.81640625" style="13" customWidth="1"/>
    <col min="5131" max="5131" width="12.1796875" style="13" customWidth="1"/>
    <col min="5132" max="5133" width="0" style="13" hidden="1" customWidth="1"/>
    <col min="5134" max="5134" width="11.81640625" style="13" customWidth="1"/>
    <col min="5135" max="5135" width="14.26953125" style="13" customWidth="1"/>
    <col min="5136" max="5136" width="12.26953125" style="13" customWidth="1"/>
    <col min="5137" max="5137" width="13.81640625" style="13" customWidth="1"/>
    <col min="5138" max="5138" width="15" style="13" customWidth="1"/>
    <col min="5139" max="5377" width="9.1796875" style="13"/>
    <col min="5378" max="5378" width="12.26953125" style="13" customWidth="1"/>
    <col min="5379" max="5379" width="13.54296875" style="13" customWidth="1"/>
    <col min="5380" max="5380" width="12.54296875" style="13" customWidth="1"/>
    <col min="5381" max="5381" width="13" style="13" customWidth="1"/>
    <col min="5382" max="5383" width="12.81640625" style="13" customWidth="1"/>
    <col min="5384" max="5384" width="14" style="13" customWidth="1"/>
    <col min="5385" max="5385" width="13.1796875" style="13" customWidth="1"/>
    <col min="5386" max="5386" width="12.81640625" style="13" customWidth="1"/>
    <col min="5387" max="5387" width="12.1796875" style="13" customWidth="1"/>
    <col min="5388" max="5389" width="0" style="13" hidden="1" customWidth="1"/>
    <col min="5390" max="5390" width="11.81640625" style="13" customWidth="1"/>
    <col min="5391" max="5391" width="14.26953125" style="13" customWidth="1"/>
    <col min="5392" max="5392" width="12.26953125" style="13" customWidth="1"/>
    <col min="5393" max="5393" width="13.81640625" style="13" customWidth="1"/>
    <col min="5394" max="5394" width="15" style="13" customWidth="1"/>
    <col min="5395" max="5633" width="9.1796875" style="13"/>
    <col min="5634" max="5634" width="12.26953125" style="13" customWidth="1"/>
    <col min="5635" max="5635" width="13.54296875" style="13" customWidth="1"/>
    <col min="5636" max="5636" width="12.54296875" style="13" customWidth="1"/>
    <col min="5637" max="5637" width="13" style="13" customWidth="1"/>
    <col min="5638" max="5639" width="12.81640625" style="13" customWidth="1"/>
    <col min="5640" max="5640" width="14" style="13" customWidth="1"/>
    <col min="5641" max="5641" width="13.1796875" style="13" customWidth="1"/>
    <col min="5642" max="5642" width="12.81640625" style="13" customWidth="1"/>
    <col min="5643" max="5643" width="12.1796875" style="13" customWidth="1"/>
    <col min="5644" max="5645" width="0" style="13" hidden="1" customWidth="1"/>
    <col min="5646" max="5646" width="11.81640625" style="13" customWidth="1"/>
    <col min="5647" max="5647" width="14.26953125" style="13" customWidth="1"/>
    <col min="5648" max="5648" width="12.26953125" style="13" customWidth="1"/>
    <col min="5649" max="5649" width="13.81640625" style="13" customWidth="1"/>
    <col min="5650" max="5650" width="15" style="13" customWidth="1"/>
    <col min="5651" max="5889" width="9.1796875" style="13"/>
    <col min="5890" max="5890" width="12.26953125" style="13" customWidth="1"/>
    <col min="5891" max="5891" width="13.54296875" style="13" customWidth="1"/>
    <col min="5892" max="5892" width="12.54296875" style="13" customWidth="1"/>
    <col min="5893" max="5893" width="13" style="13" customWidth="1"/>
    <col min="5894" max="5895" width="12.81640625" style="13" customWidth="1"/>
    <col min="5896" max="5896" width="14" style="13" customWidth="1"/>
    <col min="5897" max="5897" width="13.1796875" style="13" customWidth="1"/>
    <col min="5898" max="5898" width="12.81640625" style="13" customWidth="1"/>
    <col min="5899" max="5899" width="12.1796875" style="13" customWidth="1"/>
    <col min="5900" max="5901" width="0" style="13" hidden="1" customWidth="1"/>
    <col min="5902" max="5902" width="11.81640625" style="13" customWidth="1"/>
    <col min="5903" max="5903" width="14.26953125" style="13" customWidth="1"/>
    <col min="5904" max="5904" width="12.26953125" style="13" customWidth="1"/>
    <col min="5905" max="5905" width="13.81640625" style="13" customWidth="1"/>
    <col min="5906" max="5906" width="15" style="13" customWidth="1"/>
    <col min="5907" max="6145" width="9.1796875" style="13"/>
    <col min="6146" max="6146" width="12.26953125" style="13" customWidth="1"/>
    <col min="6147" max="6147" width="13.54296875" style="13" customWidth="1"/>
    <col min="6148" max="6148" width="12.54296875" style="13" customWidth="1"/>
    <col min="6149" max="6149" width="13" style="13" customWidth="1"/>
    <col min="6150" max="6151" width="12.81640625" style="13" customWidth="1"/>
    <col min="6152" max="6152" width="14" style="13" customWidth="1"/>
    <col min="6153" max="6153" width="13.1796875" style="13" customWidth="1"/>
    <col min="6154" max="6154" width="12.81640625" style="13" customWidth="1"/>
    <col min="6155" max="6155" width="12.1796875" style="13" customWidth="1"/>
    <col min="6156" max="6157" width="0" style="13" hidden="1" customWidth="1"/>
    <col min="6158" max="6158" width="11.81640625" style="13" customWidth="1"/>
    <col min="6159" max="6159" width="14.26953125" style="13" customWidth="1"/>
    <col min="6160" max="6160" width="12.26953125" style="13" customWidth="1"/>
    <col min="6161" max="6161" width="13.81640625" style="13" customWidth="1"/>
    <col min="6162" max="6162" width="15" style="13" customWidth="1"/>
    <col min="6163" max="6401" width="9.1796875" style="13"/>
    <col min="6402" max="6402" width="12.26953125" style="13" customWidth="1"/>
    <col min="6403" max="6403" width="13.54296875" style="13" customWidth="1"/>
    <col min="6404" max="6404" width="12.54296875" style="13" customWidth="1"/>
    <col min="6405" max="6405" width="13" style="13" customWidth="1"/>
    <col min="6406" max="6407" width="12.81640625" style="13" customWidth="1"/>
    <col min="6408" max="6408" width="14" style="13" customWidth="1"/>
    <col min="6409" max="6409" width="13.1796875" style="13" customWidth="1"/>
    <col min="6410" max="6410" width="12.81640625" style="13" customWidth="1"/>
    <col min="6411" max="6411" width="12.1796875" style="13" customWidth="1"/>
    <col min="6412" max="6413" width="0" style="13" hidden="1" customWidth="1"/>
    <col min="6414" max="6414" width="11.81640625" style="13" customWidth="1"/>
    <col min="6415" max="6415" width="14.26953125" style="13" customWidth="1"/>
    <col min="6416" max="6416" width="12.26953125" style="13" customWidth="1"/>
    <col min="6417" max="6417" width="13.81640625" style="13" customWidth="1"/>
    <col min="6418" max="6418" width="15" style="13" customWidth="1"/>
    <col min="6419" max="6657" width="9.1796875" style="13"/>
    <col min="6658" max="6658" width="12.26953125" style="13" customWidth="1"/>
    <col min="6659" max="6659" width="13.54296875" style="13" customWidth="1"/>
    <col min="6660" max="6660" width="12.54296875" style="13" customWidth="1"/>
    <col min="6661" max="6661" width="13" style="13" customWidth="1"/>
    <col min="6662" max="6663" width="12.81640625" style="13" customWidth="1"/>
    <col min="6664" max="6664" width="14" style="13" customWidth="1"/>
    <col min="6665" max="6665" width="13.1796875" style="13" customWidth="1"/>
    <col min="6666" max="6666" width="12.81640625" style="13" customWidth="1"/>
    <col min="6667" max="6667" width="12.1796875" style="13" customWidth="1"/>
    <col min="6668" max="6669" width="0" style="13" hidden="1" customWidth="1"/>
    <col min="6670" max="6670" width="11.81640625" style="13" customWidth="1"/>
    <col min="6671" max="6671" width="14.26953125" style="13" customWidth="1"/>
    <col min="6672" max="6672" width="12.26953125" style="13" customWidth="1"/>
    <col min="6673" max="6673" width="13.81640625" style="13" customWidth="1"/>
    <col min="6674" max="6674" width="15" style="13" customWidth="1"/>
    <col min="6675" max="6913" width="9.1796875" style="13"/>
    <col min="6914" max="6914" width="12.26953125" style="13" customWidth="1"/>
    <col min="6915" max="6915" width="13.54296875" style="13" customWidth="1"/>
    <col min="6916" max="6916" width="12.54296875" style="13" customWidth="1"/>
    <col min="6917" max="6917" width="13" style="13" customWidth="1"/>
    <col min="6918" max="6919" width="12.81640625" style="13" customWidth="1"/>
    <col min="6920" max="6920" width="14" style="13" customWidth="1"/>
    <col min="6921" max="6921" width="13.1796875" style="13" customWidth="1"/>
    <col min="6922" max="6922" width="12.81640625" style="13" customWidth="1"/>
    <col min="6923" max="6923" width="12.1796875" style="13" customWidth="1"/>
    <col min="6924" max="6925" width="0" style="13" hidden="1" customWidth="1"/>
    <col min="6926" max="6926" width="11.81640625" style="13" customWidth="1"/>
    <col min="6927" max="6927" width="14.26953125" style="13" customWidth="1"/>
    <col min="6928" max="6928" width="12.26953125" style="13" customWidth="1"/>
    <col min="6929" max="6929" width="13.81640625" style="13" customWidth="1"/>
    <col min="6930" max="6930" width="15" style="13" customWidth="1"/>
    <col min="6931" max="7169" width="9.1796875" style="13"/>
    <col min="7170" max="7170" width="12.26953125" style="13" customWidth="1"/>
    <col min="7171" max="7171" width="13.54296875" style="13" customWidth="1"/>
    <col min="7172" max="7172" width="12.54296875" style="13" customWidth="1"/>
    <col min="7173" max="7173" width="13" style="13" customWidth="1"/>
    <col min="7174" max="7175" width="12.81640625" style="13" customWidth="1"/>
    <col min="7176" max="7176" width="14" style="13" customWidth="1"/>
    <col min="7177" max="7177" width="13.1796875" style="13" customWidth="1"/>
    <col min="7178" max="7178" width="12.81640625" style="13" customWidth="1"/>
    <col min="7179" max="7179" width="12.1796875" style="13" customWidth="1"/>
    <col min="7180" max="7181" width="0" style="13" hidden="1" customWidth="1"/>
    <col min="7182" max="7182" width="11.81640625" style="13" customWidth="1"/>
    <col min="7183" max="7183" width="14.26953125" style="13" customWidth="1"/>
    <col min="7184" max="7184" width="12.26953125" style="13" customWidth="1"/>
    <col min="7185" max="7185" width="13.81640625" style="13" customWidth="1"/>
    <col min="7186" max="7186" width="15" style="13" customWidth="1"/>
    <col min="7187" max="7425" width="9.1796875" style="13"/>
    <col min="7426" max="7426" width="12.26953125" style="13" customWidth="1"/>
    <col min="7427" max="7427" width="13.54296875" style="13" customWidth="1"/>
    <col min="7428" max="7428" width="12.54296875" style="13" customWidth="1"/>
    <col min="7429" max="7429" width="13" style="13" customWidth="1"/>
    <col min="7430" max="7431" width="12.81640625" style="13" customWidth="1"/>
    <col min="7432" max="7432" width="14" style="13" customWidth="1"/>
    <col min="7433" max="7433" width="13.1796875" style="13" customWidth="1"/>
    <col min="7434" max="7434" width="12.81640625" style="13" customWidth="1"/>
    <col min="7435" max="7435" width="12.1796875" style="13" customWidth="1"/>
    <col min="7436" max="7437" width="0" style="13" hidden="1" customWidth="1"/>
    <col min="7438" max="7438" width="11.81640625" style="13" customWidth="1"/>
    <col min="7439" max="7439" width="14.26953125" style="13" customWidth="1"/>
    <col min="7440" max="7440" width="12.26953125" style="13" customWidth="1"/>
    <col min="7441" max="7441" width="13.81640625" style="13" customWidth="1"/>
    <col min="7442" max="7442" width="15" style="13" customWidth="1"/>
    <col min="7443" max="7681" width="9.1796875" style="13"/>
    <col min="7682" max="7682" width="12.26953125" style="13" customWidth="1"/>
    <col min="7683" max="7683" width="13.54296875" style="13" customWidth="1"/>
    <col min="7684" max="7684" width="12.54296875" style="13" customWidth="1"/>
    <col min="7685" max="7685" width="13" style="13" customWidth="1"/>
    <col min="7686" max="7687" width="12.81640625" style="13" customWidth="1"/>
    <col min="7688" max="7688" width="14" style="13" customWidth="1"/>
    <col min="7689" max="7689" width="13.1796875" style="13" customWidth="1"/>
    <col min="7690" max="7690" width="12.81640625" style="13" customWidth="1"/>
    <col min="7691" max="7691" width="12.1796875" style="13" customWidth="1"/>
    <col min="7692" max="7693" width="0" style="13" hidden="1" customWidth="1"/>
    <col min="7694" max="7694" width="11.81640625" style="13" customWidth="1"/>
    <col min="7695" max="7695" width="14.26953125" style="13" customWidth="1"/>
    <col min="7696" max="7696" width="12.26953125" style="13" customWidth="1"/>
    <col min="7697" max="7697" width="13.81640625" style="13" customWidth="1"/>
    <col min="7698" max="7698" width="15" style="13" customWidth="1"/>
    <col min="7699" max="7937" width="9.1796875" style="13"/>
    <col min="7938" max="7938" width="12.26953125" style="13" customWidth="1"/>
    <col min="7939" max="7939" width="13.54296875" style="13" customWidth="1"/>
    <col min="7940" max="7940" width="12.54296875" style="13" customWidth="1"/>
    <col min="7941" max="7941" width="13" style="13" customWidth="1"/>
    <col min="7942" max="7943" width="12.81640625" style="13" customWidth="1"/>
    <col min="7944" max="7944" width="14" style="13" customWidth="1"/>
    <col min="7945" max="7945" width="13.1796875" style="13" customWidth="1"/>
    <col min="7946" max="7946" width="12.81640625" style="13" customWidth="1"/>
    <col min="7947" max="7947" width="12.1796875" style="13" customWidth="1"/>
    <col min="7948" max="7949" width="0" style="13" hidden="1" customWidth="1"/>
    <col min="7950" max="7950" width="11.81640625" style="13" customWidth="1"/>
    <col min="7951" max="7951" width="14.26953125" style="13" customWidth="1"/>
    <col min="7952" max="7952" width="12.26953125" style="13" customWidth="1"/>
    <col min="7953" max="7953" width="13.81640625" style="13" customWidth="1"/>
    <col min="7954" max="7954" width="15" style="13" customWidth="1"/>
    <col min="7955" max="8193" width="9.1796875" style="13"/>
    <col min="8194" max="8194" width="12.26953125" style="13" customWidth="1"/>
    <col min="8195" max="8195" width="13.54296875" style="13" customWidth="1"/>
    <col min="8196" max="8196" width="12.54296875" style="13" customWidth="1"/>
    <col min="8197" max="8197" width="13" style="13" customWidth="1"/>
    <col min="8198" max="8199" width="12.81640625" style="13" customWidth="1"/>
    <col min="8200" max="8200" width="14" style="13" customWidth="1"/>
    <col min="8201" max="8201" width="13.1796875" style="13" customWidth="1"/>
    <col min="8202" max="8202" width="12.81640625" style="13" customWidth="1"/>
    <col min="8203" max="8203" width="12.1796875" style="13" customWidth="1"/>
    <col min="8204" max="8205" width="0" style="13" hidden="1" customWidth="1"/>
    <col min="8206" max="8206" width="11.81640625" style="13" customWidth="1"/>
    <col min="8207" max="8207" width="14.26953125" style="13" customWidth="1"/>
    <col min="8208" max="8208" width="12.26953125" style="13" customWidth="1"/>
    <col min="8209" max="8209" width="13.81640625" style="13" customWidth="1"/>
    <col min="8210" max="8210" width="15" style="13" customWidth="1"/>
    <col min="8211" max="8449" width="9.1796875" style="13"/>
    <col min="8450" max="8450" width="12.26953125" style="13" customWidth="1"/>
    <col min="8451" max="8451" width="13.54296875" style="13" customWidth="1"/>
    <col min="8452" max="8452" width="12.54296875" style="13" customWidth="1"/>
    <col min="8453" max="8453" width="13" style="13" customWidth="1"/>
    <col min="8454" max="8455" width="12.81640625" style="13" customWidth="1"/>
    <col min="8456" max="8456" width="14" style="13" customWidth="1"/>
    <col min="8457" max="8457" width="13.1796875" style="13" customWidth="1"/>
    <col min="8458" max="8458" width="12.81640625" style="13" customWidth="1"/>
    <col min="8459" max="8459" width="12.1796875" style="13" customWidth="1"/>
    <col min="8460" max="8461" width="0" style="13" hidden="1" customWidth="1"/>
    <col min="8462" max="8462" width="11.81640625" style="13" customWidth="1"/>
    <col min="8463" max="8463" width="14.26953125" style="13" customWidth="1"/>
    <col min="8464" max="8464" width="12.26953125" style="13" customWidth="1"/>
    <col min="8465" max="8465" width="13.81640625" style="13" customWidth="1"/>
    <col min="8466" max="8466" width="15" style="13" customWidth="1"/>
    <col min="8467" max="8705" width="9.1796875" style="13"/>
    <col min="8706" max="8706" width="12.26953125" style="13" customWidth="1"/>
    <col min="8707" max="8707" width="13.54296875" style="13" customWidth="1"/>
    <col min="8708" max="8708" width="12.54296875" style="13" customWidth="1"/>
    <col min="8709" max="8709" width="13" style="13" customWidth="1"/>
    <col min="8710" max="8711" width="12.81640625" style="13" customWidth="1"/>
    <col min="8712" max="8712" width="14" style="13" customWidth="1"/>
    <col min="8713" max="8713" width="13.1796875" style="13" customWidth="1"/>
    <col min="8714" max="8714" width="12.81640625" style="13" customWidth="1"/>
    <col min="8715" max="8715" width="12.1796875" style="13" customWidth="1"/>
    <col min="8716" max="8717" width="0" style="13" hidden="1" customWidth="1"/>
    <col min="8718" max="8718" width="11.81640625" style="13" customWidth="1"/>
    <col min="8719" max="8719" width="14.26953125" style="13" customWidth="1"/>
    <col min="8720" max="8720" width="12.26953125" style="13" customWidth="1"/>
    <col min="8721" max="8721" width="13.81640625" style="13" customWidth="1"/>
    <col min="8722" max="8722" width="15" style="13" customWidth="1"/>
    <col min="8723" max="8961" width="9.1796875" style="13"/>
    <col min="8962" max="8962" width="12.26953125" style="13" customWidth="1"/>
    <col min="8963" max="8963" width="13.54296875" style="13" customWidth="1"/>
    <col min="8964" max="8964" width="12.54296875" style="13" customWidth="1"/>
    <col min="8965" max="8965" width="13" style="13" customWidth="1"/>
    <col min="8966" max="8967" width="12.81640625" style="13" customWidth="1"/>
    <col min="8968" max="8968" width="14" style="13" customWidth="1"/>
    <col min="8969" max="8969" width="13.1796875" style="13" customWidth="1"/>
    <col min="8970" max="8970" width="12.81640625" style="13" customWidth="1"/>
    <col min="8971" max="8971" width="12.1796875" style="13" customWidth="1"/>
    <col min="8972" max="8973" width="0" style="13" hidden="1" customWidth="1"/>
    <col min="8974" max="8974" width="11.81640625" style="13" customWidth="1"/>
    <col min="8975" max="8975" width="14.26953125" style="13" customWidth="1"/>
    <col min="8976" max="8976" width="12.26953125" style="13" customWidth="1"/>
    <col min="8977" max="8977" width="13.81640625" style="13" customWidth="1"/>
    <col min="8978" max="8978" width="15" style="13" customWidth="1"/>
    <col min="8979" max="9217" width="9.1796875" style="13"/>
    <col min="9218" max="9218" width="12.26953125" style="13" customWidth="1"/>
    <col min="9219" max="9219" width="13.54296875" style="13" customWidth="1"/>
    <col min="9220" max="9220" width="12.54296875" style="13" customWidth="1"/>
    <col min="9221" max="9221" width="13" style="13" customWidth="1"/>
    <col min="9222" max="9223" width="12.81640625" style="13" customWidth="1"/>
    <col min="9224" max="9224" width="14" style="13" customWidth="1"/>
    <col min="9225" max="9225" width="13.1796875" style="13" customWidth="1"/>
    <col min="9226" max="9226" width="12.81640625" style="13" customWidth="1"/>
    <col min="9227" max="9227" width="12.1796875" style="13" customWidth="1"/>
    <col min="9228" max="9229" width="0" style="13" hidden="1" customWidth="1"/>
    <col min="9230" max="9230" width="11.81640625" style="13" customWidth="1"/>
    <col min="9231" max="9231" width="14.26953125" style="13" customWidth="1"/>
    <col min="9232" max="9232" width="12.26953125" style="13" customWidth="1"/>
    <col min="9233" max="9233" width="13.81640625" style="13" customWidth="1"/>
    <col min="9234" max="9234" width="15" style="13" customWidth="1"/>
    <col min="9235" max="9473" width="9.1796875" style="13"/>
    <col min="9474" max="9474" width="12.26953125" style="13" customWidth="1"/>
    <col min="9475" max="9475" width="13.54296875" style="13" customWidth="1"/>
    <col min="9476" max="9476" width="12.54296875" style="13" customWidth="1"/>
    <col min="9477" max="9477" width="13" style="13" customWidth="1"/>
    <col min="9478" max="9479" width="12.81640625" style="13" customWidth="1"/>
    <col min="9480" max="9480" width="14" style="13" customWidth="1"/>
    <col min="9481" max="9481" width="13.1796875" style="13" customWidth="1"/>
    <col min="9482" max="9482" width="12.81640625" style="13" customWidth="1"/>
    <col min="9483" max="9483" width="12.1796875" style="13" customWidth="1"/>
    <col min="9484" max="9485" width="0" style="13" hidden="1" customWidth="1"/>
    <col min="9486" max="9486" width="11.81640625" style="13" customWidth="1"/>
    <col min="9487" max="9487" width="14.26953125" style="13" customWidth="1"/>
    <col min="9488" max="9488" width="12.26953125" style="13" customWidth="1"/>
    <col min="9489" max="9489" width="13.81640625" style="13" customWidth="1"/>
    <col min="9490" max="9490" width="15" style="13" customWidth="1"/>
    <col min="9491" max="9729" width="9.1796875" style="13"/>
    <col min="9730" max="9730" width="12.26953125" style="13" customWidth="1"/>
    <col min="9731" max="9731" width="13.54296875" style="13" customWidth="1"/>
    <col min="9732" max="9732" width="12.54296875" style="13" customWidth="1"/>
    <col min="9733" max="9733" width="13" style="13" customWidth="1"/>
    <col min="9734" max="9735" width="12.81640625" style="13" customWidth="1"/>
    <col min="9736" max="9736" width="14" style="13" customWidth="1"/>
    <col min="9737" max="9737" width="13.1796875" style="13" customWidth="1"/>
    <col min="9738" max="9738" width="12.81640625" style="13" customWidth="1"/>
    <col min="9739" max="9739" width="12.1796875" style="13" customWidth="1"/>
    <col min="9740" max="9741" width="0" style="13" hidden="1" customWidth="1"/>
    <col min="9742" max="9742" width="11.81640625" style="13" customWidth="1"/>
    <col min="9743" max="9743" width="14.26953125" style="13" customWidth="1"/>
    <col min="9744" max="9744" width="12.26953125" style="13" customWidth="1"/>
    <col min="9745" max="9745" width="13.81640625" style="13" customWidth="1"/>
    <col min="9746" max="9746" width="15" style="13" customWidth="1"/>
    <col min="9747" max="9985" width="9.1796875" style="13"/>
    <col min="9986" max="9986" width="12.26953125" style="13" customWidth="1"/>
    <col min="9987" max="9987" width="13.54296875" style="13" customWidth="1"/>
    <col min="9988" max="9988" width="12.54296875" style="13" customWidth="1"/>
    <col min="9989" max="9989" width="13" style="13" customWidth="1"/>
    <col min="9990" max="9991" width="12.81640625" style="13" customWidth="1"/>
    <col min="9992" max="9992" width="14" style="13" customWidth="1"/>
    <col min="9993" max="9993" width="13.1796875" style="13" customWidth="1"/>
    <col min="9994" max="9994" width="12.81640625" style="13" customWidth="1"/>
    <col min="9995" max="9995" width="12.1796875" style="13" customWidth="1"/>
    <col min="9996" max="9997" width="0" style="13" hidden="1" customWidth="1"/>
    <col min="9998" max="9998" width="11.81640625" style="13" customWidth="1"/>
    <col min="9999" max="9999" width="14.26953125" style="13" customWidth="1"/>
    <col min="10000" max="10000" width="12.26953125" style="13" customWidth="1"/>
    <col min="10001" max="10001" width="13.81640625" style="13" customWidth="1"/>
    <col min="10002" max="10002" width="15" style="13" customWidth="1"/>
    <col min="10003" max="10241" width="9.1796875" style="13"/>
    <col min="10242" max="10242" width="12.26953125" style="13" customWidth="1"/>
    <col min="10243" max="10243" width="13.54296875" style="13" customWidth="1"/>
    <col min="10244" max="10244" width="12.54296875" style="13" customWidth="1"/>
    <col min="10245" max="10245" width="13" style="13" customWidth="1"/>
    <col min="10246" max="10247" width="12.81640625" style="13" customWidth="1"/>
    <col min="10248" max="10248" width="14" style="13" customWidth="1"/>
    <col min="10249" max="10249" width="13.1796875" style="13" customWidth="1"/>
    <col min="10250" max="10250" width="12.81640625" style="13" customWidth="1"/>
    <col min="10251" max="10251" width="12.1796875" style="13" customWidth="1"/>
    <col min="10252" max="10253" width="0" style="13" hidden="1" customWidth="1"/>
    <col min="10254" max="10254" width="11.81640625" style="13" customWidth="1"/>
    <col min="10255" max="10255" width="14.26953125" style="13" customWidth="1"/>
    <col min="10256" max="10256" width="12.26953125" style="13" customWidth="1"/>
    <col min="10257" max="10257" width="13.81640625" style="13" customWidth="1"/>
    <col min="10258" max="10258" width="15" style="13" customWidth="1"/>
    <col min="10259" max="10497" width="9.1796875" style="13"/>
    <col min="10498" max="10498" width="12.26953125" style="13" customWidth="1"/>
    <col min="10499" max="10499" width="13.54296875" style="13" customWidth="1"/>
    <col min="10500" max="10500" width="12.54296875" style="13" customWidth="1"/>
    <col min="10501" max="10501" width="13" style="13" customWidth="1"/>
    <col min="10502" max="10503" width="12.81640625" style="13" customWidth="1"/>
    <col min="10504" max="10504" width="14" style="13" customWidth="1"/>
    <col min="10505" max="10505" width="13.1796875" style="13" customWidth="1"/>
    <col min="10506" max="10506" width="12.81640625" style="13" customWidth="1"/>
    <col min="10507" max="10507" width="12.1796875" style="13" customWidth="1"/>
    <col min="10508" max="10509" width="0" style="13" hidden="1" customWidth="1"/>
    <col min="10510" max="10510" width="11.81640625" style="13" customWidth="1"/>
    <col min="10511" max="10511" width="14.26953125" style="13" customWidth="1"/>
    <col min="10512" max="10512" width="12.26953125" style="13" customWidth="1"/>
    <col min="10513" max="10513" width="13.81640625" style="13" customWidth="1"/>
    <col min="10514" max="10514" width="15" style="13" customWidth="1"/>
    <col min="10515" max="10753" width="9.1796875" style="13"/>
    <col min="10754" max="10754" width="12.26953125" style="13" customWidth="1"/>
    <col min="10755" max="10755" width="13.54296875" style="13" customWidth="1"/>
    <col min="10756" max="10756" width="12.54296875" style="13" customWidth="1"/>
    <col min="10757" max="10757" width="13" style="13" customWidth="1"/>
    <col min="10758" max="10759" width="12.81640625" style="13" customWidth="1"/>
    <col min="10760" max="10760" width="14" style="13" customWidth="1"/>
    <col min="10761" max="10761" width="13.1796875" style="13" customWidth="1"/>
    <col min="10762" max="10762" width="12.81640625" style="13" customWidth="1"/>
    <col min="10763" max="10763" width="12.1796875" style="13" customWidth="1"/>
    <col min="10764" max="10765" width="0" style="13" hidden="1" customWidth="1"/>
    <col min="10766" max="10766" width="11.81640625" style="13" customWidth="1"/>
    <col min="10767" max="10767" width="14.26953125" style="13" customWidth="1"/>
    <col min="10768" max="10768" width="12.26953125" style="13" customWidth="1"/>
    <col min="10769" max="10769" width="13.81640625" style="13" customWidth="1"/>
    <col min="10770" max="10770" width="15" style="13" customWidth="1"/>
    <col min="10771" max="11009" width="9.1796875" style="13"/>
    <col min="11010" max="11010" width="12.26953125" style="13" customWidth="1"/>
    <col min="11011" max="11011" width="13.54296875" style="13" customWidth="1"/>
    <col min="11012" max="11012" width="12.54296875" style="13" customWidth="1"/>
    <col min="11013" max="11013" width="13" style="13" customWidth="1"/>
    <col min="11014" max="11015" width="12.81640625" style="13" customWidth="1"/>
    <col min="11016" max="11016" width="14" style="13" customWidth="1"/>
    <col min="11017" max="11017" width="13.1796875" style="13" customWidth="1"/>
    <col min="11018" max="11018" width="12.81640625" style="13" customWidth="1"/>
    <col min="11019" max="11019" width="12.1796875" style="13" customWidth="1"/>
    <col min="11020" max="11021" width="0" style="13" hidden="1" customWidth="1"/>
    <col min="11022" max="11022" width="11.81640625" style="13" customWidth="1"/>
    <col min="11023" max="11023" width="14.26953125" style="13" customWidth="1"/>
    <col min="11024" max="11024" width="12.26953125" style="13" customWidth="1"/>
    <col min="11025" max="11025" width="13.81640625" style="13" customWidth="1"/>
    <col min="11026" max="11026" width="15" style="13" customWidth="1"/>
    <col min="11027" max="11265" width="9.1796875" style="13"/>
    <col min="11266" max="11266" width="12.26953125" style="13" customWidth="1"/>
    <col min="11267" max="11267" width="13.54296875" style="13" customWidth="1"/>
    <col min="11268" max="11268" width="12.54296875" style="13" customWidth="1"/>
    <col min="11269" max="11269" width="13" style="13" customWidth="1"/>
    <col min="11270" max="11271" width="12.81640625" style="13" customWidth="1"/>
    <col min="11272" max="11272" width="14" style="13" customWidth="1"/>
    <col min="11273" max="11273" width="13.1796875" style="13" customWidth="1"/>
    <col min="11274" max="11274" width="12.81640625" style="13" customWidth="1"/>
    <col min="11275" max="11275" width="12.1796875" style="13" customWidth="1"/>
    <col min="11276" max="11277" width="0" style="13" hidden="1" customWidth="1"/>
    <col min="11278" max="11278" width="11.81640625" style="13" customWidth="1"/>
    <col min="11279" max="11279" width="14.26953125" style="13" customWidth="1"/>
    <col min="11280" max="11280" width="12.26953125" style="13" customWidth="1"/>
    <col min="11281" max="11281" width="13.81640625" style="13" customWidth="1"/>
    <col min="11282" max="11282" width="15" style="13" customWidth="1"/>
    <col min="11283" max="11521" width="9.1796875" style="13"/>
    <col min="11522" max="11522" width="12.26953125" style="13" customWidth="1"/>
    <col min="11523" max="11523" width="13.54296875" style="13" customWidth="1"/>
    <col min="11524" max="11524" width="12.54296875" style="13" customWidth="1"/>
    <col min="11525" max="11525" width="13" style="13" customWidth="1"/>
    <col min="11526" max="11527" width="12.81640625" style="13" customWidth="1"/>
    <col min="11528" max="11528" width="14" style="13" customWidth="1"/>
    <col min="11529" max="11529" width="13.1796875" style="13" customWidth="1"/>
    <col min="11530" max="11530" width="12.81640625" style="13" customWidth="1"/>
    <col min="11531" max="11531" width="12.1796875" style="13" customWidth="1"/>
    <col min="11532" max="11533" width="0" style="13" hidden="1" customWidth="1"/>
    <col min="11534" max="11534" width="11.81640625" style="13" customWidth="1"/>
    <col min="11535" max="11535" width="14.26953125" style="13" customWidth="1"/>
    <col min="11536" max="11536" width="12.26953125" style="13" customWidth="1"/>
    <col min="11537" max="11537" width="13.81640625" style="13" customWidth="1"/>
    <col min="11538" max="11538" width="15" style="13" customWidth="1"/>
    <col min="11539" max="11777" width="9.1796875" style="13"/>
    <col min="11778" max="11778" width="12.26953125" style="13" customWidth="1"/>
    <col min="11779" max="11779" width="13.54296875" style="13" customWidth="1"/>
    <col min="11780" max="11780" width="12.54296875" style="13" customWidth="1"/>
    <col min="11781" max="11781" width="13" style="13" customWidth="1"/>
    <col min="11782" max="11783" width="12.81640625" style="13" customWidth="1"/>
    <col min="11784" max="11784" width="14" style="13" customWidth="1"/>
    <col min="11785" max="11785" width="13.1796875" style="13" customWidth="1"/>
    <col min="11786" max="11786" width="12.81640625" style="13" customWidth="1"/>
    <col min="11787" max="11787" width="12.1796875" style="13" customWidth="1"/>
    <col min="11788" max="11789" width="0" style="13" hidden="1" customWidth="1"/>
    <col min="11790" max="11790" width="11.81640625" style="13" customWidth="1"/>
    <col min="11791" max="11791" width="14.26953125" style="13" customWidth="1"/>
    <col min="11792" max="11792" width="12.26953125" style="13" customWidth="1"/>
    <col min="11793" max="11793" width="13.81640625" style="13" customWidth="1"/>
    <col min="11794" max="11794" width="15" style="13" customWidth="1"/>
    <col min="11795" max="12033" width="9.1796875" style="13"/>
    <col min="12034" max="12034" width="12.26953125" style="13" customWidth="1"/>
    <col min="12035" max="12035" width="13.54296875" style="13" customWidth="1"/>
    <col min="12036" max="12036" width="12.54296875" style="13" customWidth="1"/>
    <col min="12037" max="12037" width="13" style="13" customWidth="1"/>
    <col min="12038" max="12039" width="12.81640625" style="13" customWidth="1"/>
    <col min="12040" max="12040" width="14" style="13" customWidth="1"/>
    <col min="12041" max="12041" width="13.1796875" style="13" customWidth="1"/>
    <col min="12042" max="12042" width="12.81640625" style="13" customWidth="1"/>
    <col min="12043" max="12043" width="12.1796875" style="13" customWidth="1"/>
    <col min="12044" max="12045" width="0" style="13" hidden="1" customWidth="1"/>
    <col min="12046" max="12046" width="11.81640625" style="13" customWidth="1"/>
    <col min="12047" max="12047" width="14.26953125" style="13" customWidth="1"/>
    <col min="12048" max="12048" width="12.26953125" style="13" customWidth="1"/>
    <col min="12049" max="12049" width="13.81640625" style="13" customWidth="1"/>
    <col min="12050" max="12050" width="15" style="13" customWidth="1"/>
    <col min="12051" max="12289" width="9.1796875" style="13"/>
    <col min="12290" max="12290" width="12.26953125" style="13" customWidth="1"/>
    <col min="12291" max="12291" width="13.54296875" style="13" customWidth="1"/>
    <col min="12292" max="12292" width="12.54296875" style="13" customWidth="1"/>
    <col min="12293" max="12293" width="13" style="13" customWidth="1"/>
    <col min="12294" max="12295" width="12.81640625" style="13" customWidth="1"/>
    <col min="12296" max="12296" width="14" style="13" customWidth="1"/>
    <col min="12297" max="12297" width="13.1796875" style="13" customWidth="1"/>
    <col min="12298" max="12298" width="12.81640625" style="13" customWidth="1"/>
    <col min="12299" max="12299" width="12.1796875" style="13" customWidth="1"/>
    <col min="12300" max="12301" width="0" style="13" hidden="1" customWidth="1"/>
    <col min="12302" max="12302" width="11.81640625" style="13" customWidth="1"/>
    <col min="12303" max="12303" width="14.26953125" style="13" customWidth="1"/>
    <col min="12304" max="12304" width="12.26953125" style="13" customWidth="1"/>
    <col min="12305" max="12305" width="13.81640625" style="13" customWidth="1"/>
    <col min="12306" max="12306" width="15" style="13" customWidth="1"/>
    <col min="12307" max="12545" width="9.1796875" style="13"/>
    <col min="12546" max="12546" width="12.26953125" style="13" customWidth="1"/>
    <col min="12547" max="12547" width="13.54296875" style="13" customWidth="1"/>
    <col min="12548" max="12548" width="12.54296875" style="13" customWidth="1"/>
    <col min="12549" max="12549" width="13" style="13" customWidth="1"/>
    <col min="12550" max="12551" width="12.81640625" style="13" customWidth="1"/>
    <col min="12552" max="12552" width="14" style="13" customWidth="1"/>
    <col min="12553" max="12553" width="13.1796875" style="13" customWidth="1"/>
    <col min="12554" max="12554" width="12.81640625" style="13" customWidth="1"/>
    <col min="12555" max="12555" width="12.1796875" style="13" customWidth="1"/>
    <col min="12556" max="12557" width="0" style="13" hidden="1" customWidth="1"/>
    <col min="12558" max="12558" width="11.81640625" style="13" customWidth="1"/>
    <col min="12559" max="12559" width="14.26953125" style="13" customWidth="1"/>
    <col min="12560" max="12560" width="12.26953125" style="13" customWidth="1"/>
    <col min="12561" max="12561" width="13.81640625" style="13" customWidth="1"/>
    <col min="12562" max="12562" width="15" style="13" customWidth="1"/>
    <col min="12563" max="12801" width="9.1796875" style="13"/>
    <col min="12802" max="12802" width="12.26953125" style="13" customWidth="1"/>
    <col min="12803" max="12803" width="13.54296875" style="13" customWidth="1"/>
    <col min="12804" max="12804" width="12.54296875" style="13" customWidth="1"/>
    <col min="12805" max="12805" width="13" style="13" customWidth="1"/>
    <col min="12806" max="12807" width="12.81640625" style="13" customWidth="1"/>
    <col min="12808" max="12808" width="14" style="13" customWidth="1"/>
    <col min="12809" max="12809" width="13.1796875" style="13" customWidth="1"/>
    <col min="12810" max="12810" width="12.81640625" style="13" customWidth="1"/>
    <col min="12811" max="12811" width="12.1796875" style="13" customWidth="1"/>
    <col min="12812" max="12813" width="0" style="13" hidden="1" customWidth="1"/>
    <col min="12814" max="12814" width="11.81640625" style="13" customWidth="1"/>
    <col min="12815" max="12815" width="14.26953125" style="13" customWidth="1"/>
    <col min="12816" max="12816" width="12.26953125" style="13" customWidth="1"/>
    <col min="12817" max="12817" width="13.81640625" style="13" customWidth="1"/>
    <col min="12818" max="12818" width="15" style="13" customWidth="1"/>
    <col min="12819" max="13057" width="9.1796875" style="13"/>
    <col min="13058" max="13058" width="12.26953125" style="13" customWidth="1"/>
    <col min="13059" max="13059" width="13.54296875" style="13" customWidth="1"/>
    <col min="13060" max="13060" width="12.54296875" style="13" customWidth="1"/>
    <col min="13061" max="13061" width="13" style="13" customWidth="1"/>
    <col min="13062" max="13063" width="12.81640625" style="13" customWidth="1"/>
    <col min="13064" max="13064" width="14" style="13" customWidth="1"/>
    <col min="13065" max="13065" width="13.1796875" style="13" customWidth="1"/>
    <col min="13066" max="13066" width="12.81640625" style="13" customWidth="1"/>
    <col min="13067" max="13067" width="12.1796875" style="13" customWidth="1"/>
    <col min="13068" max="13069" width="0" style="13" hidden="1" customWidth="1"/>
    <col min="13070" max="13070" width="11.81640625" style="13" customWidth="1"/>
    <col min="13071" max="13071" width="14.26953125" style="13" customWidth="1"/>
    <col min="13072" max="13072" width="12.26953125" style="13" customWidth="1"/>
    <col min="13073" max="13073" width="13.81640625" style="13" customWidth="1"/>
    <col min="13074" max="13074" width="15" style="13" customWidth="1"/>
    <col min="13075" max="13313" width="9.1796875" style="13"/>
    <col min="13314" max="13314" width="12.26953125" style="13" customWidth="1"/>
    <col min="13315" max="13315" width="13.54296875" style="13" customWidth="1"/>
    <col min="13316" max="13316" width="12.54296875" style="13" customWidth="1"/>
    <col min="13317" max="13317" width="13" style="13" customWidth="1"/>
    <col min="13318" max="13319" width="12.81640625" style="13" customWidth="1"/>
    <col min="13320" max="13320" width="14" style="13" customWidth="1"/>
    <col min="13321" max="13321" width="13.1796875" style="13" customWidth="1"/>
    <col min="13322" max="13322" width="12.81640625" style="13" customWidth="1"/>
    <col min="13323" max="13323" width="12.1796875" style="13" customWidth="1"/>
    <col min="13324" max="13325" width="0" style="13" hidden="1" customWidth="1"/>
    <col min="13326" max="13326" width="11.81640625" style="13" customWidth="1"/>
    <col min="13327" max="13327" width="14.26953125" style="13" customWidth="1"/>
    <col min="13328" max="13328" width="12.26953125" style="13" customWidth="1"/>
    <col min="13329" max="13329" width="13.81640625" style="13" customWidth="1"/>
    <col min="13330" max="13330" width="15" style="13" customWidth="1"/>
    <col min="13331" max="13569" width="9.1796875" style="13"/>
    <col min="13570" max="13570" width="12.26953125" style="13" customWidth="1"/>
    <col min="13571" max="13571" width="13.54296875" style="13" customWidth="1"/>
    <col min="13572" max="13572" width="12.54296875" style="13" customWidth="1"/>
    <col min="13573" max="13573" width="13" style="13" customWidth="1"/>
    <col min="13574" max="13575" width="12.81640625" style="13" customWidth="1"/>
    <col min="13576" max="13576" width="14" style="13" customWidth="1"/>
    <col min="13577" max="13577" width="13.1796875" style="13" customWidth="1"/>
    <col min="13578" max="13578" width="12.81640625" style="13" customWidth="1"/>
    <col min="13579" max="13579" width="12.1796875" style="13" customWidth="1"/>
    <col min="13580" max="13581" width="0" style="13" hidden="1" customWidth="1"/>
    <col min="13582" max="13582" width="11.81640625" style="13" customWidth="1"/>
    <col min="13583" max="13583" width="14.26953125" style="13" customWidth="1"/>
    <col min="13584" max="13584" width="12.26953125" style="13" customWidth="1"/>
    <col min="13585" max="13585" width="13.81640625" style="13" customWidth="1"/>
    <col min="13586" max="13586" width="15" style="13" customWidth="1"/>
    <col min="13587" max="13825" width="9.1796875" style="13"/>
    <col min="13826" max="13826" width="12.26953125" style="13" customWidth="1"/>
    <col min="13827" max="13827" width="13.54296875" style="13" customWidth="1"/>
    <col min="13828" max="13828" width="12.54296875" style="13" customWidth="1"/>
    <col min="13829" max="13829" width="13" style="13" customWidth="1"/>
    <col min="13830" max="13831" width="12.81640625" style="13" customWidth="1"/>
    <col min="13832" max="13832" width="14" style="13" customWidth="1"/>
    <col min="13833" max="13833" width="13.1796875" style="13" customWidth="1"/>
    <col min="13834" max="13834" width="12.81640625" style="13" customWidth="1"/>
    <col min="13835" max="13835" width="12.1796875" style="13" customWidth="1"/>
    <col min="13836" max="13837" width="0" style="13" hidden="1" customWidth="1"/>
    <col min="13838" max="13838" width="11.81640625" style="13" customWidth="1"/>
    <col min="13839" max="13839" width="14.26953125" style="13" customWidth="1"/>
    <col min="13840" max="13840" width="12.26953125" style="13" customWidth="1"/>
    <col min="13841" max="13841" width="13.81640625" style="13" customWidth="1"/>
    <col min="13842" max="13842" width="15" style="13" customWidth="1"/>
    <col min="13843" max="14081" width="9.1796875" style="13"/>
    <col min="14082" max="14082" width="12.26953125" style="13" customWidth="1"/>
    <col min="14083" max="14083" width="13.54296875" style="13" customWidth="1"/>
    <col min="14084" max="14084" width="12.54296875" style="13" customWidth="1"/>
    <col min="14085" max="14085" width="13" style="13" customWidth="1"/>
    <col min="14086" max="14087" width="12.81640625" style="13" customWidth="1"/>
    <col min="14088" max="14088" width="14" style="13" customWidth="1"/>
    <col min="14089" max="14089" width="13.1796875" style="13" customWidth="1"/>
    <col min="14090" max="14090" width="12.81640625" style="13" customWidth="1"/>
    <col min="14091" max="14091" width="12.1796875" style="13" customWidth="1"/>
    <col min="14092" max="14093" width="0" style="13" hidden="1" customWidth="1"/>
    <col min="14094" max="14094" width="11.81640625" style="13" customWidth="1"/>
    <col min="14095" max="14095" width="14.26953125" style="13" customWidth="1"/>
    <col min="14096" max="14096" width="12.26953125" style="13" customWidth="1"/>
    <col min="14097" max="14097" width="13.81640625" style="13" customWidth="1"/>
    <col min="14098" max="14098" width="15" style="13" customWidth="1"/>
    <col min="14099" max="14337" width="9.1796875" style="13"/>
    <col min="14338" max="14338" width="12.26953125" style="13" customWidth="1"/>
    <col min="14339" max="14339" width="13.54296875" style="13" customWidth="1"/>
    <col min="14340" max="14340" width="12.54296875" style="13" customWidth="1"/>
    <col min="14341" max="14341" width="13" style="13" customWidth="1"/>
    <col min="14342" max="14343" width="12.81640625" style="13" customWidth="1"/>
    <col min="14344" max="14344" width="14" style="13" customWidth="1"/>
    <col min="14345" max="14345" width="13.1796875" style="13" customWidth="1"/>
    <col min="14346" max="14346" width="12.81640625" style="13" customWidth="1"/>
    <col min="14347" max="14347" width="12.1796875" style="13" customWidth="1"/>
    <col min="14348" max="14349" width="0" style="13" hidden="1" customWidth="1"/>
    <col min="14350" max="14350" width="11.81640625" style="13" customWidth="1"/>
    <col min="14351" max="14351" width="14.26953125" style="13" customWidth="1"/>
    <col min="14352" max="14352" width="12.26953125" style="13" customWidth="1"/>
    <col min="14353" max="14353" width="13.81640625" style="13" customWidth="1"/>
    <col min="14354" max="14354" width="15" style="13" customWidth="1"/>
    <col min="14355" max="14593" width="9.1796875" style="13"/>
    <col min="14594" max="14594" width="12.26953125" style="13" customWidth="1"/>
    <col min="14595" max="14595" width="13.54296875" style="13" customWidth="1"/>
    <col min="14596" max="14596" width="12.54296875" style="13" customWidth="1"/>
    <col min="14597" max="14597" width="13" style="13" customWidth="1"/>
    <col min="14598" max="14599" width="12.81640625" style="13" customWidth="1"/>
    <col min="14600" max="14600" width="14" style="13" customWidth="1"/>
    <col min="14601" max="14601" width="13.1796875" style="13" customWidth="1"/>
    <col min="14602" max="14602" width="12.81640625" style="13" customWidth="1"/>
    <col min="14603" max="14603" width="12.1796875" style="13" customWidth="1"/>
    <col min="14604" max="14605" width="0" style="13" hidden="1" customWidth="1"/>
    <col min="14606" max="14606" width="11.81640625" style="13" customWidth="1"/>
    <col min="14607" max="14607" width="14.26953125" style="13" customWidth="1"/>
    <col min="14608" max="14608" width="12.26953125" style="13" customWidth="1"/>
    <col min="14609" max="14609" width="13.81640625" style="13" customWidth="1"/>
    <col min="14610" max="14610" width="15" style="13" customWidth="1"/>
    <col min="14611" max="14849" width="9.1796875" style="13"/>
    <col min="14850" max="14850" width="12.26953125" style="13" customWidth="1"/>
    <col min="14851" max="14851" width="13.54296875" style="13" customWidth="1"/>
    <col min="14852" max="14852" width="12.54296875" style="13" customWidth="1"/>
    <col min="14853" max="14853" width="13" style="13" customWidth="1"/>
    <col min="14854" max="14855" width="12.81640625" style="13" customWidth="1"/>
    <col min="14856" max="14856" width="14" style="13" customWidth="1"/>
    <col min="14857" max="14857" width="13.1796875" style="13" customWidth="1"/>
    <col min="14858" max="14858" width="12.81640625" style="13" customWidth="1"/>
    <col min="14859" max="14859" width="12.1796875" style="13" customWidth="1"/>
    <col min="14860" max="14861" width="0" style="13" hidden="1" customWidth="1"/>
    <col min="14862" max="14862" width="11.81640625" style="13" customWidth="1"/>
    <col min="14863" max="14863" width="14.26953125" style="13" customWidth="1"/>
    <col min="14864" max="14864" width="12.26953125" style="13" customWidth="1"/>
    <col min="14865" max="14865" width="13.81640625" style="13" customWidth="1"/>
    <col min="14866" max="14866" width="15" style="13" customWidth="1"/>
    <col min="14867" max="15105" width="9.1796875" style="13"/>
    <col min="15106" max="15106" width="12.26953125" style="13" customWidth="1"/>
    <col min="15107" max="15107" width="13.54296875" style="13" customWidth="1"/>
    <col min="15108" max="15108" width="12.54296875" style="13" customWidth="1"/>
    <col min="15109" max="15109" width="13" style="13" customWidth="1"/>
    <col min="15110" max="15111" width="12.81640625" style="13" customWidth="1"/>
    <col min="15112" max="15112" width="14" style="13" customWidth="1"/>
    <col min="15113" max="15113" width="13.1796875" style="13" customWidth="1"/>
    <col min="15114" max="15114" width="12.81640625" style="13" customWidth="1"/>
    <col min="15115" max="15115" width="12.1796875" style="13" customWidth="1"/>
    <col min="15116" max="15117" width="0" style="13" hidden="1" customWidth="1"/>
    <col min="15118" max="15118" width="11.81640625" style="13" customWidth="1"/>
    <col min="15119" max="15119" width="14.26953125" style="13" customWidth="1"/>
    <col min="15120" max="15120" width="12.26953125" style="13" customWidth="1"/>
    <col min="15121" max="15121" width="13.81640625" style="13" customWidth="1"/>
    <col min="15122" max="15122" width="15" style="13" customWidth="1"/>
    <col min="15123" max="15361" width="9.1796875" style="13"/>
    <col min="15362" max="15362" width="12.26953125" style="13" customWidth="1"/>
    <col min="15363" max="15363" width="13.54296875" style="13" customWidth="1"/>
    <col min="15364" max="15364" width="12.54296875" style="13" customWidth="1"/>
    <col min="15365" max="15365" width="13" style="13" customWidth="1"/>
    <col min="15366" max="15367" width="12.81640625" style="13" customWidth="1"/>
    <col min="15368" max="15368" width="14" style="13" customWidth="1"/>
    <col min="15369" max="15369" width="13.1796875" style="13" customWidth="1"/>
    <col min="15370" max="15370" width="12.81640625" style="13" customWidth="1"/>
    <col min="15371" max="15371" width="12.1796875" style="13" customWidth="1"/>
    <col min="15372" max="15373" width="0" style="13" hidden="1" customWidth="1"/>
    <col min="15374" max="15374" width="11.81640625" style="13" customWidth="1"/>
    <col min="15375" max="15375" width="14.26953125" style="13" customWidth="1"/>
    <col min="15376" max="15376" width="12.26953125" style="13" customWidth="1"/>
    <col min="15377" max="15377" width="13.81640625" style="13" customWidth="1"/>
    <col min="15378" max="15378" width="15" style="13" customWidth="1"/>
    <col min="15379" max="15617" width="9.1796875" style="13"/>
    <col min="15618" max="15618" width="12.26953125" style="13" customWidth="1"/>
    <col min="15619" max="15619" width="13.54296875" style="13" customWidth="1"/>
    <col min="15620" max="15620" width="12.54296875" style="13" customWidth="1"/>
    <col min="15621" max="15621" width="13" style="13" customWidth="1"/>
    <col min="15622" max="15623" width="12.81640625" style="13" customWidth="1"/>
    <col min="15624" max="15624" width="14" style="13" customWidth="1"/>
    <col min="15625" max="15625" width="13.1796875" style="13" customWidth="1"/>
    <col min="15626" max="15626" width="12.81640625" style="13" customWidth="1"/>
    <col min="15627" max="15627" width="12.1796875" style="13" customWidth="1"/>
    <col min="15628" max="15629" width="0" style="13" hidden="1" customWidth="1"/>
    <col min="15630" max="15630" width="11.81640625" style="13" customWidth="1"/>
    <col min="15631" max="15631" width="14.26953125" style="13" customWidth="1"/>
    <col min="15632" max="15632" width="12.26953125" style="13" customWidth="1"/>
    <col min="15633" max="15633" width="13.81640625" style="13" customWidth="1"/>
    <col min="15634" max="15634" width="15" style="13" customWidth="1"/>
    <col min="15635" max="15873" width="9.1796875" style="13"/>
    <col min="15874" max="15874" width="12.26953125" style="13" customWidth="1"/>
    <col min="15875" max="15875" width="13.54296875" style="13" customWidth="1"/>
    <col min="15876" max="15876" width="12.54296875" style="13" customWidth="1"/>
    <col min="15877" max="15877" width="13" style="13" customWidth="1"/>
    <col min="15878" max="15879" width="12.81640625" style="13" customWidth="1"/>
    <col min="15880" max="15880" width="14" style="13" customWidth="1"/>
    <col min="15881" max="15881" width="13.1796875" style="13" customWidth="1"/>
    <col min="15882" max="15882" width="12.81640625" style="13" customWidth="1"/>
    <col min="15883" max="15883" width="12.1796875" style="13" customWidth="1"/>
    <col min="15884" max="15885" width="0" style="13" hidden="1" customWidth="1"/>
    <col min="15886" max="15886" width="11.81640625" style="13" customWidth="1"/>
    <col min="15887" max="15887" width="14.26953125" style="13" customWidth="1"/>
    <col min="15888" max="15888" width="12.26953125" style="13" customWidth="1"/>
    <col min="15889" max="15889" width="13.81640625" style="13" customWidth="1"/>
    <col min="15890" max="15890" width="15" style="13" customWidth="1"/>
    <col min="15891" max="16129" width="9.1796875" style="13"/>
    <col min="16130" max="16130" width="12.26953125" style="13" customWidth="1"/>
    <col min="16131" max="16131" width="13.54296875" style="13" customWidth="1"/>
    <col min="16132" max="16132" width="12.54296875" style="13" customWidth="1"/>
    <col min="16133" max="16133" width="13" style="13" customWidth="1"/>
    <col min="16134" max="16135" width="12.81640625" style="13" customWidth="1"/>
    <col min="16136" max="16136" width="14" style="13" customWidth="1"/>
    <col min="16137" max="16137" width="13.1796875" style="13" customWidth="1"/>
    <col min="16138" max="16138" width="12.81640625" style="13" customWidth="1"/>
    <col min="16139" max="16139" width="12.1796875" style="13" customWidth="1"/>
    <col min="16140" max="16141" width="0" style="13" hidden="1" customWidth="1"/>
    <col min="16142" max="16142" width="11.81640625" style="13" customWidth="1"/>
    <col min="16143" max="16143" width="14.26953125" style="13" customWidth="1"/>
    <col min="16144" max="16144" width="12.26953125" style="13" customWidth="1"/>
    <col min="16145" max="16145" width="13.81640625" style="13" customWidth="1"/>
    <col min="16146" max="16146" width="15" style="13" customWidth="1"/>
    <col min="16147" max="16384" width="9.1796875" style="13"/>
  </cols>
  <sheetData>
    <row r="1" spans="1:17" ht="18" x14ac:dyDescent="0.4">
      <c r="A1" s="73"/>
      <c r="B1" s="12" t="s">
        <v>15</v>
      </c>
      <c r="H1" s="14"/>
      <c r="I1" s="12" t="s">
        <v>15</v>
      </c>
      <c r="Q1" s="14"/>
    </row>
    <row r="2" spans="1:17" ht="13" x14ac:dyDescent="0.3">
      <c r="B2" s="36" t="s">
        <v>56</v>
      </c>
      <c r="H2" s="15"/>
      <c r="I2" s="36" t="s">
        <v>56</v>
      </c>
      <c r="Q2" s="15"/>
    </row>
    <row r="3" spans="1:17" ht="13" x14ac:dyDescent="0.3">
      <c r="B3" s="36"/>
      <c r="H3" s="15"/>
      <c r="I3" s="36"/>
      <c r="Q3" s="15"/>
    </row>
    <row r="4" spans="1:17" ht="13" x14ac:dyDescent="0.3">
      <c r="B4" s="36"/>
      <c r="H4" s="15"/>
      <c r="I4" s="36"/>
      <c r="Q4" s="15"/>
    </row>
    <row r="7" spans="1:17" ht="13" x14ac:dyDescent="0.3">
      <c r="B7" s="36" t="s">
        <v>68</v>
      </c>
      <c r="I7" s="36" t="s">
        <v>68</v>
      </c>
    </row>
    <row r="8" spans="1:17" x14ac:dyDescent="0.25">
      <c r="B8" s="54" t="s">
        <v>69</v>
      </c>
      <c r="E8" s="55">
        <v>1000</v>
      </c>
      <c r="I8" s="54" t="s">
        <v>69</v>
      </c>
      <c r="L8" s="55">
        <v>1000</v>
      </c>
      <c r="O8" s="55">
        <f t="shared" ref="O8:O14" si="0">E8</f>
        <v>1000</v>
      </c>
    </row>
    <row r="9" spans="1:17" x14ac:dyDescent="0.25">
      <c r="B9" s="54" t="s">
        <v>70</v>
      </c>
      <c r="E9" s="13">
        <v>5</v>
      </c>
      <c r="I9" s="54" t="s">
        <v>70</v>
      </c>
      <c r="L9" s="13">
        <v>30</v>
      </c>
      <c r="O9" s="13">
        <f t="shared" si="0"/>
        <v>5</v>
      </c>
    </row>
    <row r="10" spans="1:17" x14ac:dyDescent="0.25">
      <c r="B10" s="54" t="s">
        <v>71</v>
      </c>
      <c r="E10" s="13">
        <v>5</v>
      </c>
      <c r="I10" s="54" t="s">
        <v>71</v>
      </c>
      <c r="L10" s="13">
        <v>20</v>
      </c>
      <c r="O10" s="13">
        <f t="shared" si="0"/>
        <v>5</v>
      </c>
    </row>
    <row r="11" spans="1:17" x14ac:dyDescent="0.25">
      <c r="B11" s="54" t="s">
        <v>72</v>
      </c>
      <c r="E11" s="56">
        <f>'LGE-E Meter Pu WACOC-Tax Table'!F10</f>
        <v>0.2495</v>
      </c>
      <c r="I11" s="54" t="s">
        <v>72</v>
      </c>
      <c r="L11" s="57">
        <v>0.37602808360000001</v>
      </c>
      <c r="O11" s="56">
        <f t="shared" si="0"/>
        <v>0.2495</v>
      </c>
    </row>
    <row r="12" spans="1:17" x14ac:dyDescent="0.25">
      <c r="B12" s="54" t="s">
        <v>73</v>
      </c>
      <c r="E12" s="56">
        <v>0</v>
      </c>
      <c r="I12" s="54" t="s">
        <v>73</v>
      </c>
      <c r="L12" s="56">
        <v>0</v>
      </c>
      <c r="O12" s="56">
        <f t="shared" si="0"/>
        <v>0</v>
      </c>
    </row>
    <row r="13" spans="1:17" x14ac:dyDescent="0.25">
      <c r="B13" s="54" t="s">
        <v>74</v>
      </c>
      <c r="E13" s="13">
        <v>5</v>
      </c>
      <c r="I13" s="54" t="s">
        <v>74</v>
      </c>
      <c r="L13" s="13">
        <v>35</v>
      </c>
      <c r="O13" s="13">
        <f t="shared" si="0"/>
        <v>5</v>
      </c>
    </row>
    <row r="14" spans="1:17" x14ac:dyDescent="0.25">
      <c r="B14" s="54" t="s">
        <v>75</v>
      </c>
      <c r="E14" s="56">
        <v>0</v>
      </c>
      <c r="I14" s="54" t="s">
        <v>75</v>
      </c>
      <c r="L14" s="56">
        <v>0</v>
      </c>
      <c r="O14" s="56">
        <f t="shared" si="0"/>
        <v>0</v>
      </c>
    </row>
    <row r="15" spans="1:17" x14ac:dyDescent="0.25">
      <c r="B15" s="54"/>
      <c r="E15" s="56"/>
      <c r="I15" s="54"/>
      <c r="L15" s="56"/>
      <c r="O15" s="56"/>
    </row>
    <row r="17" spans="1:20" ht="13" x14ac:dyDescent="0.3">
      <c r="B17" s="36" t="s">
        <v>76</v>
      </c>
      <c r="I17" s="36" t="s">
        <v>76</v>
      </c>
    </row>
    <row r="18" spans="1:20" x14ac:dyDescent="0.25">
      <c r="B18" s="54" t="s">
        <v>77</v>
      </c>
      <c r="E18" s="58">
        <f>Q71</f>
        <v>978.87231863975524</v>
      </c>
      <c r="I18" s="54" t="s">
        <v>77</v>
      </c>
      <c r="L18" s="58">
        <f>X71</f>
        <v>0</v>
      </c>
      <c r="O18" s="58">
        <f>E18</f>
        <v>978.87231863975524</v>
      </c>
    </row>
    <row r="19" spans="1:20" x14ac:dyDescent="0.25">
      <c r="B19" s="54" t="s">
        <v>78</v>
      </c>
      <c r="E19" s="59">
        <f>PMT('LGE-E Meter Pu WACOC-Tax Table'!E13,E13,Q71)*-1</f>
        <v>239.79459318178149</v>
      </c>
      <c r="I19" s="54" t="s">
        <v>78</v>
      </c>
      <c r="L19" s="59">
        <f>PMT('LGE-E Meter Pu WACOC-Tax Table'!L13,L13,X71)*-1</f>
        <v>0</v>
      </c>
      <c r="O19" s="59">
        <f>E19</f>
        <v>239.79459318178149</v>
      </c>
    </row>
    <row r="20" spans="1:20" x14ac:dyDescent="0.25">
      <c r="B20" s="54" t="s">
        <v>79</v>
      </c>
      <c r="E20" s="56">
        <f>E19/E8</f>
        <v>0.23979459318178151</v>
      </c>
      <c r="I20" s="54" t="s">
        <v>79</v>
      </c>
      <c r="L20" s="56">
        <f>L19/L8</f>
        <v>0</v>
      </c>
      <c r="O20" s="56">
        <f>E20</f>
        <v>0.23979459318178151</v>
      </c>
    </row>
    <row r="21" spans="1:20" x14ac:dyDescent="0.25">
      <c r="B21" s="54" t="s">
        <v>80</v>
      </c>
      <c r="E21" s="60">
        <f>1/E20</f>
        <v>4.170235811955644</v>
      </c>
      <c r="F21" s="13" t="s">
        <v>81</v>
      </c>
      <c r="I21" s="54" t="s">
        <v>80</v>
      </c>
      <c r="L21" s="60" t="e">
        <f>1/L20</f>
        <v>#DIV/0!</v>
      </c>
      <c r="M21" s="13" t="s">
        <v>81</v>
      </c>
      <c r="O21" s="60">
        <f>E21</f>
        <v>4.170235811955644</v>
      </c>
      <c r="P21" s="13" t="s">
        <v>81</v>
      </c>
    </row>
    <row r="22" spans="1:20" x14ac:dyDescent="0.25">
      <c r="C22" s="60"/>
    </row>
    <row r="23" spans="1:20" x14ac:dyDescent="0.25">
      <c r="C23" s="60"/>
    </row>
    <row r="24" spans="1:20" ht="13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38"/>
      <c r="Q24" s="15"/>
      <c r="R24" s="38" t="s">
        <v>17</v>
      </c>
      <c r="S24" s="15"/>
    </row>
    <row r="25" spans="1:20" ht="13" x14ac:dyDescent="0.3">
      <c r="A25" s="15"/>
      <c r="B25" s="15"/>
      <c r="C25" s="15"/>
      <c r="D25" s="15"/>
      <c r="E25" s="15"/>
      <c r="F25" s="15"/>
      <c r="G25" s="15"/>
      <c r="H25" s="15"/>
      <c r="I25" s="38"/>
      <c r="J25" s="15"/>
      <c r="K25" s="15"/>
      <c r="L25" s="15"/>
      <c r="M25" s="15"/>
      <c r="N25" s="38"/>
      <c r="O25" s="38"/>
      <c r="P25" s="38" t="s">
        <v>18</v>
      </c>
      <c r="Q25" s="38" t="s">
        <v>18</v>
      </c>
      <c r="R25" s="38" t="s">
        <v>18</v>
      </c>
      <c r="S25" s="38" t="s">
        <v>24</v>
      </c>
    </row>
    <row r="26" spans="1:20" ht="13" x14ac:dyDescent="0.3">
      <c r="A26" s="15"/>
      <c r="B26" s="15"/>
      <c r="C26" s="15"/>
      <c r="D26" s="15"/>
      <c r="E26" s="15"/>
      <c r="F26" s="15"/>
      <c r="G26" s="15"/>
      <c r="H26" s="38" t="s">
        <v>82</v>
      </c>
      <c r="I26" s="38"/>
      <c r="J26" s="15"/>
      <c r="K26" s="15"/>
      <c r="L26" s="15"/>
      <c r="M26" s="15"/>
      <c r="N26" s="38"/>
      <c r="O26" s="38" t="s">
        <v>24</v>
      </c>
      <c r="P26" s="38" t="s">
        <v>83</v>
      </c>
      <c r="Q26" s="38" t="s">
        <v>83</v>
      </c>
      <c r="R26" s="38" t="s">
        <v>83</v>
      </c>
      <c r="S26" s="38" t="s">
        <v>84</v>
      </c>
    </row>
    <row r="27" spans="1:20" ht="13" x14ac:dyDescent="0.3">
      <c r="A27" s="15"/>
      <c r="B27" s="38"/>
      <c r="C27" s="38" t="s">
        <v>85</v>
      </c>
      <c r="D27" s="38" t="s">
        <v>86</v>
      </c>
      <c r="E27" s="38" t="s">
        <v>87</v>
      </c>
      <c r="F27" s="38" t="s">
        <v>86</v>
      </c>
      <c r="G27" s="38" t="s">
        <v>88</v>
      </c>
      <c r="H27" s="38" t="s">
        <v>88</v>
      </c>
      <c r="I27" s="38"/>
      <c r="J27" s="38"/>
      <c r="K27" s="38"/>
      <c r="L27" s="38"/>
      <c r="M27" s="38" t="s">
        <v>89</v>
      </c>
      <c r="N27" s="38" t="s">
        <v>90</v>
      </c>
      <c r="O27" s="38" t="s">
        <v>91</v>
      </c>
      <c r="P27" s="38" t="s">
        <v>92</v>
      </c>
      <c r="Q27" s="38" t="s">
        <v>91</v>
      </c>
      <c r="R27" s="38" t="s">
        <v>91</v>
      </c>
      <c r="S27" s="38" t="s">
        <v>93</v>
      </c>
    </row>
    <row r="28" spans="1:20" ht="13" x14ac:dyDescent="0.3">
      <c r="A28" s="38" t="s">
        <v>30</v>
      </c>
      <c r="B28" s="38" t="s">
        <v>94</v>
      </c>
      <c r="C28" s="38" t="s">
        <v>95</v>
      </c>
      <c r="D28" s="38" t="s">
        <v>96</v>
      </c>
      <c r="E28" s="38" t="s">
        <v>95</v>
      </c>
      <c r="F28" s="38" t="s">
        <v>96</v>
      </c>
      <c r="G28" s="38" t="s">
        <v>97</v>
      </c>
      <c r="H28" s="38" t="s">
        <v>97</v>
      </c>
      <c r="I28" s="38" t="s">
        <v>98</v>
      </c>
      <c r="J28" s="38" t="s">
        <v>92</v>
      </c>
      <c r="K28" s="38" t="s">
        <v>99</v>
      </c>
      <c r="L28" s="38" t="s">
        <v>100</v>
      </c>
      <c r="M28" s="38" t="s">
        <v>101</v>
      </c>
      <c r="N28" s="38" t="s">
        <v>101</v>
      </c>
      <c r="O28" s="38" t="s">
        <v>102</v>
      </c>
      <c r="P28" s="38" t="s">
        <v>103</v>
      </c>
      <c r="Q28" s="38" t="s">
        <v>102</v>
      </c>
      <c r="R28" s="38" t="s">
        <v>102</v>
      </c>
      <c r="S28" s="38" t="s">
        <v>61</v>
      </c>
    </row>
    <row r="30" spans="1:20" x14ac:dyDescent="0.25">
      <c r="A30" s="13">
        <v>0</v>
      </c>
      <c r="B30" s="55">
        <f>E8</f>
        <v>1000</v>
      </c>
      <c r="C30" s="61"/>
      <c r="D30" s="61"/>
      <c r="E30" s="61"/>
      <c r="F30" s="61"/>
      <c r="G30" s="61"/>
      <c r="H30" s="61"/>
      <c r="I30" s="58">
        <v>0</v>
      </c>
      <c r="J30" s="24">
        <f>'LGE-E Meter Pu WACOC-Tax Table'!$E$10*I30</f>
        <v>0</v>
      </c>
      <c r="K30" s="55">
        <f>I30*('LGE-E Meter Pu WACOC-Tax Table'!$E$11+'LGE-E Meter Pu WACOC-Tax Table'!$E$12)</f>
        <v>0</v>
      </c>
      <c r="M30" s="58">
        <f t="shared" ref="M30:M70" si="1">$E$12*D30</f>
        <v>0</v>
      </c>
      <c r="N30" s="62">
        <f t="shared" ref="N30:N70" si="2">($E$11/(1-$E$11))*K30</f>
        <v>0</v>
      </c>
      <c r="O30" s="55">
        <f t="shared" ref="O30:O70" si="3">C30+J30+K30+L30+M30+N30</f>
        <v>0</v>
      </c>
      <c r="P30" s="63">
        <f>1/(1+'LGE-E Meter Pu WACOC-Tax Table'!$E$13)^A30</f>
        <v>1</v>
      </c>
      <c r="Q30" s="64">
        <f t="shared" ref="Q30:Q70" si="4">O30*P30</f>
        <v>0</v>
      </c>
      <c r="R30" s="58">
        <f>Q30</f>
        <v>0</v>
      </c>
    </row>
    <row r="31" spans="1:20" x14ac:dyDescent="0.25">
      <c r="A31" s="13">
        <v>1</v>
      </c>
      <c r="C31" s="62">
        <f>(1/$E$9)*$B$30</f>
        <v>200</v>
      </c>
      <c r="D31" s="62">
        <f>$B$30-C31</f>
        <v>800</v>
      </c>
      <c r="E31" s="62">
        <f>HLOOKUP($E$10,'LGE-E Meter Pu WACOC-Tax Table'!$B$17:$E$58,A32)*$B$30</f>
        <v>200</v>
      </c>
      <c r="F31" s="62">
        <f>B30-E31</f>
        <v>800</v>
      </c>
      <c r="G31" s="62">
        <f t="shared" ref="G31:G70" si="5">(E31-C31)*$E$11</f>
        <v>0</v>
      </c>
      <c r="H31" s="62">
        <f>G31</f>
        <v>0</v>
      </c>
      <c r="I31" s="62">
        <f t="shared" ref="I31:I36" si="6">D31-H31</f>
        <v>800</v>
      </c>
      <c r="J31" s="62">
        <f>'LGE-E Meter Pu WACOC-Tax Table'!$E$10*I31</f>
        <v>4.6841203683596976E-2</v>
      </c>
      <c r="K31" s="62">
        <f>I31*('LGE-E Meter Pu WACOC-Tax Table'!$E$11+'LGE-E Meter Pu WACOC-Tax Table'!$E$12)</f>
        <v>57.274494146035572</v>
      </c>
      <c r="L31" s="62">
        <f>$E$14*$E$8</f>
        <v>0</v>
      </c>
      <c r="M31" s="62">
        <f t="shared" si="1"/>
        <v>0</v>
      </c>
      <c r="N31" s="62">
        <f t="shared" si="2"/>
        <v>19.040621305044471</v>
      </c>
      <c r="O31" s="62">
        <f t="shared" si="3"/>
        <v>276.36195665476362</v>
      </c>
      <c r="P31" s="63">
        <f>1/(1+'LGE-E Meter Pu WACOC-Tax Table'!$E$13)^A31</f>
        <v>0.9331390308555233</v>
      </c>
      <c r="Q31" s="65">
        <f t="shared" si="4"/>
        <v>257.88412839816226</v>
      </c>
      <c r="R31" s="62">
        <f t="shared" ref="R31:R69" si="7">R30+Q31</f>
        <v>257.88412839816226</v>
      </c>
      <c r="S31" s="56">
        <f t="shared" ref="S31:S70" si="8">O31/$B$30</f>
        <v>0.2763619566547636</v>
      </c>
      <c r="T31" s="59"/>
    </row>
    <row r="32" spans="1:20" x14ac:dyDescent="0.25">
      <c r="A32" s="13">
        <v>2</v>
      </c>
      <c r="C32" s="62">
        <f t="shared" ref="C32:C69" si="9">IF(D31&lt;=0.001,0,(1/$E$9)*$B$30)</f>
        <v>200</v>
      </c>
      <c r="D32" s="62">
        <f t="shared" ref="D32:D69" si="10">D31-C32</f>
        <v>600</v>
      </c>
      <c r="E32" s="62">
        <f>HLOOKUP($E$10,'LGE-E Meter Pu WACOC-Tax Table'!$B$17:$E$58,A33)*$B$30</f>
        <v>320</v>
      </c>
      <c r="F32" s="62">
        <f t="shared" ref="F32:F69" si="11">F31-E32</f>
        <v>480</v>
      </c>
      <c r="G32" s="62">
        <f t="shared" si="5"/>
        <v>29.94</v>
      </c>
      <c r="H32" s="62">
        <f t="shared" ref="H32:H69" si="12">H31+G32</f>
        <v>29.94</v>
      </c>
      <c r="I32" s="62">
        <f t="shared" si="6"/>
        <v>570.05999999999995</v>
      </c>
      <c r="J32" s="62">
        <f>'LGE-E Meter Pu WACOC-Tax Table'!$E$10*I32</f>
        <v>3.3377870714839109E-2</v>
      </c>
      <c r="K32" s="62">
        <f>I32*('LGE-E Meter Pu WACOC-Tax Table'!$E$11+'LGE-E Meter Pu WACOC-Tax Table'!$E$12)</f>
        <v>40.812372666111294</v>
      </c>
      <c r="L32" s="62">
        <f t="shared" ref="L32:L65" si="13">$E$14*$E$8*(1+$E$15)^A31</f>
        <v>0</v>
      </c>
      <c r="M32" s="62">
        <f t="shared" si="1"/>
        <v>0</v>
      </c>
      <c r="N32" s="62">
        <f t="shared" si="2"/>
        <v>13.567870726442063</v>
      </c>
      <c r="O32" s="62">
        <f t="shared" si="3"/>
        <v>254.4136212632682</v>
      </c>
      <c r="P32" s="63">
        <f>1/(1+'LGE-E Meter Pu WACOC-Tax Table'!$E$13)^A32</f>
        <v>0.87074845090598518</v>
      </c>
      <c r="Q32" s="65">
        <f t="shared" si="4"/>
        <v>221.5302666043728</v>
      </c>
      <c r="R32" s="62">
        <f t="shared" si="7"/>
        <v>479.41439500253506</v>
      </c>
      <c r="S32" s="56">
        <f t="shared" si="8"/>
        <v>0.25441362126326822</v>
      </c>
      <c r="T32" s="59"/>
    </row>
    <row r="33" spans="1:20" x14ac:dyDescent="0.25">
      <c r="A33" s="13">
        <v>3</v>
      </c>
      <c r="C33" s="62">
        <f t="shared" si="9"/>
        <v>200</v>
      </c>
      <c r="D33" s="62">
        <f t="shared" si="10"/>
        <v>400</v>
      </c>
      <c r="E33" s="62">
        <f>HLOOKUP($E$10,'LGE-E Meter Pu WACOC-Tax Table'!$B$17:$E$58,A34)*$B$30</f>
        <v>192</v>
      </c>
      <c r="F33" s="62">
        <f t="shared" si="11"/>
        <v>288</v>
      </c>
      <c r="G33" s="62">
        <f t="shared" si="5"/>
        <v>-1.996</v>
      </c>
      <c r="H33" s="62">
        <f t="shared" si="12"/>
        <v>27.944000000000003</v>
      </c>
      <c r="I33" s="62">
        <f t="shared" si="6"/>
        <v>372.05599999999998</v>
      </c>
      <c r="J33" s="62">
        <f>'LGE-E Meter Pu WACOC-Tax Table'!$E$10*I33</f>
        <v>2.1784438597130442E-2</v>
      </c>
      <c r="K33" s="62">
        <f>I33*('LGE-E Meter Pu WACOC-Tax Table'!$E$11+'LGE-E Meter Pu WACOC-Tax Table'!$E$12)</f>
        <v>26.636648992496763</v>
      </c>
      <c r="L33" s="62">
        <f t="shared" si="13"/>
        <v>0</v>
      </c>
      <c r="M33" s="62">
        <f t="shared" si="1"/>
        <v>0</v>
      </c>
      <c r="N33" s="62">
        <f t="shared" si="2"/>
        <v>8.8552217503370318</v>
      </c>
      <c r="O33" s="62">
        <f t="shared" si="3"/>
        <v>235.51365518143092</v>
      </c>
      <c r="P33" s="63">
        <f>1/(1+'LGE-E Meter Pu WACOC-Tax Table'!$E$13)^A33</f>
        <v>0.81252936559735911</v>
      </c>
      <c r="Q33" s="65">
        <f t="shared" si="4"/>
        <v>191.36176083408324</v>
      </c>
      <c r="R33" s="62">
        <f t="shared" si="7"/>
        <v>670.77615583661827</v>
      </c>
      <c r="S33" s="56">
        <f t="shared" si="8"/>
        <v>0.23551365518143091</v>
      </c>
      <c r="T33" s="59"/>
    </row>
    <row r="34" spans="1:20" x14ac:dyDescent="0.25">
      <c r="A34" s="13">
        <v>4</v>
      </c>
      <c r="C34" s="62">
        <f t="shared" si="9"/>
        <v>200</v>
      </c>
      <c r="D34" s="62">
        <f t="shared" si="10"/>
        <v>200</v>
      </c>
      <c r="E34" s="62">
        <f>HLOOKUP($E$10,'LGE-E Meter Pu WACOC-Tax Table'!$B$17:$E$58,A35)*$B$30</f>
        <v>115.2</v>
      </c>
      <c r="F34" s="62">
        <f t="shared" si="11"/>
        <v>172.8</v>
      </c>
      <c r="G34" s="62">
        <f t="shared" si="5"/>
        <v>-21.157599999999999</v>
      </c>
      <c r="H34" s="62">
        <f t="shared" si="12"/>
        <v>6.786400000000004</v>
      </c>
      <c r="I34" s="62">
        <f t="shared" si="6"/>
        <v>193.21359999999999</v>
      </c>
      <c r="J34" s="62">
        <f>'LGE-E Meter Pu WACOC-Tax Table'!$E$10*I34</f>
        <v>1.131294699005129E-2</v>
      </c>
      <c r="K34" s="62">
        <f>I34*('LGE-E Meter Pu WACOC-Tax Table'!$E$11+'LGE-E Meter Pu WACOC-Tax Table'!$E$12)</f>
        <v>13.832764002668071</v>
      </c>
      <c r="L34" s="62">
        <f t="shared" si="13"/>
        <v>0</v>
      </c>
      <c r="M34" s="62">
        <f t="shared" si="1"/>
        <v>0</v>
      </c>
      <c r="N34" s="62">
        <f t="shared" si="2"/>
        <v>4.5986337357304246</v>
      </c>
      <c r="O34" s="62">
        <f t="shared" si="3"/>
        <v>218.44271068538856</v>
      </c>
      <c r="P34" s="63">
        <f>1/(1+'LGE-E Meter Pu WACOC-Tax Table'!$E$13)^A34</f>
        <v>0.75820286475517285</v>
      </c>
      <c r="Q34" s="65">
        <f t="shared" si="4"/>
        <v>165.623889026547</v>
      </c>
      <c r="R34" s="62">
        <f t="shared" si="7"/>
        <v>836.40004486316525</v>
      </c>
      <c r="S34" s="56">
        <f t="shared" si="8"/>
        <v>0.21844271068538856</v>
      </c>
      <c r="T34" s="59"/>
    </row>
    <row r="35" spans="1:20" x14ac:dyDescent="0.25">
      <c r="A35" s="13">
        <v>5</v>
      </c>
      <c r="C35" s="62">
        <f t="shared" si="9"/>
        <v>200</v>
      </c>
      <c r="D35" s="62">
        <f t="shared" si="10"/>
        <v>0</v>
      </c>
      <c r="E35" s="62">
        <f>HLOOKUP($E$10,'LGE-E Meter Pu WACOC-Tax Table'!$B$17:$E$58,A36)*$B$30</f>
        <v>115.2</v>
      </c>
      <c r="F35" s="62">
        <f t="shared" si="11"/>
        <v>57.600000000000009</v>
      </c>
      <c r="G35" s="62">
        <f t="shared" si="5"/>
        <v>-21.157599999999999</v>
      </c>
      <c r="H35" s="62">
        <f t="shared" si="12"/>
        <v>-14.371199999999995</v>
      </c>
      <c r="I35" s="62">
        <f t="shared" si="6"/>
        <v>14.371199999999995</v>
      </c>
      <c r="J35" s="62">
        <f>'LGE-E Meter Pu WACOC-Tax Table'!$E$10*I35</f>
        <v>8.4145538297213573E-4</v>
      </c>
      <c r="K35" s="62">
        <f>I35*('LGE-E Meter Pu WACOC-Tax Table'!$E$11+'LGE-E Meter Pu WACOC-Tax Table'!$E$12)</f>
        <v>1.0288790128393825</v>
      </c>
      <c r="L35" s="62">
        <f t="shared" si="13"/>
        <v>0</v>
      </c>
      <c r="M35" s="62">
        <f t="shared" si="1"/>
        <v>0</v>
      </c>
      <c r="N35" s="62">
        <f t="shared" si="2"/>
        <v>0.3420457211238187</v>
      </c>
      <c r="O35" s="62">
        <f t="shared" si="3"/>
        <v>201.37176618934618</v>
      </c>
      <c r="P35" s="63">
        <f>1/(1+'LGE-E Meter Pu WACOC-Tax Table'!$E$13)^A35</f>
        <v>0.70750868640952347</v>
      </c>
      <c r="Q35" s="65">
        <f t="shared" si="4"/>
        <v>142.47227377659001</v>
      </c>
      <c r="R35" s="62">
        <f t="shared" si="7"/>
        <v>978.87231863975524</v>
      </c>
      <c r="S35" s="56">
        <f t="shared" si="8"/>
        <v>0.20137176618934619</v>
      </c>
      <c r="T35" s="59"/>
    </row>
    <row r="36" spans="1:20" x14ac:dyDescent="0.25">
      <c r="A36" s="13">
        <v>6</v>
      </c>
      <c r="C36" s="62">
        <f t="shared" si="9"/>
        <v>0</v>
      </c>
      <c r="D36" s="62">
        <f t="shared" si="10"/>
        <v>0</v>
      </c>
      <c r="E36" s="62">
        <f>HLOOKUP($E$10,'LGE-E Meter Pu WACOC-Tax Table'!$B$17:$E$58,A37)*$B$30</f>
        <v>57.600000000000044</v>
      </c>
      <c r="F36" s="62">
        <f t="shared" si="11"/>
        <v>0</v>
      </c>
      <c r="G36" s="62">
        <f t="shared" si="5"/>
        <v>14.371200000000011</v>
      </c>
      <c r="H36" s="62">
        <f t="shared" si="12"/>
        <v>1.5987211554602254E-14</v>
      </c>
      <c r="I36" s="62">
        <f t="shared" si="6"/>
        <v>-1.5987211554602254E-14</v>
      </c>
      <c r="J36" s="62">
        <f>'LGE-E Meter Pu WACOC-Tax Table'!$E$10*I36</f>
        <v>-9.360752909523491E-19</v>
      </c>
      <c r="K36" s="62">
        <f>I36*('LGE-E Meter Pu WACOC-Tax Table'!$E$11+'LGE-E Meter Pu WACOC-Tax Table'!$E$12)</f>
        <v>-1.1445743182443739E-15</v>
      </c>
      <c r="L36" s="62">
        <f t="shared" si="13"/>
        <v>0</v>
      </c>
      <c r="M36" s="62">
        <f t="shared" si="1"/>
        <v>0</v>
      </c>
      <c r="N36" s="62">
        <f t="shared" si="2"/>
        <v>-3.8050805116851604E-16</v>
      </c>
      <c r="O36" s="62">
        <f t="shared" si="3"/>
        <v>-1.5260184447038423E-15</v>
      </c>
      <c r="P36" s="63">
        <f>1/(1+'LGE-E Meter Pu WACOC-Tax Table'!$E$13)^A36</f>
        <v>0.66020396995804687</v>
      </c>
      <c r="Q36" s="65">
        <f t="shared" si="4"/>
        <v>-1.0074834354226809E-15</v>
      </c>
      <c r="R36" s="62">
        <f t="shared" si="7"/>
        <v>978.87231863975524</v>
      </c>
      <c r="S36" s="56">
        <f t="shared" si="8"/>
        <v>-1.5260184447038423E-18</v>
      </c>
      <c r="T36" s="59"/>
    </row>
    <row r="37" spans="1:20" ht="10.5" hidden="1" customHeight="1" x14ac:dyDescent="0.25">
      <c r="A37" s="13">
        <v>7</v>
      </c>
      <c r="C37" s="62">
        <f t="shared" si="9"/>
        <v>0</v>
      </c>
      <c r="D37" s="62">
        <f t="shared" si="10"/>
        <v>0</v>
      </c>
      <c r="E37" s="62">
        <f>HLOOKUP($E$10,'LGE-E Meter Pu WACOC-Tax Table'!$B$17:$E$58,A38)*$B$30</f>
        <v>0</v>
      </c>
      <c r="F37" s="62">
        <f t="shared" si="11"/>
        <v>0</v>
      </c>
      <c r="G37" s="62">
        <f t="shared" si="5"/>
        <v>0</v>
      </c>
      <c r="H37" s="62">
        <f t="shared" si="12"/>
        <v>1.5987211554602254E-14</v>
      </c>
      <c r="I37" s="62">
        <f t="shared" ref="I37:I70" si="14">D37</f>
        <v>0</v>
      </c>
      <c r="J37" s="62">
        <f>'LGE-E Meter Pu WACOC-Tax Table'!$E$10*I37</f>
        <v>0</v>
      </c>
      <c r="K37" s="62">
        <f>I37*('LGE-E Meter Pu WACOC-Tax Table'!$E$11+'LGE-E Meter Pu WACOC-Tax Table'!$E$12)</f>
        <v>0</v>
      </c>
      <c r="L37" s="62">
        <f t="shared" si="13"/>
        <v>0</v>
      </c>
      <c r="M37" s="62">
        <f t="shared" si="1"/>
        <v>0</v>
      </c>
      <c r="N37" s="62">
        <f t="shared" si="2"/>
        <v>0</v>
      </c>
      <c r="O37" s="62">
        <f t="shared" si="3"/>
        <v>0</v>
      </c>
      <c r="P37" s="63">
        <f>1/(1+'LGE-E Meter Pu WACOC-Tax Table'!$E$13)^A37</f>
        <v>0.61606209269362089</v>
      </c>
      <c r="Q37" s="65">
        <f t="shared" si="4"/>
        <v>0</v>
      </c>
      <c r="R37" s="62">
        <f t="shared" si="7"/>
        <v>978.87231863975524</v>
      </c>
      <c r="S37" s="56">
        <f t="shared" si="8"/>
        <v>0</v>
      </c>
      <c r="T37" s="59"/>
    </row>
    <row r="38" spans="1:20" hidden="1" x14ac:dyDescent="0.25">
      <c r="A38" s="13">
        <v>8</v>
      </c>
      <c r="C38" s="62">
        <f t="shared" si="9"/>
        <v>0</v>
      </c>
      <c r="D38" s="62">
        <f t="shared" si="10"/>
        <v>0</v>
      </c>
      <c r="E38" s="62">
        <f>HLOOKUP($E$10,'LGE-E Meter Pu WACOC-Tax Table'!$B$17:$E$58,A39)*$B$30</f>
        <v>0</v>
      </c>
      <c r="F38" s="62">
        <f t="shared" si="11"/>
        <v>0</v>
      </c>
      <c r="G38" s="62">
        <f t="shared" si="5"/>
        <v>0</v>
      </c>
      <c r="H38" s="62">
        <f t="shared" si="12"/>
        <v>1.5987211554602254E-14</v>
      </c>
      <c r="I38" s="62">
        <f t="shared" si="14"/>
        <v>0</v>
      </c>
      <c r="J38" s="62">
        <f>'LGE-E Meter Pu WACOC-Tax Table'!$E$10*I38</f>
        <v>0</v>
      </c>
      <c r="K38" s="62">
        <f>I38*('LGE-E Meter Pu WACOC-Tax Table'!$E$11+'LGE-E Meter Pu WACOC-Tax Table'!$E$12)</f>
        <v>0</v>
      </c>
      <c r="L38" s="62">
        <f t="shared" si="13"/>
        <v>0</v>
      </c>
      <c r="M38" s="62">
        <f t="shared" si="1"/>
        <v>0</v>
      </c>
      <c r="N38" s="62">
        <f t="shared" si="2"/>
        <v>0</v>
      </c>
      <c r="O38" s="62">
        <f t="shared" si="3"/>
        <v>0</v>
      </c>
      <c r="P38" s="63">
        <f>1/(1+'LGE-E Meter Pu WACOC-Tax Table'!$E$13)^A38</f>
        <v>0.57487158412295092</v>
      </c>
      <c r="Q38" s="65">
        <f t="shared" si="4"/>
        <v>0</v>
      </c>
      <c r="R38" s="62">
        <f t="shared" si="7"/>
        <v>978.87231863975524</v>
      </c>
      <c r="S38" s="56">
        <f t="shared" si="8"/>
        <v>0</v>
      </c>
      <c r="T38" s="59"/>
    </row>
    <row r="39" spans="1:20" hidden="1" x14ac:dyDescent="0.25">
      <c r="A39" s="13">
        <v>9</v>
      </c>
      <c r="C39" s="62">
        <f t="shared" si="9"/>
        <v>0</v>
      </c>
      <c r="D39" s="62">
        <f t="shared" si="10"/>
        <v>0</v>
      </c>
      <c r="E39" s="62">
        <f>HLOOKUP($E$10,'LGE-E Meter Pu WACOC-Tax Table'!$B$17:$E$58,A40)*$B$30</f>
        <v>0</v>
      </c>
      <c r="F39" s="62">
        <f t="shared" si="11"/>
        <v>0</v>
      </c>
      <c r="G39" s="62">
        <f t="shared" si="5"/>
        <v>0</v>
      </c>
      <c r="H39" s="62">
        <f t="shared" si="12"/>
        <v>1.5987211554602254E-14</v>
      </c>
      <c r="I39" s="62">
        <f t="shared" si="14"/>
        <v>0</v>
      </c>
      <c r="J39" s="62">
        <f>'LGE-E Meter Pu WACOC-Tax Table'!$E$10*I39</f>
        <v>0</v>
      </c>
      <c r="K39" s="62">
        <f>I39*('LGE-E Meter Pu WACOC-Tax Table'!$E$11+'LGE-E Meter Pu WACOC-Tax Table'!$E$12)</f>
        <v>0</v>
      </c>
      <c r="L39" s="62">
        <f t="shared" si="13"/>
        <v>0</v>
      </c>
      <c r="M39" s="62">
        <f t="shared" si="1"/>
        <v>0</v>
      </c>
      <c r="N39" s="62">
        <f t="shared" si="2"/>
        <v>0</v>
      </c>
      <c r="O39" s="62">
        <f t="shared" si="3"/>
        <v>0</v>
      </c>
      <c r="P39" s="63">
        <f>1/(1+'LGE-E Meter Pu WACOC-Tax Table'!$E$13)^A39</f>
        <v>0.53643511287486978</v>
      </c>
      <c r="Q39" s="65">
        <f t="shared" si="4"/>
        <v>0</v>
      </c>
      <c r="R39" s="62">
        <f t="shared" si="7"/>
        <v>978.87231863975524</v>
      </c>
      <c r="S39" s="56">
        <f t="shared" si="8"/>
        <v>0</v>
      </c>
      <c r="T39" s="59"/>
    </row>
    <row r="40" spans="1:20" hidden="1" x14ac:dyDescent="0.25">
      <c r="A40" s="13">
        <v>10</v>
      </c>
      <c r="C40" s="62">
        <f t="shared" si="9"/>
        <v>0</v>
      </c>
      <c r="D40" s="62">
        <f t="shared" si="10"/>
        <v>0</v>
      </c>
      <c r="E40" s="62">
        <f>HLOOKUP($E$10,'LGE-E Meter Pu WACOC-Tax Table'!$B$17:$E$58,A41)*$B$30</f>
        <v>0</v>
      </c>
      <c r="F40" s="62">
        <f t="shared" si="11"/>
        <v>0</v>
      </c>
      <c r="G40" s="62">
        <f t="shared" si="5"/>
        <v>0</v>
      </c>
      <c r="H40" s="62">
        <f t="shared" si="12"/>
        <v>1.5987211554602254E-14</v>
      </c>
      <c r="I40" s="62">
        <f t="shared" si="14"/>
        <v>0</v>
      </c>
      <c r="J40" s="62">
        <f>'LGE-E Meter Pu WACOC-Tax Table'!$E$10*I40</f>
        <v>0</v>
      </c>
      <c r="K40" s="62">
        <f>I40*('LGE-E Meter Pu WACOC-Tax Table'!$E$11+'LGE-E Meter Pu WACOC-Tax Table'!$E$12)</f>
        <v>0</v>
      </c>
      <c r="L40" s="62">
        <f t="shared" si="13"/>
        <v>0</v>
      </c>
      <c r="M40" s="62">
        <f t="shared" si="1"/>
        <v>0</v>
      </c>
      <c r="N40" s="62">
        <f t="shared" si="2"/>
        <v>0</v>
      </c>
      <c r="O40" s="62">
        <f t="shared" si="3"/>
        <v>0</v>
      </c>
      <c r="P40" s="63">
        <f>1/(1+'LGE-E Meter Pu WACOC-Tax Table'!$E$13)^A40</f>
        <v>0.50056854134492923</v>
      </c>
      <c r="Q40" s="65">
        <f t="shared" si="4"/>
        <v>0</v>
      </c>
      <c r="R40" s="62">
        <f t="shared" si="7"/>
        <v>978.87231863975524</v>
      </c>
      <c r="S40" s="56">
        <f t="shared" si="8"/>
        <v>0</v>
      </c>
      <c r="T40" s="59"/>
    </row>
    <row r="41" spans="1:20" hidden="1" x14ac:dyDescent="0.25">
      <c r="A41" s="13">
        <v>11</v>
      </c>
      <c r="C41" s="62">
        <f t="shared" si="9"/>
        <v>0</v>
      </c>
      <c r="D41" s="62">
        <f t="shared" si="10"/>
        <v>0</v>
      </c>
      <c r="E41" s="62">
        <f>HLOOKUP($E$10,'LGE-E Meter Pu WACOC-Tax Table'!$B$17:$E$58,A42)*$B$30</f>
        <v>0</v>
      </c>
      <c r="F41" s="62">
        <f t="shared" si="11"/>
        <v>0</v>
      </c>
      <c r="G41" s="62">
        <f t="shared" si="5"/>
        <v>0</v>
      </c>
      <c r="H41" s="62">
        <f t="shared" si="12"/>
        <v>1.5987211554602254E-14</v>
      </c>
      <c r="I41" s="62">
        <f t="shared" si="14"/>
        <v>0</v>
      </c>
      <c r="J41" s="62">
        <f>'LGE-E Meter Pu WACOC-Tax Table'!$E$10*I41</f>
        <v>0</v>
      </c>
      <c r="K41" s="62">
        <f>I41*('LGE-E Meter Pu WACOC-Tax Table'!$E$11+'LGE-E Meter Pu WACOC-Tax Table'!$E$12)</f>
        <v>0</v>
      </c>
      <c r="L41" s="62">
        <f t="shared" si="13"/>
        <v>0</v>
      </c>
      <c r="M41" s="62">
        <f t="shared" si="1"/>
        <v>0</v>
      </c>
      <c r="N41" s="62">
        <f t="shared" si="2"/>
        <v>0</v>
      </c>
      <c r="O41" s="62">
        <f t="shared" si="3"/>
        <v>0</v>
      </c>
      <c r="P41" s="63">
        <f>1/(1+'LGE-E Meter Pu WACOC-Tax Table'!$E$13)^A41</f>
        <v>0.46710004354737017</v>
      </c>
      <c r="Q41" s="65">
        <f t="shared" si="4"/>
        <v>0</v>
      </c>
      <c r="R41" s="62">
        <f t="shared" si="7"/>
        <v>978.87231863975524</v>
      </c>
      <c r="S41" s="56">
        <f t="shared" si="8"/>
        <v>0</v>
      </c>
      <c r="T41" s="59"/>
    </row>
    <row r="42" spans="1:20" hidden="1" x14ac:dyDescent="0.25">
      <c r="A42" s="13">
        <v>12</v>
      </c>
      <c r="C42" s="62">
        <f t="shared" si="9"/>
        <v>0</v>
      </c>
      <c r="D42" s="62">
        <f t="shared" si="10"/>
        <v>0</v>
      </c>
      <c r="E42" s="62">
        <f>HLOOKUP($E$10,'LGE-E Meter Pu WACOC-Tax Table'!$B$17:$E$58,A43)*$B$30</f>
        <v>0</v>
      </c>
      <c r="F42" s="62">
        <f t="shared" si="11"/>
        <v>0</v>
      </c>
      <c r="G42" s="62">
        <f t="shared" si="5"/>
        <v>0</v>
      </c>
      <c r="H42" s="62">
        <f t="shared" si="12"/>
        <v>1.5987211554602254E-14</v>
      </c>
      <c r="I42" s="62">
        <f t="shared" si="14"/>
        <v>0</v>
      </c>
      <c r="J42" s="62">
        <f>'LGE-E Meter Pu WACOC-Tax Table'!$E$10*I42</f>
        <v>0</v>
      </c>
      <c r="K42" s="62">
        <f>I42*('LGE-E Meter Pu WACOC-Tax Table'!$E$11+'LGE-E Meter Pu WACOC-Tax Table'!$E$12)</f>
        <v>0</v>
      </c>
      <c r="L42" s="62">
        <f t="shared" si="13"/>
        <v>0</v>
      </c>
      <c r="M42" s="62">
        <f t="shared" si="1"/>
        <v>0</v>
      </c>
      <c r="N42" s="62">
        <f t="shared" si="2"/>
        <v>0</v>
      </c>
      <c r="O42" s="62">
        <f t="shared" si="3"/>
        <v>0</v>
      </c>
      <c r="P42" s="63">
        <f>1/(1+'LGE-E Meter Pu WACOC-Tax Table'!$E$13)^A42</f>
        <v>0.43586928194836577</v>
      </c>
      <c r="Q42" s="65">
        <f t="shared" si="4"/>
        <v>0</v>
      </c>
      <c r="R42" s="62">
        <f t="shared" si="7"/>
        <v>978.87231863975524</v>
      </c>
      <c r="S42" s="56">
        <f t="shared" si="8"/>
        <v>0</v>
      </c>
      <c r="T42" s="59"/>
    </row>
    <row r="43" spans="1:20" hidden="1" x14ac:dyDescent="0.25">
      <c r="A43" s="13">
        <v>13</v>
      </c>
      <c r="C43" s="62">
        <f t="shared" si="9"/>
        <v>0</v>
      </c>
      <c r="D43" s="62">
        <f t="shared" si="10"/>
        <v>0</v>
      </c>
      <c r="E43" s="62">
        <f>HLOOKUP($E$10,'LGE-E Meter Pu WACOC-Tax Table'!$B$17:$E$58,A44)*$B$30</f>
        <v>0</v>
      </c>
      <c r="F43" s="62">
        <f t="shared" si="11"/>
        <v>0</v>
      </c>
      <c r="G43" s="62">
        <f t="shared" si="5"/>
        <v>0</v>
      </c>
      <c r="H43" s="62">
        <f t="shared" si="12"/>
        <v>1.5987211554602254E-14</v>
      </c>
      <c r="I43" s="62">
        <f t="shared" si="14"/>
        <v>0</v>
      </c>
      <c r="J43" s="62">
        <f>'LGE-E Meter Pu WACOC-Tax Table'!$E$10*I43</f>
        <v>0</v>
      </c>
      <c r="K43" s="62">
        <f>I43*('LGE-E Meter Pu WACOC-Tax Table'!$E$11+'LGE-E Meter Pu WACOC-Tax Table'!$E$12)</f>
        <v>0</v>
      </c>
      <c r="L43" s="62">
        <f t="shared" si="13"/>
        <v>0</v>
      </c>
      <c r="M43" s="62">
        <f t="shared" si="1"/>
        <v>0</v>
      </c>
      <c r="N43" s="62">
        <f t="shared" si="2"/>
        <v>0</v>
      </c>
      <c r="O43" s="62">
        <f t="shared" si="3"/>
        <v>0</v>
      </c>
      <c r="P43" s="63">
        <f>1/(1+'LGE-E Meter Pu WACOC-Tax Table'!$E$13)^A43</f>
        <v>0.40672663933699088</v>
      </c>
      <c r="Q43" s="65">
        <f t="shared" si="4"/>
        <v>0</v>
      </c>
      <c r="R43" s="62">
        <f t="shared" si="7"/>
        <v>978.87231863975524</v>
      </c>
      <c r="S43" s="56">
        <f t="shared" si="8"/>
        <v>0</v>
      </c>
      <c r="T43" s="59"/>
    </row>
    <row r="44" spans="1:20" hidden="1" x14ac:dyDescent="0.25">
      <c r="A44" s="13">
        <v>14</v>
      </c>
      <c r="C44" s="62">
        <f t="shared" si="9"/>
        <v>0</v>
      </c>
      <c r="D44" s="62">
        <f t="shared" si="10"/>
        <v>0</v>
      </c>
      <c r="E44" s="62">
        <f>HLOOKUP($E$10,'LGE-E Meter Pu WACOC-Tax Table'!$B$17:$E$58,A45)*$B$30</f>
        <v>0</v>
      </c>
      <c r="F44" s="62">
        <f t="shared" si="11"/>
        <v>0</v>
      </c>
      <c r="G44" s="62">
        <f t="shared" si="5"/>
        <v>0</v>
      </c>
      <c r="H44" s="62">
        <f t="shared" si="12"/>
        <v>1.5987211554602254E-14</v>
      </c>
      <c r="I44" s="62">
        <f t="shared" si="14"/>
        <v>0</v>
      </c>
      <c r="J44" s="62">
        <f>'LGE-E Meter Pu WACOC-Tax Table'!$E$10*I44</f>
        <v>0</v>
      </c>
      <c r="K44" s="62">
        <f>I44*('LGE-E Meter Pu WACOC-Tax Table'!$E$11+'LGE-E Meter Pu WACOC-Tax Table'!$E$12)</f>
        <v>0</v>
      </c>
      <c r="L44" s="62">
        <f t="shared" si="13"/>
        <v>0</v>
      </c>
      <c r="M44" s="62">
        <f t="shared" si="1"/>
        <v>0</v>
      </c>
      <c r="N44" s="62">
        <f t="shared" si="2"/>
        <v>0</v>
      </c>
      <c r="O44" s="62">
        <f t="shared" si="3"/>
        <v>0</v>
      </c>
      <c r="P44" s="63">
        <f>1/(1+'LGE-E Meter Pu WACOC-Tax Table'!$E$13)^A44</f>
        <v>0.37953250205404349</v>
      </c>
      <c r="Q44" s="65">
        <f t="shared" si="4"/>
        <v>0</v>
      </c>
      <c r="R44" s="62">
        <f t="shared" si="7"/>
        <v>978.87231863975524</v>
      </c>
      <c r="S44" s="56">
        <f t="shared" si="8"/>
        <v>0</v>
      </c>
      <c r="T44" s="59"/>
    </row>
    <row r="45" spans="1:20" hidden="1" x14ac:dyDescent="0.25">
      <c r="A45" s="13">
        <v>15</v>
      </c>
      <c r="C45" s="62">
        <f t="shared" si="9"/>
        <v>0</v>
      </c>
      <c r="D45" s="62">
        <f t="shared" si="10"/>
        <v>0</v>
      </c>
      <c r="E45" s="62">
        <f>HLOOKUP($E$10,'LGE-E Meter Pu WACOC-Tax Table'!$B$17:$E$58,A46)*$B$30</f>
        <v>0</v>
      </c>
      <c r="F45" s="62">
        <f t="shared" si="11"/>
        <v>0</v>
      </c>
      <c r="G45" s="62">
        <f t="shared" si="5"/>
        <v>0</v>
      </c>
      <c r="H45" s="62">
        <f t="shared" si="12"/>
        <v>1.5987211554602254E-14</v>
      </c>
      <c r="I45" s="62">
        <f t="shared" si="14"/>
        <v>0</v>
      </c>
      <c r="J45" s="62">
        <f>'LGE-E Meter Pu WACOC-Tax Table'!$E$10*I45</f>
        <v>0</v>
      </c>
      <c r="K45" s="62">
        <f>I45*('LGE-E Meter Pu WACOC-Tax Table'!$E$11+'LGE-E Meter Pu WACOC-Tax Table'!$E$12)</f>
        <v>0</v>
      </c>
      <c r="L45" s="62">
        <f t="shared" si="13"/>
        <v>0</v>
      </c>
      <c r="M45" s="62">
        <f t="shared" si="1"/>
        <v>0</v>
      </c>
      <c r="N45" s="62">
        <f t="shared" si="2"/>
        <v>0</v>
      </c>
      <c r="O45" s="62">
        <f t="shared" si="3"/>
        <v>0</v>
      </c>
      <c r="P45" s="63">
        <f>1/(1+'LGE-E Meter Pu WACOC-Tax Table'!$E$13)^A45</f>
        <v>0.35415659114488207</v>
      </c>
      <c r="Q45" s="65">
        <f t="shared" si="4"/>
        <v>0</v>
      </c>
      <c r="R45" s="62">
        <f t="shared" si="7"/>
        <v>978.87231863975524</v>
      </c>
      <c r="S45" s="56">
        <f t="shared" si="8"/>
        <v>0</v>
      </c>
      <c r="T45" s="59"/>
    </row>
    <row r="46" spans="1:20" hidden="1" x14ac:dyDescent="0.25">
      <c r="A46" s="13">
        <v>16</v>
      </c>
      <c r="C46" s="62">
        <f t="shared" si="9"/>
        <v>0</v>
      </c>
      <c r="D46" s="62">
        <f t="shared" si="10"/>
        <v>0</v>
      </c>
      <c r="E46" s="62">
        <f>HLOOKUP($E$10,'LGE-E Meter Pu WACOC-Tax Table'!$B$17:$E$58,A47)*$B$30</f>
        <v>0</v>
      </c>
      <c r="F46" s="62">
        <f t="shared" si="11"/>
        <v>0</v>
      </c>
      <c r="G46" s="62">
        <f t="shared" si="5"/>
        <v>0</v>
      </c>
      <c r="H46" s="62">
        <f t="shared" si="12"/>
        <v>1.5987211554602254E-14</v>
      </c>
      <c r="I46" s="62">
        <f t="shared" si="14"/>
        <v>0</v>
      </c>
      <c r="J46" s="62">
        <f>'LGE-E Meter Pu WACOC-Tax Table'!$E$10*I46</f>
        <v>0</v>
      </c>
      <c r="K46" s="62">
        <f>I46*('LGE-E Meter Pu WACOC-Tax Table'!$E$11+'LGE-E Meter Pu WACOC-Tax Table'!$E$12)</f>
        <v>0</v>
      </c>
      <c r="L46" s="62">
        <f t="shared" si="13"/>
        <v>0</v>
      </c>
      <c r="M46" s="62">
        <f t="shared" si="1"/>
        <v>0</v>
      </c>
      <c r="N46" s="62">
        <f t="shared" si="2"/>
        <v>0</v>
      </c>
      <c r="O46" s="62">
        <f t="shared" si="3"/>
        <v>0</v>
      </c>
      <c r="P46" s="63">
        <f>1/(1+'LGE-E Meter Pu WACOC-Tax Table'!$E$13)^A46</f>
        <v>0.33047733823203107</v>
      </c>
      <c r="Q46" s="65">
        <f t="shared" si="4"/>
        <v>0</v>
      </c>
      <c r="R46" s="62">
        <f t="shared" si="7"/>
        <v>978.87231863975524</v>
      </c>
      <c r="S46" s="56">
        <f t="shared" si="8"/>
        <v>0</v>
      </c>
      <c r="T46" s="59"/>
    </row>
    <row r="47" spans="1:20" hidden="1" x14ac:dyDescent="0.25">
      <c r="A47" s="13">
        <v>17</v>
      </c>
      <c r="C47" s="62">
        <f t="shared" si="9"/>
        <v>0</v>
      </c>
      <c r="D47" s="62">
        <f t="shared" si="10"/>
        <v>0</v>
      </c>
      <c r="E47" s="62">
        <f>HLOOKUP($E$10,'LGE-E Meter Pu WACOC-Tax Table'!$B$17:$E$58,A48)*$B$30</f>
        <v>0</v>
      </c>
      <c r="F47" s="62">
        <f t="shared" si="11"/>
        <v>0</v>
      </c>
      <c r="G47" s="62">
        <f t="shared" si="5"/>
        <v>0</v>
      </c>
      <c r="H47" s="62">
        <f t="shared" si="12"/>
        <v>1.5987211554602254E-14</v>
      </c>
      <c r="I47" s="62">
        <f t="shared" si="14"/>
        <v>0</v>
      </c>
      <c r="J47" s="62">
        <f>'LGE-E Meter Pu WACOC-Tax Table'!$E$10*I47</f>
        <v>0</v>
      </c>
      <c r="K47" s="62">
        <f>I47*('LGE-E Meter Pu WACOC-Tax Table'!$E$11+'LGE-E Meter Pu WACOC-Tax Table'!$E$12)</f>
        <v>0</v>
      </c>
      <c r="L47" s="62">
        <f t="shared" si="13"/>
        <v>0</v>
      </c>
      <c r="M47" s="62">
        <f t="shared" si="1"/>
        <v>0</v>
      </c>
      <c r="N47" s="62">
        <f t="shared" si="2"/>
        <v>0</v>
      </c>
      <c r="O47" s="62">
        <f t="shared" si="3"/>
        <v>0</v>
      </c>
      <c r="P47" s="63">
        <f>1/(1+'LGE-E Meter Pu WACOC-Tax Table'!$E$13)^A47</f>
        <v>0.30838130311755046</v>
      </c>
      <c r="Q47" s="65">
        <f t="shared" si="4"/>
        <v>0</v>
      </c>
      <c r="R47" s="62">
        <f t="shared" si="7"/>
        <v>978.87231863975524</v>
      </c>
      <c r="S47" s="56">
        <f t="shared" si="8"/>
        <v>0</v>
      </c>
      <c r="T47" s="59"/>
    </row>
    <row r="48" spans="1:20" hidden="1" x14ac:dyDescent="0.25">
      <c r="A48" s="13">
        <v>18</v>
      </c>
      <c r="C48" s="62">
        <f t="shared" si="9"/>
        <v>0</v>
      </c>
      <c r="D48" s="62">
        <f t="shared" si="10"/>
        <v>0</v>
      </c>
      <c r="E48" s="62">
        <f>HLOOKUP($E$10,'LGE-E Meter Pu WACOC-Tax Table'!$B$17:$E$58,A49)*$B$30</f>
        <v>0</v>
      </c>
      <c r="F48" s="62">
        <f t="shared" si="11"/>
        <v>0</v>
      </c>
      <c r="G48" s="62">
        <f t="shared" si="5"/>
        <v>0</v>
      </c>
      <c r="H48" s="62">
        <f t="shared" si="12"/>
        <v>1.5987211554602254E-14</v>
      </c>
      <c r="I48" s="62">
        <f t="shared" si="14"/>
        <v>0</v>
      </c>
      <c r="J48" s="62">
        <f>'LGE-E Meter Pu WACOC-Tax Table'!$E$10*I48</f>
        <v>0</v>
      </c>
      <c r="K48" s="62">
        <f>I48*('LGE-E Meter Pu WACOC-Tax Table'!$E$11+'LGE-E Meter Pu WACOC-Tax Table'!$E$12)</f>
        <v>0</v>
      </c>
      <c r="L48" s="62">
        <f t="shared" si="13"/>
        <v>0</v>
      </c>
      <c r="M48" s="62">
        <f t="shared" si="1"/>
        <v>0</v>
      </c>
      <c r="N48" s="62">
        <f t="shared" si="2"/>
        <v>0</v>
      </c>
      <c r="O48" s="62">
        <f t="shared" si="3"/>
        <v>0</v>
      </c>
      <c r="P48" s="63">
        <f>1/(1+'LGE-E Meter Pu WACOC-Tax Table'!$E$13)^A48</f>
        <v>0.28776263032507438</v>
      </c>
      <c r="Q48" s="65">
        <f t="shared" si="4"/>
        <v>0</v>
      </c>
      <c r="R48" s="62">
        <f t="shared" si="7"/>
        <v>978.87231863975524</v>
      </c>
      <c r="S48" s="56">
        <f t="shared" si="8"/>
        <v>0</v>
      </c>
      <c r="T48" s="59"/>
    </row>
    <row r="49" spans="1:20" hidden="1" x14ac:dyDescent="0.25">
      <c r="A49" s="13">
        <v>19</v>
      </c>
      <c r="C49" s="62">
        <f t="shared" si="9"/>
        <v>0</v>
      </c>
      <c r="D49" s="62">
        <f t="shared" si="10"/>
        <v>0</v>
      </c>
      <c r="E49" s="62">
        <f>HLOOKUP($E$10,'LGE-E Meter Pu WACOC-Tax Table'!$B$17:$E$58,A50)*$B$30</f>
        <v>0</v>
      </c>
      <c r="F49" s="62">
        <f t="shared" si="11"/>
        <v>0</v>
      </c>
      <c r="G49" s="62">
        <f t="shared" si="5"/>
        <v>0</v>
      </c>
      <c r="H49" s="62">
        <f t="shared" si="12"/>
        <v>1.5987211554602254E-14</v>
      </c>
      <c r="I49" s="62">
        <f t="shared" si="14"/>
        <v>0</v>
      </c>
      <c r="J49" s="62">
        <f>'LGE-E Meter Pu WACOC-Tax Table'!$E$10*I49</f>
        <v>0</v>
      </c>
      <c r="K49" s="62">
        <f>I49*('LGE-E Meter Pu WACOC-Tax Table'!$E$11+'LGE-E Meter Pu WACOC-Tax Table'!$E$12)</f>
        <v>0</v>
      </c>
      <c r="L49" s="62">
        <f t="shared" si="13"/>
        <v>0</v>
      </c>
      <c r="M49" s="62">
        <f t="shared" si="1"/>
        <v>0</v>
      </c>
      <c r="N49" s="62">
        <f t="shared" si="2"/>
        <v>0</v>
      </c>
      <c r="O49" s="62">
        <f t="shared" si="3"/>
        <v>0</v>
      </c>
      <c r="P49" s="63">
        <f>1/(1+'LGE-E Meter Pu WACOC-Tax Table'!$E$13)^A49</f>
        <v>0.26852254197797609</v>
      </c>
      <c r="Q49" s="65">
        <f t="shared" si="4"/>
        <v>0</v>
      </c>
      <c r="R49" s="62">
        <f t="shared" si="7"/>
        <v>978.87231863975524</v>
      </c>
      <c r="S49" s="56">
        <f t="shared" si="8"/>
        <v>0</v>
      </c>
      <c r="T49" s="59"/>
    </row>
    <row r="50" spans="1:20" hidden="1" x14ac:dyDescent="0.25">
      <c r="A50" s="13">
        <v>20</v>
      </c>
      <c r="C50" s="62">
        <f t="shared" si="9"/>
        <v>0</v>
      </c>
      <c r="D50" s="62">
        <f t="shared" si="10"/>
        <v>0</v>
      </c>
      <c r="E50" s="62">
        <f>HLOOKUP($E$10,'LGE-E Meter Pu WACOC-Tax Table'!$B$17:$E$58,A51)*$B$30</f>
        <v>0</v>
      </c>
      <c r="F50" s="62">
        <f t="shared" si="11"/>
        <v>0</v>
      </c>
      <c r="G50" s="62">
        <f t="shared" si="5"/>
        <v>0</v>
      </c>
      <c r="H50" s="62">
        <f t="shared" si="12"/>
        <v>1.5987211554602254E-14</v>
      </c>
      <c r="I50" s="62">
        <f t="shared" si="14"/>
        <v>0</v>
      </c>
      <c r="J50" s="62">
        <f>'LGE-E Meter Pu WACOC-Tax Table'!$E$10*I50</f>
        <v>0</v>
      </c>
      <c r="K50" s="62">
        <f>I50*('LGE-E Meter Pu WACOC-Tax Table'!$E$11+'LGE-E Meter Pu WACOC-Tax Table'!$E$12)</f>
        <v>0</v>
      </c>
      <c r="L50" s="62">
        <f t="shared" si="13"/>
        <v>0</v>
      </c>
      <c r="M50" s="62">
        <f t="shared" si="1"/>
        <v>0</v>
      </c>
      <c r="N50" s="62">
        <f t="shared" si="2"/>
        <v>0</v>
      </c>
      <c r="O50" s="62">
        <f t="shared" si="3"/>
        <v>0</v>
      </c>
      <c r="P50" s="63">
        <f>1/(1+'LGE-E Meter Pu WACOC-Tax Table'!$E$13)^A50</f>
        <v>0.2505688645841902</v>
      </c>
      <c r="Q50" s="65">
        <f t="shared" si="4"/>
        <v>0</v>
      </c>
      <c r="R50" s="62">
        <f t="shared" si="7"/>
        <v>978.87231863975524</v>
      </c>
      <c r="S50" s="56">
        <f t="shared" si="8"/>
        <v>0</v>
      </c>
      <c r="T50" s="59"/>
    </row>
    <row r="51" spans="1:20" hidden="1" x14ac:dyDescent="0.25">
      <c r="A51" s="13">
        <v>21</v>
      </c>
      <c r="C51" s="62">
        <f t="shared" si="9"/>
        <v>0</v>
      </c>
      <c r="D51" s="62">
        <f t="shared" si="10"/>
        <v>0</v>
      </c>
      <c r="E51" s="62">
        <f>HLOOKUP($E$10,'LGE-E Meter Pu WACOC-Tax Table'!$B$17:$E$58,A52)*$B$30</f>
        <v>0</v>
      </c>
      <c r="F51" s="62">
        <f t="shared" si="11"/>
        <v>0</v>
      </c>
      <c r="G51" s="62">
        <f t="shared" si="5"/>
        <v>0</v>
      </c>
      <c r="H51" s="62">
        <f t="shared" si="12"/>
        <v>1.5987211554602254E-14</v>
      </c>
      <c r="I51" s="62">
        <f t="shared" si="14"/>
        <v>0</v>
      </c>
      <c r="J51" s="62">
        <f>'LGE-E Meter Pu WACOC-Tax Table'!$E$10*I51</f>
        <v>0</v>
      </c>
      <c r="K51" s="62">
        <f>I51*('LGE-E Meter Pu WACOC-Tax Table'!$E$11+'LGE-E Meter Pu WACOC-Tax Table'!$E$12)</f>
        <v>0</v>
      </c>
      <c r="L51" s="62">
        <f t="shared" si="13"/>
        <v>0</v>
      </c>
      <c r="M51" s="62">
        <f t="shared" si="1"/>
        <v>0</v>
      </c>
      <c r="N51" s="62">
        <f t="shared" si="2"/>
        <v>0</v>
      </c>
      <c r="O51" s="62">
        <f t="shared" si="3"/>
        <v>0</v>
      </c>
      <c r="P51" s="63">
        <f>1/(1+'LGE-E Meter Pu WACOC-Tax Table'!$E$13)^A51</f>
        <v>0.23381558746066008</v>
      </c>
      <c r="Q51" s="65">
        <f t="shared" si="4"/>
        <v>0</v>
      </c>
      <c r="R51" s="62">
        <f t="shared" si="7"/>
        <v>978.87231863975524</v>
      </c>
      <c r="S51" s="56">
        <f t="shared" si="8"/>
        <v>0</v>
      </c>
      <c r="T51" s="59"/>
    </row>
    <row r="52" spans="1:20" hidden="1" x14ac:dyDescent="0.25">
      <c r="A52" s="13">
        <v>22</v>
      </c>
      <c r="C52" s="62">
        <f t="shared" si="9"/>
        <v>0</v>
      </c>
      <c r="D52" s="62">
        <f t="shared" si="10"/>
        <v>0</v>
      </c>
      <c r="E52" s="62">
        <f>HLOOKUP($E$10,'LGE-E Meter Pu WACOC-Tax Table'!$B$17:$E$58,A53)*$B$30</f>
        <v>0</v>
      </c>
      <c r="F52" s="62">
        <f t="shared" si="11"/>
        <v>0</v>
      </c>
      <c r="G52" s="62">
        <f t="shared" si="5"/>
        <v>0</v>
      </c>
      <c r="H52" s="62">
        <f t="shared" si="12"/>
        <v>1.5987211554602254E-14</v>
      </c>
      <c r="I52" s="62">
        <f t="shared" si="14"/>
        <v>0</v>
      </c>
      <c r="J52" s="62">
        <f>'LGE-E Meter Pu WACOC-Tax Table'!$E$10*I52</f>
        <v>0</v>
      </c>
      <c r="K52" s="62">
        <f>I52*('LGE-E Meter Pu WACOC-Tax Table'!$E$11+'LGE-E Meter Pu WACOC-Tax Table'!$E$12)</f>
        <v>0</v>
      </c>
      <c r="L52" s="62">
        <f t="shared" si="13"/>
        <v>0</v>
      </c>
      <c r="M52" s="62">
        <f t="shared" si="1"/>
        <v>0</v>
      </c>
      <c r="N52" s="62">
        <f t="shared" si="2"/>
        <v>0</v>
      </c>
      <c r="O52" s="62">
        <f t="shared" si="3"/>
        <v>0</v>
      </c>
      <c r="P52" s="63">
        <f>1/(1+'LGE-E Meter Pu WACOC-Tax Table'!$E$13)^A52</f>
        <v>0.21818245068195513</v>
      </c>
      <c r="Q52" s="65">
        <f t="shared" si="4"/>
        <v>0</v>
      </c>
      <c r="R52" s="62">
        <f t="shared" si="7"/>
        <v>978.87231863975524</v>
      </c>
      <c r="S52" s="56">
        <f t="shared" si="8"/>
        <v>0</v>
      </c>
      <c r="T52" s="59"/>
    </row>
    <row r="53" spans="1:20" hidden="1" x14ac:dyDescent="0.25">
      <c r="A53" s="13">
        <v>23</v>
      </c>
      <c r="C53" s="62">
        <f t="shared" si="9"/>
        <v>0</v>
      </c>
      <c r="D53" s="62">
        <f t="shared" si="10"/>
        <v>0</v>
      </c>
      <c r="E53" s="62">
        <f>HLOOKUP($E$10,'LGE-E Meter Pu WACOC-Tax Table'!$B$17:$E$58,A54)*$B$30</f>
        <v>0</v>
      </c>
      <c r="F53" s="62">
        <f t="shared" si="11"/>
        <v>0</v>
      </c>
      <c r="G53" s="62">
        <f t="shared" si="5"/>
        <v>0</v>
      </c>
      <c r="H53" s="62">
        <f t="shared" si="12"/>
        <v>1.5987211554602254E-14</v>
      </c>
      <c r="I53" s="62">
        <f t="shared" si="14"/>
        <v>0</v>
      </c>
      <c r="J53" s="62">
        <f>'LGE-E Meter Pu WACOC-Tax Table'!$E$10*I53</f>
        <v>0</v>
      </c>
      <c r="K53" s="62">
        <f>I53*('LGE-E Meter Pu WACOC-Tax Table'!$E$11+'LGE-E Meter Pu WACOC-Tax Table'!$E$12)</f>
        <v>0</v>
      </c>
      <c r="L53" s="62">
        <f t="shared" si="13"/>
        <v>0</v>
      </c>
      <c r="M53" s="62">
        <f t="shared" si="1"/>
        <v>0</v>
      </c>
      <c r="N53" s="62">
        <f t="shared" si="2"/>
        <v>0</v>
      </c>
      <c r="O53" s="62">
        <f t="shared" si="3"/>
        <v>0</v>
      </c>
      <c r="P53" s="63">
        <f>1/(1+'LGE-E Meter Pu WACOC-Tax Table'!$E$13)^A53</f>
        <v>0.2035945605790426</v>
      </c>
      <c r="Q53" s="65">
        <f t="shared" si="4"/>
        <v>0</v>
      </c>
      <c r="R53" s="62">
        <f t="shared" si="7"/>
        <v>978.87231863975524</v>
      </c>
      <c r="S53" s="56">
        <f t="shared" si="8"/>
        <v>0</v>
      </c>
      <c r="T53" s="59"/>
    </row>
    <row r="54" spans="1:20" hidden="1" x14ac:dyDescent="0.25">
      <c r="A54" s="13">
        <v>24</v>
      </c>
      <c r="C54" s="62">
        <f t="shared" si="9"/>
        <v>0</v>
      </c>
      <c r="D54" s="62">
        <f t="shared" si="10"/>
        <v>0</v>
      </c>
      <c r="E54" s="62">
        <f>HLOOKUP($E$10,'LGE-E Meter Pu WACOC-Tax Table'!$B$17:$E$58,A55)*$B$30</f>
        <v>0</v>
      </c>
      <c r="F54" s="62">
        <f t="shared" si="11"/>
        <v>0</v>
      </c>
      <c r="G54" s="62">
        <f t="shared" si="5"/>
        <v>0</v>
      </c>
      <c r="H54" s="62">
        <f t="shared" si="12"/>
        <v>1.5987211554602254E-14</v>
      </c>
      <c r="I54" s="62">
        <f t="shared" si="14"/>
        <v>0</v>
      </c>
      <c r="J54" s="62">
        <f>'LGE-E Meter Pu WACOC-Tax Table'!$E$10*I54</f>
        <v>0</v>
      </c>
      <c r="K54" s="62">
        <f>I54*('LGE-E Meter Pu WACOC-Tax Table'!$E$11+'LGE-E Meter Pu WACOC-Tax Table'!$E$12)</f>
        <v>0</v>
      </c>
      <c r="L54" s="62">
        <f t="shared" si="13"/>
        <v>0</v>
      </c>
      <c r="M54" s="62">
        <f t="shared" si="1"/>
        <v>0</v>
      </c>
      <c r="N54" s="62">
        <f t="shared" si="2"/>
        <v>0</v>
      </c>
      <c r="O54" s="62">
        <f t="shared" si="3"/>
        <v>0</v>
      </c>
      <c r="P54" s="63">
        <f>1/(1+'LGE-E Meter Pu WACOC-Tax Table'!$E$13)^A54</f>
        <v>0.18998203094618393</v>
      </c>
      <c r="Q54" s="65">
        <f t="shared" si="4"/>
        <v>0</v>
      </c>
      <c r="R54" s="62">
        <f t="shared" si="7"/>
        <v>978.87231863975524</v>
      </c>
      <c r="S54" s="56">
        <f t="shared" si="8"/>
        <v>0</v>
      </c>
      <c r="T54" s="59"/>
    </row>
    <row r="55" spans="1:20" hidden="1" x14ac:dyDescent="0.25">
      <c r="A55" s="13">
        <v>25</v>
      </c>
      <c r="C55" s="62">
        <f t="shared" si="9"/>
        <v>0</v>
      </c>
      <c r="D55" s="62">
        <f t="shared" si="10"/>
        <v>0</v>
      </c>
      <c r="E55" s="62">
        <f>HLOOKUP($E$10,'LGE-E Meter Pu WACOC-Tax Table'!$B$17:$E$58,A56)*$B$30</f>
        <v>0</v>
      </c>
      <c r="F55" s="62">
        <f t="shared" si="11"/>
        <v>0</v>
      </c>
      <c r="G55" s="62">
        <f t="shared" si="5"/>
        <v>0</v>
      </c>
      <c r="H55" s="62">
        <f t="shared" si="12"/>
        <v>1.5987211554602254E-14</v>
      </c>
      <c r="I55" s="62">
        <f t="shared" si="14"/>
        <v>0</v>
      </c>
      <c r="J55" s="62">
        <f>'LGE-E Meter Pu WACOC-Tax Table'!$E$10*I55</f>
        <v>0</v>
      </c>
      <c r="K55" s="62">
        <f>I55*('LGE-E Meter Pu WACOC-Tax Table'!$E$11+'LGE-E Meter Pu WACOC-Tax Table'!$E$12)</f>
        <v>0</v>
      </c>
      <c r="L55" s="62">
        <f t="shared" si="13"/>
        <v>0</v>
      </c>
      <c r="M55" s="62">
        <f t="shared" si="1"/>
        <v>0</v>
      </c>
      <c r="N55" s="62">
        <f t="shared" si="2"/>
        <v>0</v>
      </c>
      <c r="O55" s="62">
        <f t="shared" si="3"/>
        <v>0</v>
      </c>
      <c r="P55" s="63">
        <f>1/(1+'LGE-E Meter Pu WACOC-Tax Table'!$E$13)^A55</f>
        <v>0.17727964823708611</v>
      </c>
      <c r="Q55" s="65">
        <f t="shared" si="4"/>
        <v>0</v>
      </c>
      <c r="R55" s="62">
        <f t="shared" si="7"/>
        <v>978.87231863975524</v>
      </c>
      <c r="S55" s="56">
        <f t="shared" si="8"/>
        <v>0</v>
      </c>
      <c r="T55" s="59"/>
    </row>
    <row r="56" spans="1:20" hidden="1" x14ac:dyDescent="0.25">
      <c r="A56" s="13">
        <v>26</v>
      </c>
      <c r="C56" s="62">
        <f t="shared" si="9"/>
        <v>0</v>
      </c>
      <c r="D56" s="62">
        <f t="shared" si="10"/>
        <v>0</v>
      </c>
      <c r="E56" s="62">
        <f>HLOOKUP($E$10,'LGE-E Meter Pu WACOC-Tax Table'!$B$17:$E$58,A57)*$B$30</f>
        <v>0</v>
      </c>
      <c r="F56" s="62">
        <f t="shared" si="11"/>
        <v>0</v>
      </c>
      <c r="G56" s="62">
        <f t="shared" si="5"/>
        <v>0</v>
      </c>
      <c r="H56" s="62">
        <f t="shared" si="12"/>
        <v>1.5987211554602254E-14</v>
      </c>
      <c r="I56" s="62">
        <f t="shared" si="14"/>
        <v>0</v>
      </c>
      <c r="J56" s="62">
        <f>'LGE-E Meter Pu WACOC-Tax Table'!$E$10*I56</f>
        <v>0</v>
      </c>
      <c r="K56" s="62">
        <f>I56*('LGE-E Meter Pu WACOC-Tax Table'!$E$11+'LGE-E Meter Pu WACOC-Tax Table'!$E$12)</f>
        <v>0</v>
      </c>
      <c r="L56" s="62">
        <f t="shared" si="13"/>
        <v>0</v>
      </c>
      <c r="M56" s="62">
        <f t="shared" si="1"/>
        <v>0</v>
      </c>
      <c r="N56" s="62">
        <f t="shared" si="2"/>
        <v>0</v>
      </c>
      <c r="O56" s="62">
        <f t="shared" si="3"/>
        <v>0</v>
      </c>
      <c r="P56" s="63">
        <f>1/(1+'LGE-E Meter Pu WACOC-Tax Table'!$E$13)^A56</f>
        <v>0.16542655914636259</v>
      </c>
      <c r="Q56" s="65">
        <f t="shared" si="4"/>
        <v>0</v>
      </c>
      <c r="R56" s="62">
        <f t="shared" si="7"/>
        <v>978.87231863975524</v>
      </c>
      <c r="S56" s="56">
        <f t="shared" si="8"/>
        <v>0</v>
      </c>
      <c r="T56" s="59"/>
    </row>
    <row r="57" spans="1:20" hidden="1" x14ac:dyDescent="0.25">
      <c r="A57" s="13">
        <v>27</v>
      </c>
      <c r="C57" s="62">
        <f t="shared" si="9"/>
        <v>0</v>
      </c>
      <c r="D57" s="62">
        <f t="shared" si="10"/>
        <v>0</v>
      </c>
      <c r="E57" s="62">
        <f>HLOOKUP($E$10,'LGE-E Meter Pu WACOC-Tax Table'!$B$17:$E$58,A58)*$B$30</f>
        <v>0</v>
      </c>
      <c r="F57" s="62">
        <f t="shared" si="11"/>
        <v>0</v>
      </c>
      <c r="G57" s="62">
        <f t="shared" si="5"/>
        <v>0</v>
      </c>
      <c r="H57" s="62">
        <f t="shared" si="12"/>
        <v>1.5987211554602254E-14</v>
      </c>
      <c r="I57" s="62">
        <f t="shared" si="14"/>
        <v>0</v>
      </c>
      <c r="J57" s="62">
        <f>'LGE-E Meter Pu WACOC-Tax Table'!$E$10*I57</f>
        <v>0</v>
      </c>
      <c r="K57" s="62">
        <f>I57*('LGE-E Meter Pu WACOC-Tax Table'!$E$11+'LGE-E Meter Pu WACOC-Tax Table'!$E$12)</f>
        <v>0</v>
      </c>
      <c r="L57" s="62">
        <f t="shared" si="13"/>
        <v>0</v>
      </c>
      <c r="M57" s="62">
        <f t="shared" si="1"/>
        <v>0</v>
      </c>
      <c r="N57" s="62">
        <f t="shared" si="2"/>
        <v>0</v>
      </c>
      <c r="O57" s="62">
        <f t="shared" si="3"/>
        <v>0</v>
      </c>
      <c r="P57" s="63">
        <f>1/(1+'LGE-E Meter Pu WACOC-Tax Table'!$E$13)^A57</f>
        <v>0.1543659790796007</v>
      </c>
      <c r="Q57" s="65">
        <f t="shared" si="4"/>
        <v>0</v>
      </c>
      <c r="R57" s="62">
        <f t="shared" si="7"/>
        <v>978.87231863975524</v>
      </c>
      <c r="S57" s="56">
        <f t="shared" si="8"/>
        <v>0</v>
      </c>
      <c r="T57" s="59"/>
    </row>
    <row r="58" spans="1:20" hidden="1" x14ac:dyDescent="0.25">
      <c r="A58" s="13">
        <v>28</v>
      </c>
      <c r="C58" s="62">
        <f t="shared" si="9"/>
        <v>0</v>
      </c>
      <c r="D58" s="62">
        <f t="shared" si="10"/>
        <v>0</v>
      </c>
      <c r="E58" s="62">
        <f>HLOOKUP($E$10,'LGE-E Meter Pu WACOC-Tax Table'!$B$17:$E$58,A59)*$B$30</f>
        <v>0</v>
      </c>
      <c r="F58" s="62">
        <f t="shared" si="11"/>
        <v>0</v>
      </c>
      <c r="G58" s="62">
        <f t="shared" si="5"/>
        <v>0</v>
      </c>
      <c r="H58" s="62">
        <f t="shared" si="12"/>
        <v>1.5987211554602254E-14</v>
      </c>
      <c r="I58" s="62">
        <f t="shared" si="14"/>
        <v>0</v>
      </c>
      <c r="J58" s="62">
        <f>'LGE-E Meter Pu WACOC-Tax Table'!$E$10*I58</f>
        <v>0</v>
      </c>
      <c r="K58" s="62">
        <f>I58*('LGE-E Meter Pu WACOC-Tax Table'!$E$11+'LGE-E Meter Pu WACOC-Tax Table'!$E$12)</f>
        <v>0</v>
      </c>
      <c r="L58" s="62">
        <f t="shared" si="13"/>
        <v>0</v>
      </c>
      <c r="M58" s="62">
        <f t="shared" si="1"/>
        <v>0</v>
      </c>
      <c r="N58" s="62">
        <f t="shared" si="2"/>
        <v>0</v>
      </c>
      <c r="O58" s="62">
        <f t="shared" si="3"/>
        <v>0</v>
      </c>
      <c r="P58" s="63">
        <f>1/(1+'LGE-E Meter Pu WACOC-Tax Table'!$E$13)^A58</f>
        <v>0.14404492011540257</v>
      </c>
      <c r="Q58" s="65">
        <f t="shared" si="4"/>
        <v>0</v>
      </c>
      <c r="R58" s="62">
        <f t="shared" si="7"/>
        <v>978.87231863975524</v>
      </c>
      <c r="S58" s="56">
        <f t="shared" si="8"/>
        <v>0</v>
      </c>
      <c r="T58" s="59"/>
    </row>
    <row r="59" spans="1:20" hidden="1" x14ac:dyDescent="0.25">
      <c r="A59" s="13">
        <v>29</v>
      </c>
      <c r="C59" s="62">
        <f t="shared" si="9"/>
        <v>0</v>
      </c>
      <c r="D59" s="62">
        <f t="shared" si="10"/>
        <v>0</v>
      </c>
      <c r="E59" s="62">
        <f>HLOOKUP($E$10,'LGE-E Meter Pu WACOC-Tax Table'!$B$17:$E$58,A60)*$B$30</f>
        <v>0</v>
      </c>
      <c r="F59" s="62">
        <f t="shared" si="11"/>
        <v>0</v>
      </c>
      <c r="G59" s="62">
        <f t="shared" si="5"/>
        <v>0</v>
      </c>
      <c r="H59" s="62">
        <f t="shared" si="12"/>
        <v>1.5987211554602254E-14</v>
      </c>
      <c r="I59" s="62">
        <f t="shared" si="14"/>
        <v>0</v>
      </c>
      <c r="J59" s="62">
        <f>'LGE-E Meter Pu WACOC-Tax Table'!$E$10*I59</f>
        <v>0</v>
      </c>
      <c r="K59" s="62">
        <f>I59*('LGE-E Meter Pu WACOC-Tax Table'!$E$11+'LGE-E Meter Pu WACOC-Tax Table'!$E$12)</f>
        <v>0</v>
      </c>
      <c r="L59" s="62">
        <f t="shared" si="13"/>
        <v>0</v>
      </c>
      <c r="M59" s="62">
        <f t="shared" si="1"/>
        <v>0</v>
      </c>
      <c r="N59" s="62">
        <f t="shared" si="2"/>
        <v>0</v>
      </c>
      <c r="O59" s="62">
        <f t="shared" si="3"/>
        <v>0</v>
      </c>
      <c r="P59" s="63">
        <f>1/(1+'LGE-E Meter Pu WACOC-Tax Table'!$E$13)^A59</f>
        <v>0.13441393715614805</v>
      </c>
      <c r="Q59" s="65">
        <f t="shared" si="4"/>
        <v>0</v>
      </c>
      <c r="R59" s="62">
        <f t="shared" si="7"/>
        <v>978.87231863975524</v>
      </c>
      <c r="S59" s="56">
        <f t="shared" si="8"/>
        <v>0</v>
      </c>
      <c r="T59" s="59"/>
    </row>
    <row r="60" spans="1:20" hidden="1" x14ac:dyDescent="0.25">
      <c r="A60" s="13">
        <v>30</v>
      </c>
      <c r="C60" s="62">
        <f t="shared" si="9"/>
        <v>0</v>
      </c>
      <c r="D60" s="62">
        <f t="shared" si="10"/>
        <v>0</v>
      </c>
      <c r="E60" s="62">
        <f>HLOOKUP($E$10,'LGE-E Meter Pu WACOC-Tax Table'!$B$17:$E$58,A61)*$B$30</f>
        <v>0</v>
      </c>
      <c r="F60" s="62">
        <f t="shared" si="11"/>
        <v>0</v>
      </c>
      <c r="G60" s="62">
        <f t="shared" si="5"/>
        <v>0</v>
      </c>
      <c r="H60" s="62">
        <f t="shared" si="12"/>
        <v>1.5987211554602254E-14</v>
      </c>
      <c r="I60" s="62">
        <f t="shared" si="14"/>
        <v>0</v>
      </c>
      <c r="J60" s="62">
        <f>'LGE-E Meter Pu WACOC-Tax Table'!$E$10*I60</f>
        <v>0</v>
      </c>
      <c r="K60" s="62">
        <f>I60*('LGE-E Meter Pu WACOC-Tax Table'!$E$11+'LGE-E Meter Pu WACOC-Tax Table'!$E$12)</f>
        <v>0</v>
      </c>
      <c r="L60" s="62">
        <f t="shared" si="13"/>
        <v>0</v>
      </c>
      <c r="M60" s="62">
        <f t="shared" si="1"/>
        <v>0</v>
      </c>
      <c r="N60" s="62">
        <f t="shared" si="2"/>
        <v>0</v>
      </c>
      <c r="O60" s="62">
        <f t="shared" si="3"/>
        <v>0</v>
      </c>
      <c r="P60" s="63">
        <f>1/(1+'LGE-E Meter Pu WACOC-Tax Table'!$E$13)^A60</f>
        <v>0.12542689105136315</v>
      </c>
      <c r="Q60" s="65">
        <f t="shared" si="4"/>
        <v>0</v>
      </c>
      <c r="R60" s="62">
        <f t="shared" si="7"/>
        <v>978.87231863975524</v>
      </c>
      <c r="S60" s="56">
        <f t="shared" si="8"/>
        <v>0</v>
      </c>
      <c r="T60" s="59"/>
    </row>
    <row r="61" spans="1:20" hidden="1" x14ac:dyDescent="0.25">
      <c r="A61" s="13">
        <v>31</v>
      </c>
      <c r="C61" s="62">
        <f>IF(D60&lt;=0.001,0,(1/$E$9)*$B$30)</f>
        <v>0</v>
      </c>
      <c r="D61" s="62">
        <f>D60-C61</f>
        <v>0</v>
      </c>
      <c r="E61" s="55">
        <f>HLOOKUP($E$10,'LGE-E Meter Pu WACOC-Tax Table'!$B$17:$E$58,A62)*$B$30</f>
        <v>0</v>
      </c>
      <c r="F61" s="62">
        <f>F60-E61</f>
        <v>0</v>
      </c>
      <c r="G61" s="55">
        <f t="shared" si="5"/>
        <v>0</v>
      </c>
      <c r="H61" s="58">
        <f>H60+G61</f>
        <v>1.5987211554602254E-14</v>
      </c>
      <c r="I61" s="58">
        <f t="shared" si="14"/>
        <v>0</v>
      </c>
      <c r="J61" s="24">
        <f>'LGE-E Meter Pu WACOC-Tax Table'!$E$10*I61</f>
        <v>0</v>
      </c>
      <c r="K61" s="55">
        <f>I61*('LGE-E Meter Pu WACOC-Tax Table'!$E$11+'LGE-E Meter Pu WACOC-Tax Table'!$E$12)</f>
        <v>0</v>
      </c>
      <c r="L61" s="55">
        <f>$E$14*$E$8*(1+$E$15)^A60</f>
        <v>0</v>
      </c>
      <c r="M61" s="58">
        <f t="shared" si="1"/>
        <v>0</v>
      </c>
      <c r="N61" s="62">
        <f t="shared" si="2"/>
        <v>0</v>
      </c>
      <c r="O61" s="55">
        <f t="shared" si="3"/>
        <v>0</v>
      </c>
      <c r="P61" s="66">
        <f>1/(1+'LGE-E Meter Pu WACOC-Tax Table'!$E$13)^A61</f>
        <v>0.11704072755889032</v>
      </c>
      <c r="Q61" s="64">
        <f t="shared" si="4"/>
        <v>0</v>
      </c>
      <c r="R61" s="58">
        <f>R60+Q61</f>
        <v>978.87231863975524</v>
      </c>
      <c r="S61" s="56">
        <f t="shared" si="8"/>
        <v>0</v>
      </c>
      <c r="T61" s="59"/>
    </row>
    <row r="62" spans="1:20" hidden="1" x14ac:dyDescent="0.25">
      <c r="A62" s="13">
        <v>32</v>
      </c>
      <c r="C62" s="62">
        <f t="shared" si="9"/>
        <v>0</v>
      </c>
      <c r="D62" s="62">
        <f t="shared" si="10"/>
        <v>0</v>
      </c>
      <c r="E62" s="55">
        <f>HLOOKUP($E$10,'LGE-E Meter Pu WACOC-Tax Table'!$B$17:$E$58,A63)*$B$30</f>
        <v>0</v>
      </c>
      <c r="F62" s="62">
        <f t="shared" si="11"/>
        <v>0</v>
      </c>
      <c r="G62" s="55">
        <f t="shared" si="5"/>
        <v>0</v>
      </c>
      <c r="H62" s="58">
        <f t="shared" si="12"/>
        <v>1.5987211554602254E-14</v>
      </c>
      <c r="I62" s="58">
        <f t="shared" si="14"/>
        <v>0</v>
      </c>
      <c r="J62" s="24">
        <f>'LGE-E Meter Pu WACOC-Tax Table'!$E$10*I62</f>
        <v>0</v>
      </c>
      <c r="K62" s="55">
        <f>I62*('LGE-E Meter Pu WACOC-Tax Table'!$E$11+'LGE-E Meter Pu WACOC-Tax Table'!$E$12)</f>
        <v>0</v>
      </c>
      <c r="L62" s="55">
        <f t="shared" si="13"/>
        <v>0</v>
      </c>
      <c r="M62" s="58">
        <f t="shared" si="1"/>
        <v>0</v>
      </c>
      <c r="N62" s="62">
        <f t="shared" si="2"/>
        <v>0</v>
      </c>
      <c r="O62" s="55">
        <f t="shared" si="3"/>
        <v>0</v>
      </c>
      <c r="P62" s="66">
        <f>1/(1+'LGE-E Meter Pu WACOC-Tax Table'!$E$13)^A62</f>
        <v>0.10921527108492825</v>
      </c>
      <c r="Q62" s="64">
        <f t="shared" si="4"/>
        <v>0</v>
      </c>
      <c r="R62" s="58">
        <f t="shared" si="7"/>
        <v>978.87231863975524</v>
      </c>
      <c r="S62" s="56">
        <f t="shared" si="8"/>
        <v>0</v>
      </c>
      <c r="T62" s="59"/>
    </row>
    <row r="63" spans="1:20" hidden="1" x14ac:dyDescent="0.25">
      <c r="A63" s="13">
        <v>33</v>
      </c>
      <c r="C63" s="62">
        <f t="shared" si="9"/>
        <v>0</v>
      </c>
      <c r="D63" s="62">
        <f t="shared" si="10"/>
        <v>0</v>
      </c>
      <c r="E63" s="55">
        <f>HLOOKUP($E$10,'LGE-E Meter Pu WACOC-Tax Table'!$B$17:$E$58,A64)*$B$30</f>
        <v>0</v>
      </c>
      <c r="F63" s="62">
        <f t="shared" si="11"/>
        <v>0</v>
      </c>
      <c r="G63" s="55">
        <f t="shared" si="5"/>
        <v>0</v>
      </c>
      <c r="H63" s="58">
        <f t="shared" si="12"/>
        <v>1.5987211554602254E-14</v>
      </c>
      <c r="I63" s="58">
        <f t="shared" si="14"/>
        <v>0</v>
      </c>
      <c r="J63" s="24">
        <f>'LGE-E Meter Pu WACOC-Tax Table'!$E$10*I63</f>
        <v>0</v>
      </c>
      <c r="K63" s="55">
        <f>I63*('LGE-E Meter Pu WACOC-Tax Table'!$E$11+'LGE-E Meter Pu WACOC-Tax Table'!$E$12)</f>
        <v>0</v>
      </c>
      <c r="L63" s="55">
        <f t="shared" si="13"/>
        <v>0</v>
      </c>
      <c r="M63" s="58">
        <f t="shared" si="1"/>
        <v>0</v>
      </c>
      <c r="N63" s="62">
        <f t="shared" si="2"/>
        <v>0</v>
      </c>
      <c r="O63" s="55">
        <f t="shared" si="3"/>
        <v>0</v>
      </c>
      <c r="P63" s="66">
        <f>1/(1+'LGE-E Meter Pu WACOC-Tax Table'!$E$13)^A63</f>
        <v>0.10191303221481321</v>
      </c>
      <c r="Q63" s="64">
        <f t="shared" si="4"/>
        <v>0</v>
      </c>
      <c r="R63" s="58">
        <f t="shared" si="7"/>
        <v>978.87231863975524</v>
      </c>
      <c r="S63" s="56">
        <f t="shared" si="8"/>
        <v>0</v>
      </c>
      <c r="T63" s="59"/>
    </row>
    <row r="64" spans="1:20" hidden="1" x14ac:dyDescent="0.25">
      <c r="A64" s="13">
        <v>34</v>
      </c>
      <c r="C64" s="62">
        <f t="shared" si="9"/>
        <v>0</v>
      </c>
      <c r="D64" s="62">
        <f t="shared" si="10"/>
        <v>0</v>
      </c>
      <c r="E64" s="55">
        <f>HLOOKUP($E$10,'LGE-E Meter Pu WACOC-Tax Table'!$B$17:$E$58,A65)*$B$30</f>
        <v>0</v>
      </c>
      <c r="F64" s="62">
        <f t="shared" si="11"/>
        <v>0</v>
      </c>
      <c r="G64" s="55">
        <f t="shared" si="5"/>
        <v>0</v>
      </c>
      <c r="H64" s="58">
        <f t="shared" si="12"/>
        <v>1.5987211554602254E-14</v>
      </c>
      <c r="I64" s="58">
        <f t="shared" si="14"/>
        <v>0</v>
      </c>
      <c r="J64" s="24">
        <f>'LGE-E Meter Pu WACOC-Tax Table'!$E$10*I64</f>
        <v>0</v>
      </c>
      <c r="K64" s="55">
        <f>I64*('LGE-E Meter Pu WACOC-Tax Table'!$E$11+'LGE-E Meter Pu WACOC-Tax Table'!$E$12)</f>
        <v>0</v>
      </c>
      <c r="L64" s="55">
        <f t="shared" si="13"/>
        <v>0</v>
      </c>
      <c r="M64" s="58">
        <f t="shared" si="1"/>
        <v>0</v>
      </c>
      <c r="N64" s="62">
        <f t="shared" si="2"/>
        <v>0</v>
      </c>
      <c r="O64" s="55">
        <f t="shared" si="3"/>
        <v>0</v>
      </c>
      <c r="P64" s="66">
        <f>1/(1+'LGE-E Meter Pu WACOC-Tax Table'!$E$13)^A64</f>
        <v>9.5099028112478515E-2</v>
      </c>
      <c r="Q64" s="64">
        <f t="shared" si="4"/>
        <v>0</v>
      </c>
      <c r="R64" s="58">
        <f t="shared" si="7"/>
        <v>978.87231863975524</v>
      </c>
      <c r="S64" s="56">
        <f t="shared" si="8"/>
        <v>0</v>
      </c>
      <c r="T64" s="59"/>
    </row>
    <row r="65" spans="1:20" hidden="1" x14ac:dyDescent="0.25">
      <c r="A65" s="13">
        <v>35</v>
      </c>
      <c r="C65" s="62">
        <f t="shared" si="9"/>
        <v>0</v>
      </c>
      <c r="D65" s="62">
        <f t="shared" si="10"/>
        <v>0</v>
      </c>
      <c r="E65" s="55">
        <f>HLOOKUP($E$10,'LGE-E Meter Pu WACOC-Tax Table'!$B$17:$E$58,A66)*$B$30</f>
        <v>0</v>
      </c>
      <c r="F65" s="62">
        <f t="shared" si="11"/>
        <v>0</v>
      </c>
      <c r="G65" s="55">
        <f t="shared" si="5"/>
        <v>0</v>
      </c>
      <c r="H65" s="58">
        <f t="shared" si="12"/>
        <v>1.5987211554602254E-14</v>
      </c>
      <c r="I65" s="58">
        <f t="shared" si="14"/>
        <v>0</v>
      </c>
      <c r="J65" s="24">
        <f>'LGE-E Meter Pu WACOC-Tax Table'!$E$10*I65</f>
        <v>0</v>
      </c>
      <c r="K65" s="55">
        <f>I65*('LGE-E Meter Pu WACOC-Tax Table'!$E$11+'LGE-E Meter Pu WACOC-Tax Table'!$E$12)</f>
        <v>0</v>
      </c>
      <c r="L65" s="55">
        <f t="shared" si="13"/>
        <v>0</v>
      </c>
      <c r="M65" s="58">
        <f t="shared" si="1"/>
        <v>0</v>
      </c>
      <c r="N65" s="62">
        <f t="shared" si="2"/>
        <v>0</v>
      </c>
      <c r="O65" s="55">
        <f t="shared" si="3"/>
        <v>0</v>
      </c>
      <c r="P65" s="66">
        <f>1/(1+'LGE-E Meter Pu WACOC-Tax Table'!$E$13)^A65</f>
        <v>8.8740614928180361E-2</v>
      </c>
      <c r="Q65" s="64">
        <f t="shared" si="4"/>
        <v>0</v>
      </c>
      <c r="R65" s="58">
        <f t="shared" si="7"/>
        <v>978.87231863975524</v>
      </c>
      <c r="S65" s="56">
        <f t="shared" si="8"/>
        <v>0</v>
      </c>
      <c r="T65" s="59"/>
    </row>
    <row r="66" spans="1:20" hidden="1" x14ac:dyDescent="0.25">
      <c r="A66" s="13">
        <v>36</v>
      </c>
      <c r="C66" s="62">
        <f t="shared" si="9"/>
        <v>0</v>
      </c>
      <c r="D66" s="62">
        <f t="shared" si="10"/>
        <v>0</v>
      </c>
      <c r="E66" s="55">
        <f>HLOOKUP($E$10,'LGE-E Meter Pu WACOC-Tax Table'!$B$17:$E$58,A67)*$B$30</f>
        <v>0</v>
      </c>
      <c r="F66" s="62">
        <f t="shared" si="11"/>
        <v>0</v>
      </c>
      <c r="G66" s="55">
        <f t="shared" si="5"/>
        <v>0</v>
      </c>
      <c r="H66" s="58">
        <f t="shared" si="12"/>
        <v>1.5987211554602254E-14</v>
      </c>
      <c r="I66" s="58">
        <f t="shared" si="14"/>
        <v>0</v>
      </c>
      <c r="J66" s="24">
        <f>'LGE-E Meter Pu WACOC-Tax Table'!$E$10*I66</f>
        <v>0</v>
      </c>
      <c r="K66" s="55">
        <f>I66*('LGE-E Meter Pu WACOC-Tax Table'!$E$11+'LGE-E Meter Pu WACOC-Tax Table'!$E$12)</f>
        <v>0</v>
      </c>
      <c r="L66" s="62">
        <v>0</v>
      </c>
      <c r="M66" s="58">
        <f t="shared" si="1"/>
        <v>0</v>
      </c>
      <c r="N66" s="62">
        <f t="shared" si="2"/>
        <v>0</v>
      </c>
      <c r="O66" s="55">
        <f t="shared" si="3"/>
        <v>0</v>
      </c>
      <c r="P66" s="66">
        <f>1/(1+'LGE-E Meter Pu WACOC-Tax Table'!$E$13)^A66</f>
        <v>8.2807331411605387E-2</v>
      </c>
      <c r="Q66" s="64">
        <f t="shared" si="4"/>
        <v>0</v>
      </c>
      <c r="R66" s="58">
        <f t="shared" si="7"/>
        <v>978.87231863975524</v>
      </c>
      <c r="S66" s="56">
        <f t="shared" si="8"/>
        <v>0</v>
      </c>
      <c r="T66" s="31"/>
    </row>
    <row r="67" spans="1:20" hidden="1" x14ac:dyDescent="0.25">
      <c r="A67" s="13">
        <v>37</v>
      </c>
      <c r="C67" s="62">
        <f t="shared" si="9"/>
        <v>0</v>
      </c>
      <c r="D67" s="62">
        <f t="shared" si="10"/>
        <v>0</v>
      </c>
      <c r="E67" s="55">
        <f>HLOOKUP($E$10,'LGE-E Meter Pu WACOC-Tax Table'!$B$17:$E$58,A68)*$B$30</f>
        <v>0</v>
      </c>
      <c r="F67" s="62">
        <f t="shared" si="11"/>
        <v>0</v>
      </c>
      <c r="G67" s="55">
        <f t="shared" si="5"/>
        <v>0</v>
      </c>
      <c r="H67" s="58">
        <f t="shared" si="12"/>
        <v>1.5987211554602254E-14</v>
      </c>
      <c r="I67" s="58">
        <f t="shared" si="14"/>
        <v>0</v>
      </c>
      <c r="J67" s="24">
        <f>'LGE-E Meter Pu WACOC-Tax Table'!$E$10*I67</f>
        <v>0</v>
      </c>
      <c r="K67" s="55">
        <f>I67*('LGE-E Meter Pu WACOC-Tax Table'!$E$11+'LGE-E Meter Pu WACOC-Tax Table'!$E$12)</f>
        <v>0</v>
      </c>
      <c r="L67" s="62">
        <v>0</v>
      </c>
      <c r="M67" s="58">
        <f t="shared" si="1"/>
        <v>0</v>
      </c>
      <c r="N67" s="62">
        <f t="shared" si="2"/>
        <v>0</v>
      </c>
      <c r="O67" s="55">
        <f t="shared" si="3"/>
        <v>0</v>
      </c>
      <c r="P67" s="66">
        <f>1/(1+'LGE-E Meter Pu WACOC-Tax Table'!$E$13)^A67</f>
        <v>7.7270752981157598E-2</v>
      </c>
      <c r="Q67" s="64">
        <f t="shared" si="4"/>
        <v>0</v>
      </c>
      <c r="R67" s="58">
        <f t="shared" si="7"/>
        <v>978.87231863975524</v>
      </c>
      <c r="S67" s="56">
        <f t="shared" si="8"/>
        <v>0</v>
      </c>
      <c r="T67" s="31"/>
    </row>
    <row r="68" spans="1:20" hidden="1" x14ac:dyDescent="0.25">
      <c r="A68" s="13">
        <v>38</v>
      </c>
      <c r="C68" s="62">
        <f t="shared" si="9"/>
        <v>0</v>
      </c>
      <c r="D68" s="62">
        <f t="shared" si="10"/>
        <v>0</v>
      </c>
      <c r="E68" s="55">
        <f>HLOOKUP($E$10,'LGE-E Meter Pu WACOC-Tax Table'!$B$17:$E$58,A69)*$B$30</f>
        <v>0</v>
      </c>
      <c r="F68" s="62">
        <f t="shared" si="11"/>
        <v>0</v>
      </c>
      <c r="G68" s="55">
        <f t="shared" si="5"/>
        <v>0</v>
      </c>
      <c r="H68" s="58">
        <f t="shared" si="12"/>
        <v>1.5987211554602254E-14</v>
      </c>
      <c r="I68" s="58">
        <f t="shared" si="14"/>
        <v>0</v>
      </c>
      <c r="J68" s="24">
        <f>'LGE-E Meter Pu WACOC-Tax Table'!$E$10*I68</f>
        <v>0</v>
      </c>
      <c r="K68" s="55">
        <f>I68*('LGE-E Meter Pu WACOC-Tax Table'!$E$11+'LGE-E Meter Pu WACOC-Tax Table'!$E$12)</f>
        <v>0</v>
      </c>
      <c r="L68" s="62">
        <v>0</v>
      </c>
      <c r="M68" s="58">
        <f t="shared" si="1"/>
        <v>0</v>
      </c>
      <c r="N68" s="62">
        <f t="shared" si="2"/>
        <v>0</v>
      </c>
      <c r="O68" s="55">
        <f t="shared" si="3"/>
        <v>0</v>
      </c>
      <c r="P68" s="66">
        <f>1/(1+'LGE-E Meter Pu WACOC-Tax Table'!$E$13)^A68</f>
        <v>7.2104355550313914E-2</v>
      </c>
      <c r="Q68" s="64">
        <f t="shared" si="4"/>
        <v>0</v>
      </c>
      <c r="R68" s="58">
        <f t="shared" si="7"/>
        <v>978.87231863975524</v>
      </c>
      <c r="S68" s="56">
        <f t="shared" si="8"/>
        <v>0</v>
      </c>
      <c r="T68" s="31"/>
    </row>
    <row r="69" spans="1:20" hidden="1" x14ac:dyDescent="0.25">
      <c r="A69" s="13">
        <v>39</v>
      </c>
      <c r="C69" s="62">
        <f t="shared" si="9"/>
        <v>0</v>
      </c>
      <c r="D69" s="62">
        <f t="shared" si="10"/>
        <v>0</v>
      </c>
      <c r="E69" s="55">
        <f>HLOOKUP($E$10,'LGE-E Meter Pu WACOC-Tax Table'!$B$17:$E$58,A70)*$B$30</f>
        <v>0</v>
      </c>
      <c r="F69" s="62">
        <f t="shared" si="11"/>
        <v>0</v>
      </c>
      <c r="G69" s="55">
        <f t="shared" si="5"/>
        <v>0</v>
      </c>
      <c r="H69" s="58">
        <f t="shared" si="12"/>
        <v>1.5987211554602254E-14</v>
      </c>
      <c r="I69" s="58">
        <f t="shared" si="14"/>
        <v>0</v>
      </c>
      <c r="J69" s="24">
        <f>'LGE-E Meter Pu WACOC-Tax Table'!$E$10*I69</f>
        <v>0</v>
      </c>
      <c r="K69" s="55">
        <f>I69*('LGE-E Meter Pu WACOC-Tax Table'!$E$11+'LGE-E Meter Pu WACOC-Tax Table'!$E$12)</f>
        <v>0</v>
      </c>
      <c r="L69" s="62">
        <v>0</v>
      </c>
      <c r="M69" s="58">
        <f t="shared" si="1"/>
        <v>0</v>
      </c>
      <c r="N69" s="62">
        <f t="shared" si="2"/>
        <v>0</v>
      </c>
      <c r="O69" s="55">
        <f t="shared" si="3"/>
        <v>0</v>
      </c>
      <c r="P69" s="66">
        <f>1/(1+'LGE-E Meter Pu WACOC-Tax Table'!$E$13)^A69</f>
        <v>6.7283388458682009E-2</v>
      </c>
      <c r="Q69" s="64">
        <f t="shared" si="4"/>
        <v>0</v>
      </c>
      <c r="R69" s="58">
        <f t="shared" si="7"/>
        <v>978.87231863975524</v>
      </c>
      <c r="S69" s="56">
        <f t="shared" si="8"/>
        <v>0</v>
      </c>
      <c r="T69" s="31"/>
    </row>
    <row r="70" spans="1:20" hidden="1" x14ac:dyDescent="0.25">
      <c r="A70" s="13">
        <v>40</v>
      </c>
      <c r="C70" s="62">
        <f>IF(D69&lt;=0.001,0,(1/$E$9)*$B$30)</f>
        <v>0</v>
      </c>
      <c r="D70" s="62">
        <f>D69-C70</f>
        <v>0</v>
      </c>
      <c r="E70" s="55">
        <f>HLOOKUP($E$10,'LGE-E Meter Pu WACOC-Tax Table'!$B$17:$E$58,A71)*$B$30</f>
        <v>0</v>
      </c>
      <c r="F70" s="62">
        <f>F69-E70</f>
        <v>0</v>
      </c>
      <c r="G70" s="55">
        <f t="shared" si="5"/>
        <v>0</v>
      </c>
      <c r="H70" s="58">
        <f>H69+G70</f>
        <v>1.5987211554602254E-14</v>
      </c>
      <c r="I70" s="58">
        <f t="shared" si="14"/>
        <v>0</v>
      </c>
      <c r="J70" s="24">
        <f>'LGE-E Meter Pu WACOC-Tax Table'!$E$10*I70</f>
        <v>0</v>
      </c>
      <c r="K70" s="55">
        <f>I70*('LGE-E Meter Pu WACOC-Tax Table'!$E$11+'LGE-E Meter Pu WACOC-Tax Table'!$E$12)</f>
        <v>0</v>
      </c>
      <c r="L70" s="62">
        <v>0</v>
      </c>
      <c r="M70" s="58">
        <f t="shared" si="1"/>
        <v>0</v>
      </c>
      <c r="N70" s="62">
        <f t="shared" si="2"/>
        <v>0</v>
      </c>
      <c r="O70" s="55">
        <f t="shared" si="3"/>
        <v>0</v>
      </c>
      <c r="P70" s="66">
        <f>1/(1+'LGE-E Meter Pu WACOC-Tax Table'!$E$13)^A70</f>
        <v>6.2784755899010225E-2</v>
      </c>
      <c r="Q70" s="67">
        <f t="shared" si="4"/>
        <v>0</v>
      </c>
      <c r="R70" s="58">
        <f>R69+Q70</f>
        <v>978.87231863975524</v>
      </c>
      <c r="S70" s="56">
        <f t="shared" si="8"/>
        <v>0</v>
      </c>
      <c r="T70" s="31"/>
    </row>
    <row r="71" spans="1:20" hidden="1" x14ac:dyDescent="0.25">
      <c r="A71" s="13">
        <v>41</v>
      </c>
      <c r="Q71" s="58">
        <f>SUM(Q30:Q70)</f>
        <v>978.87231863975524</v>
      </c>
    </row>
    <row r="72" spans="1:20" x14ac:dyDescent="0.25">
      <c r="Q72" s="58">
        <f>SUM(Q30:Q60)</f>
        <v>978.87231863975524</v>
      </c>
    </row>
    <row r="79" spans="1:20" x14ac:dyDescent="0.25">
      <c r="K79" s="22"/>
      <c r="O79" s="68"/>
      <c r="Q79" s="58"/>
    </row>
    <row r="80" spans="1:20" x14ac:dyDescent="0.25">
      <c r="K80" s="22"/>
      <c r="O80" s="68"/>
    </row>
    <row r="81" spans="11:15" x14ac:dyDescent="0.25">
      <c r="K81" s="22"/>
      <c r="O81" s="68"/>
    </row>
    <row r="82" spans="11:15" x14ac:dyDescent="0.25">
      <c r="K82" s="22"/>
      <c r="O82" s="68"/>
    </row>
    <row r="83" spans="11:15" x14ac:dyDescent="0.25">
      <c r="K83" s="22"/>
      <c r="O83" s="68"/>
    </row>
    <row r="84" spans="11:15" x14ac:dyDescent="0.25">
      <c r="K84" s="22"/>
      <c r="O84" s="68"/>
    </row>
    <row r="85" spans="11:15" x14ac:dyDescent="0.25">
      <c r="K85" s="22"/>
      <c r="O85" s="68"/>
    </row>
    <row r="86" spans="11:15" x14ac:dyDescent="0.25">
      <c r="K86" s="22"/>
      <c r="O86" s="68"/>
    </row>
  </sheetData>
  <pageMargins left="1" right="1" top="1" bottom="1.75" header="0.5" footer="0.5"/>
  <pageSetup scale="88" orientation="landscape" r:id="rId1"/>
  <headerFooter scaleWithDoc="0">
    <oddFooter xml:space="preserve">&amp;R&amp;"Times New Roman,Bold"&amp;12 Case No. 2020-00350
Attachment to Response to PSC-2 Question No. 140
Page &amp;P of &amp;N
Seelye
</oddFooter>
  </headerFooter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140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BF9453D1-F95A-4872-90F7-0212200B5F46}"/>
</file>

<file path=customXml/itemProps2.xml><?xml version="1.0" encoding="utf-8"?>
<ds:datastoreItem xmlns:ds="http://schemas.openxmlformats.org/officeDocument/2006/customXml" ds:itemID="{1344D24F-D428-4D48-8134-93F2D9A3E5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CE7CC7-13DB-4E03-94AE-12EBFC8CE6F1}"/>
</file>

<file path=customXml/itemProps4.xml><?xml version="1.0" encoding="utf-8"?>
<ds:datastoreItem xmlns:ds="http://schemas.openxmlformats.org/officeDocument/2006/customXml" ds:itemID="{37345450-A0E9-4BA9-B658-6D8AE67459AB}"/>
</file>

<file path=customXml/itemProps5.xml><?xml version="1.0" encoding="utf-8"?>
<ds:datastoreItem xmlns:ds="http://schemas.openxmlformats.org/officeDocument/2006/customXml" ds:itemID="{E44E296F-F8A7-4381-8E20-017102C4A2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LG&amp;E-E Meter Pulse</vt:lpstr>
      <vt:lpstr>LGE-E Meter Pulse - 5-Year</vt:lpstr>
      <vt:lpstr>LGE-E Meter Pu WACOC-Tax Table</vt:lpstr>
      <vt:lpstr>LGE-E Meter Pulse - NPV</vt:lpstr>
      <vt:lpstr>'LGE-E Meter Pulse - 5-Year'!Print_Area</vt:lpstr>
      <vt:lpstr>'LGE-E Meter Pulse - NPV'!Print_Area</vt:lpstr>
      <vt:lpstr>'LGE-E Meter Pulse - NPV'!Print_Titles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Fackler, Andrea</cp:lastModifiedBy>
  <cp:lastPrinted>2021-01-15T23:15:51Z</cp:lastPrinted>
  <dcterms:created xsi:type="dcterms:W3CDTF">2021-01-12T15:32:56Z</dcterms:created>
  <dcterms:modified xsi:type="dcterms:W3CDTF">2021-01-15T23:15:55Z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0adee1c6-0c13-46fe-9f7d-d5b32ad2c571_Enabled">
    <vt:lpwstr>true</vt:lpwstr>
  </property>
  <property fmtid="{D5CDD505-2E9C-101B-9397-08002B2CF9AE}" pid="4" name="MSIP_Label_0adee1c6-0c13-46fe-9f7d-d5b32ad2c571_SetDate">
    <vt:lpwstr>2021-01-14T17:58:16Z</vt:lpwstr>
  </property>
  <property fmtid="{D5CDD505-2E9C-101B-9397-08002B2CF9AE}" pid="5" name="MSIP_Label_0adee1c6-0c13-46fe-9f7d-d5b32ad2c571_Method">
    <vt:lpwstr>Privileged</vt:lpwstr>
  </property>
  <property fmtid="{D5CDD505-2E9C-101B-9397-08002B2CF9AE}" pid="6" name="MSIP_Label_0adee1c6-0c13-46fe-9f7d-d5b32ad2c571_Name">
    <vt:lpwstr>0adee1c6-0c13-46fe-9f7d-d5b32ad2c571</vt:lpwstr>
  </property>
  <property fmtid="{D5CDD505-2E9C-101B-9397-08002B2CF9AE}" pid="7" name="MSIP_Label_0adee1c6-0c13-46fe-9f7d-d5b32ad2c571_SiteId">
    <vt:lpwstr>5ee3b0ba-a559-45ee-a69e-6d3e963a3e72</vt:lpwstr>
  </property>
  <property fmtid="{D5CDD505-2E9C-101B-9397-08002B2CF9AE}" pid="8" name="MSIP_Label_0adee1c6-0c13-46fe-9f7d-d5b32ad2c571_ActionId">
    <vt:lpwstr>7106c523-4ef6-4e9e-9ca6-d929f2dc0e6f</vt:lpwstr>
  </property>
  <property fmtid="{D5CDD505-2E9C-101B-9397-08002B2CF9AE}" pid="9" name="MSIP_Label_0adee1c6-0c13-46fe-9f7d-d5b32ad2c571_ContentBits">
    <vt:lpwstr>0</vt:lpwstr>
  </property>
</Properties>
</file>